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gaza\Documents\Internet\"/>
    </mc:Choice>
  </mc:AlternateContent>
  <xr:revisionPtr revIDLastSave="0" documentId="13_ncr:1_{5ACD0A99-5D64-43B8-9002-68CCCF18CBF1}" xr6:coauthVersionLast="47" xr6:coauthVersionMax="47" xr10:uidLastSave="{00000000-0000-0000-0000-000000000000}"/>
  <workbookProtection workbookAlgorithmName="SHA-512" workbookHashValue="OZNA5MYoSEHg+OHDNNI1jL2byiq4DZQVhSmIZYExx/0ovbtjGNCaPKoAJ0EZAxdN6Cpl7UInpNJGEK3vr9vPGw==" workbookSaltValue="oxOFq7+NrR/gqYfr0k23Gw==" workbookSpinCount="100000" lockStructure="1"/>
  <bookViews>
    <workbookView xWindow="28680" yWindow="-120" windowWidth="29040" windowHeight="15840" activeTab="1" xr2:uid="{D11F2654-9150-472E-A252-12D3F5743857}"/>
  </bookViews>
  <sheets>
    <sheet name="Description" sheetId="2" r:id="rId1"/>
    <sheet name="Liste" sheetId="13" r:id="rId2"/>
    <sheet name="Risque parcelle" sheetId="15" r:id="rId3"/>
    <sheet name="Produit" sheetId="8" r:id="rId4"/>
    <sheet name="Fongicides" sheetId="3" r:id="rId5"/>
    <sheet name="Herbicides" sheetId="4" r:id="rId6"/>
    <sheet name="I+M+R" sheetId="5" r:id="rId7"/>
    <sheet name="Textes" sheetId="9" state="hidden" r:id="rId8"/>
    <sheet name="Total" sheetId="1" state="hidden" r:id="rId9"/>
    <sheet name="Scores" sheetId="6" state="hidden" r:id="rId10"/>
  </sheets>
  <definedNames>
    <definedName name="_xlnm._FilterDatabase" localSheetId="4" hidden="1">Fongicides!$A$3:$AU$114</definedName>
    <definedName name="_xlnm._FilterDatabase" localSheetId="5" hidden="1">Herbicides!$A$3:$AU$278</definedName>
    <definedName name="_xlnm._FilterDatabase" localSheetId="6" hidden="1">'I+M+R'!$A$3:$AU$80</definedName>
    <definedName name="_xlnm._FilterDatabase" localSheetId="7" hidden="1">Textes!$A$1:$K$271</definedName>
    <definedName name="_xlnm._FilterDatabase" localSheetId="8" hidden="1">Total!$A$4:$AV$504</definedName>
    <definedName name="_xlnm.Print_Titles" localSheetId="4">Fongicides!$2:$2</definedName>
    <definedName name="_xlnm.Print_Titles" localSheetId="5">Herbicides!$2:$2</definedName>
    <definedName name="_xlnm.Print_Titles" localSheetId="6">'I+M+R'!$2:$2</definedName>
    <definedName name="_xlnm.Print_Titles" localSheetId="8">Total!$3:$4</definedName>
    <definedName name="_xlnm.Print_Area" localSheetId="2">'Risque parcelle'!$A$1:$AL$36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34" i="15" l="1"/>
  <c r="BN33" i="15"/>
  <c r="BN32" i="15"/>
  <c r="BN31" i="15"/>
  <c r="BN30" i="15"/>
  <c r="BN29" i="15"/>
  <c r="BN28" i="15"/>
  <c r="BN27" i="15"/>
  <c r="BN26" i="15"/>
  <c r="BN25" i="15"/>
  <c r="BN24" i="15"/>
  <c r="BN23" i="15"/>
  <c r="BN22" i="15"/>
  <c r="BN21" i="15"/>
  <c r="BN20" i="15"/>
  <c r="BN19" i="15"/>
  <c r="BN18" i="15"/>
  <c r="BN17" i="15"/>
  <c r="BN16" i="15"/>
  <c r="BN15" i="15"/>
  <c r="BN13" i="15"/>
  <c r="BN12" i="15"/>
  <c r="BN11" i="15"/>
  <c r="BN10" i="15"/>
  <c r="BM34" i="15"/>
  <c r="BM33" i="15"/>
  <c r="BM32" i="15"/>
  <c r="BM31" i="15"/>
  <c r="BM30" i="15"/>
  <c r="BM29" i="15"/>
  <c r="BM28" i="15"/>
  <c r="BM27" i="15"/>
  <c r="BM26" i="15"/>
  <c r="BM25" i="15"/>
  <c r="BM24" i="15"/>
  <c r="BM23" i="15"/>
  <c r="BM22" i="15"/>
  <c r="BM21" i="15"/>
  <c r="BM20" i="15"/>
  <c r="BM19" i="15"/>
  <c r="BM18" i="15"/>
  <c r="BM17" i="15"/>
  <c r="BM16" i="15"/>
  <c r="BM15" i="15"/>
  <c r="BM13" i="15"/>
  <c r="BM12" i="15"/>
  <c r="BM11" i="15"/>
  <c r="BM10" i="15"/>
  <c r="BM9" i="15"/>
  <c r="R32" i="5"/>
  <c r="Q32" i="5"/>
  <c r="R215" i="4"/>
  <c r="Q215" i="4"/>
  <c r="R185" i="4"/>
  <c r="Q185" i="4"/>
  <c r="R128" i="4"/>
  <c r="Q128" i="4"/>
  <c r="R72" i="4"/>
  <c r="Q72" i="4"/>
  <c r="R69" i="4"/>
  <c r="Q69" i="4"/>
  <c r="R63" i="3"/>
  <c r="Q63" i="3"/>
  <c r="R31" i="3"/>
  <c r="Q31" i="3"/>
  <c r="AX375" i="1"/>
  <c r="S375" i="1"/>
  <c r="R375" i="1"/>
  <c r="AX371" i="1"/>
  <c r="S371" i="1"/>
  <c r="R371" i="1"/>
  <c r="AX324" i="1"/>
  <c r="S324" i="1"/>
  <c r="R324" i="1"/>
  <c r="AX294" i="1"/>
  <c r="S294" i="1"/>
  <c r="R294" i="1"/>
  <c r="AX226" i="1"/>
  <c r="S226" i="1"/>
  <c r="R226" i="1"/>
  <c r="AX152" i="1"/>
  <c r="S152" i="1"/>
  <c r="R152" i="1"/>
  <c r="AX117" i="1"/>
  <c r="S117" i="1"/>
  <c r="R117" i="1"/>
  <c r="AX112" i="1"/>
  <c r="S112" i="1"/>
  <c r="R112" i="1"/>
  <c r="AH11" i="15"/>
  <c r="AH12" i="15"/>
  <c r="AH13" i="15"/>
  <c r="AH15" i="15"/>
  <c r="AH16" i="15"/>
  <c r="AH17" i="15"/>
  <c r="AH18" i="15"/>
  <c r="AH19" i="15"/>
  <c r="AH20" i="15"/>
  <c r="AH21" i="15"/>
  <c r="AH22" i="15"/>
  <c r="AH24" i="15"/>
  <c r="AH25" i="15"/>
  <c r="AH26" i="15"/>
  <c r="AH27" i="15"/>
  <c r="AH28" i="15"/>
  <c r="AH29" i="15"/>
  <c r="AH30" i="15"/>
  <c r="AH31" i="15"/>
  <c r="AH32" i="15"/>
  <c r="AH33" i="15"/>
  <c r="AH34" i="15"/>
  <c r="AH10" i="15"/>
  <c r="AH9" i="15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11" i="13"/>
  <c r="AX512" i="1"/>
  <c r="AX511" i="1"/>
  <c r="AX509" i="1"/>
  <c r="AX508" i="1"/>
  <c r="AX507" i="1"/>
  <c r="AX506" i="1"/>
  <c r="AX505" i="1"/>
  <c r="AX504" i="1"/>
  <c r="AX503" i="1"/>
  <c r="AX502" i="1"/>
  <c r="AX501" i="1"/>
  <c r="AX500" i="1"/>
  <c r="AX499" i="1"/>
  <c r="AX498" i="1"/>
  <c r="AX497" i="1"/>
  <c r="AX496" i="1"/>
  <c r="AX495" i="1"/>
  <c r="AX494" i="1"/>
  <c r="AX493" i="1"/>
  <c r="AX492" i="1"/>
  <c r="AX491" i="1"/>
  <c r="AX490" i="1"/>
  <c r="AX489" i="1"/>
  <c r="AX488" i="1"/>
  <c r="AX487" i="1"/>
  <c r="AX486" i="1"/>
  <c r="AX485" i="1"/>
  <c r="AX484" i="1"/>
  <c r="AX483" i="1"/>
  <c r="AX482" i="1"/>
  <c r="AX481" i="1"/>
  <c r="AX480" i="1"/>
  <c r="AX479" i="1"/>
  <c r="AX478" i="1"/>
  <c r="AX477" i="1"/>
  <c r="AX476" i="1"/>
  <c r="AX475" i="1"/>
  <c r="AX474" i="1"/>
  <c r="AX473" i="1"/>
  <c r="AX472" i="1"/>
  <c r="AX471" i="1"/>
  <c r="AX470" i="1"/>
  <c r="AX469" i="1"/>
  <c r="AX468" i="1"/>
  <c r="AX467" i="1"/>
  <c r="AX466" i="1"/>
  <c r="AX465" i="1"/>
  <c r="AX464" i="1"/>
  <c r="AX463" i="1"/>
  <c r="AX462" i="1"/>
  <c r="AX461" i="1"/>
  <c r="AX460" i="1"/>
  <c r="AX459" i="1"/>
  <c r="AX458" i="1"/>
  <c r="AX457" i="1"/>
  <c r="AX456" i="1"/>
  <c r="AX455" i="1"/>
  <c r="AX454" i="1"/>
  <c r="AX453" i="1"/>
  <c r="AX452" i="1"/>
  <c r="AX451" i="1"/>
  <c r="AX450" i="1"/>
  <c r="AX449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4" i="1"/>
  <c r="AX373" i="1"/>
  <c r="AX372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3" i="1"/>
  <c r="AX292" i="1"/>
  <c r="AX291" i="1"/>
  <c r="AX289" i="1"/>
  <c r="AX288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6" i="1"/>
  <c r="AX115" i="1"/>
  <c r="AX114" i="1"/>
  <c r="AX113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30" i="8" l="1"/>
  <c r="X60" i="13" l="1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AH60" i="13"/>
  <c r="AG60" i="13"/>
  <c r="AF60" i="13"/>
  <c r="AE60" i="13"/>
  <c r="AH59" i="13"/>
  <c r="AG59" i="13"/>
  <c r="AF59" i="13"/>
  <c r="AE59" i="13"/>
  <c r="AH58" i="13"/>
  <c r="AG58" i="13"/>
  <c r="AF58" i="13"/>
  <c r="AE58" i="13"/>
  <c r="AH57" i="13"/>
  <c r="AG57" i="13"/>
  <c r="AF57" i="13"/>
  <c r="AE57" i="13"/>
  <c r="AH56" i="13"/>
  <c r="AG56" i="13"/>
  <c r="AF56" i="13"/>
  <c r="AE56" i="13"/>
  <c r="AH55" i="13"/>
  <c r="AG55" i="13"/>
  <c r="AF55" i="13"/>
  <c r="AE55" i="13"/>
  <c r="AH54" i="13"/>
  <c r="AG54" i="13"/>
  <c r="AF54" i="13"/>
  <c r="AE54" i="13"/>
  <c r="AH53" i="13"/>
  <c r="AG53" i="13"/>
  <c r="AF53" i="13"/>
  <c r="AE53" i="13"/>
  <c r="AH52" i="13"/>
  <c r="AG52" i="13"/>
  <c r="AF52" i="13"/>
  <c r="AE52" i="13"/>
  <c r="AH51" i="13"/>
  <c r="AG51" i="13"/>
  <c r="AF51" i="13"/>
  <c r="AE51" i="13"/>
  <c r="AH50" i="13"/>
  <c r="AG50" i="13"/>
  <c r="AF50" i="13"/>
  <c r="AE50" i="13"/>
  <c r="AH49" i="13"/>
  <c r="AG49" i="13"/>
  <c r="AF49" i="13"/>
  <c r="AE49" i="13"/>
  <c r="AH48" i="13"/>
  <c r="AG48" i="13"/>
  <c r="AF48" i="13"/>
  <c r="AE48" i="13"/>
  <c r="AH47" i="13"/>
  <c r="AG47" i="13"/>
  <c r="AF47" i="13"/>
  <c r="AE47" i="13"/>
  <c r="AH46" i="13"/>
  <c r="AG46" i="13"/>
  <c r="AF46" i="13"/>
  <c r="AE46" i="13"/>
  <c r="AH45" i="13"/>
  <c r="AG45" i="13"/>
  <c r="AF45" i="13"/>
  <c r="AE45" i="13"/>
  <c r="AH44" i="13"/>
  <c r="AG44" i="13"/>
  <c r="AF44" i="13"/>
  <c r="AE44" i="13"/>
  <c r="AH43" i="13"/>
  <c r="AG43" i="13"/>
  <c r="AF43" i="13"/>
  <c r="AE43" i="13"/>
  <c r="AH42" i="13"/>
  <c r="AG42" i="13"/>
  <c r="AF42" i="13"/>
  <c r="AE42" i="13"/>
  <c r="AH41" i="13"/>
  <c r="AG41" i="13"/>
  <c r="AF41" i="13"/>
  <c r="AE41" i="13"/>
  <c r="AH40" i="13"/>
  <c r="AG40" i="13"/>
  <c r="AF40" i="13"/>
  <c r="AE40" i="13"/>
  <c r="AH39" i="13"/>
  <c r="AG39" i="13"/>
  <c r="AF39" i="13"/>
  <c r="AE39" i="13"/>
  <c r="AH38" i="13"/>
  <c r="AG38" i="13"/>
  <c r="AF38" i="13"/>
  <c r="AE38" i="13"/>
  <c r="AH37" i="13"/>
  <c r="AG37" i="13"/>
  <c r="AF37" i="13"/>
  <c r="AE37" i="13"/>
  <c r="AH36" i="13"/>
  <c r="AG36" i="13"/>
  <c r="AF36" i="13"/>
  <c r="AE36" i="13"/>
  <c r="AH35" i="13"/>
  <c r="AG35" i="13"/>
  <c r="AF35" i="13"/>
  <c r="AE35" i="13"/>
  <c r="AH34" i="13"/>
  <c r="AG34" i="13"/>
  <c r="AF34" i="13"/>
  <c r="AE34" i="13"/>
  <c r="AH33" i="13"/>
  <c r="AG33" i="13"/>
  <c r="AF33" i="13"/>
  <c r="AE33" i="13"/>
  <c r="AH32" i="13"/>
  <c r="AG32" i="13"/>
  <c r="AF32" i="13"/>
  <c r="AE32" i="13"/>
  <c r="AH31" i="13"/>
  <c r="AG31" i="13"/>
  <c r="AF31" i="13"/>
  <c r="AE31" i="13"/>
  <c r="AH30" i="13"/>
  <c r="AG30" i="13"/>
  <c r="AF30" i="13"/>
  <c r="AE30" i="13"/>
  <c r="AH29" i="13"/>
  <c r="AG29" i="13"/>
  <c r="AF29" i="13"/>
  <c r="AE29" i="13"/>
  <c r="AH28" i="13"/>
  <c r="AG28" i="13"/>
  <c r="AF28" i="13"/>
  <c r="AE28" i="13"/>
  <c r="AH27" i="13"/>
  <c r="AG27" i="13"/>
  <c r="AF27" i="13"/>
  <c r="AE27" i="13"/>
  <c r="AH26" i="13"/>
  <c r="AG26" i="13"/>
  <c r="AF26" i="13"/>
  <c r="AE26" i="13"/>
  <c r="AH25" i="13"/>
  <c r="AG25" i="13"/>
  <c r="AF25" i="13"/>
  <c r="AE25" i="13"/>
  <c r="AH24" i="13"/>
  <c r="AG24" i="13"/>
  <c r="AF24" i="13"/>
  <c r="AE24" i="13"/>
  <c r="AH23" i="13"/>
  <c r="AG23" i="13"/>
  <c r="AF23" i="13"/>
  <c r="AE23" i="13"/>
  <c r="AH22" i="13"/>
  <c r="AG22" i="13"/>
  <c r="AF22" i="13"/>
  <c r="AE22" i="13"/>
  <c r="AH21" i="13"/>
  <c r="AG21" i="13"/>
  <c r="AF21" i="13"/>
  <c r="AE21" i="13"/>
  <c r="AH20" i="13"/>
  <c r="AG20" i="13"/>
  <c r="AF20" i="13"/>
  <c r="AE20" i="13"/>
  <c r="AH19" i="13"/>
  <c r="AG19" i="13"/>
  <c r="AF19" i="13"/>
  <c r="AE19" i="13"/>
  <c r="AH18" i="13"/>
  <c r="AG18" i="13"/>
  <c r="AF18" i="13"/>
  <c r="AE18" i="13"/>
  <c r="AH17" i="13"/>
  <c r="AG17" i="13"/>
  <c r="AF17" i="13"/>
  <c r="AE17" i="13"/>
  <c r="AH16" i="13"/>
  <c r="AG16" i="13"/>
  <c r="AF16" i="13"/>
  <c r="AE16" i="13"/>
  <c r="AH15" i="13"/>
  <c r="AG15" i="13"/>
  <c r="AF15" i="13"/>
  <c r="AE15" i="13"/>
  <c r="AH14" i="13"/>
  <c r="AG14" i="13"/>
  <c r="AF14" i="13"/>
  <c r="AE14" i="13"/>
  <c r="AH13" i="13"/>
  <c r="AG13" i="13"/>
  <c r="AF13" i="13"/>
  <c r="AE13" i="13"/>
  <c r="AH12" i="13"/>
  <c r="AG12" i="13"/>
  <c r="AF12" i="13"/>
  <c r="AE12" i="13"/>
  <c r="AH11" i="13"/>
  <c r="AG11" i="13"/>
  <c r="AF11" i="13"/>
  <c r="AE11" i="13"/>
  <c r="AD60" i="13"/>
  <c r="AD59" i="13"/>
  <c r="AD58" i="13"/>
  <c r="AD57" i="13"/>
  <c r="AD56" i="13"/>
  <c r="AD55" i="13"/>
  <c r="AD54" i="13"/>
  <c r="AD53" i="13"/>
  <c r="AD52" i="13"/>
  <c r="AD51" i="13"/>
  <c r="AD50" i="13"/>
  <c r="AD49" i="13"/>
  <c r="AD48" i="13"/>
  <c r="AD47" i="13"/>
  <c r="AD46" i="13"/>
  <c r="AD45" i="13"/>
  <c r="AD44" i="13"/>
  <c r="AD43" i="13"/>
  <c r="AD42" i="13"/>
  <c r="AD41" i="13"/>
  <c r="AD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C37" i="13"/>
  <c r="AC36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11" i="13"/>
  <c r="T8" i="15" l="1"/>
  <c r="U8" i="15" s="1"/>
  <c r="V8" i="15" s="1"/>
  <c r="W8" i="15" s="1"/>
  <c r="AA60" i="13" l="1"/>
  <c r="F11" i="13"/>
  <c r="S510" i="1" l="1"/>
  <c r="S505" i="1"/>
  <c r="S450" i="1"/>
  <c r="S438" i="1"/>
  <c r="AK27" i="13"/>
  <c r="AK28" i="13"/>
  <c r="AK35" i="13"/>
  <c r="AO37" i="13"/>
  <c r="AO15" i="13"/>
  <c r="AK38" i="13"/>
  <c r="AO48" i="13"/>
  <c r="AO18" i="13"/>
  <c r="AK51" i="13"/>
  <c r="AK17" i="13"/>
  <c r="AP26" i="13"/>
  <c r="AK52" i="13"/>
  <c r="AK19" i="13"/>
  <c r="AP28" i="13"/>
  <c r="AO39" i="13"/>
  <c r="AK54" i="13"/>
  <c r="AK22" i="13"/>
  <c r="AP29" i="13"/>
  <c r="AO42" i="13"/>
  <c r="AO55" i="13"/>
  <c r="AO23" i="13"/>
  <c r="AL30" i="13"/>
  <c r="AK44" i="13"/>
  <c r="AO56" i="13"/>
  <c r="AK25" i="13"/>
  <c r="AO31" i="13"/>
  <c r="AK46" i="13"/>
  <c r="AK59" i="13"/>
  <c r="AK57" i="13"/>
  <c r="AK14" i="13"/>
  <c r="AK26" i="13"/>
  <c r="AO34" i="13"/>
  <c r="AO47" i="13"/>
  <c r="AO16" i="13"/>
  <c r="AO24" i="13"/>
  <c r="AK29" i="13"/>
  <c r="AK36" i="13"/>
  <c r="AO45" i="13"/>
  <c r="AO53" i="13"/>
  <c r="AK60" i="13"/>
  <c r="AK12" i="13"/>
  <c r="AK20" i="13"/>
  <c r="AO32" i="13"/>
  <c r="AO40" i="13"/>
  <c r="AK49" i="13"/>
  <c r="AO13" i="13"/>
  <c r="AO21" i="13"/>
  <c r="AL27" i="13"/>
  <c r="AK33" i="13"/>
  <c r="AK41" i="13"/>
  <c r="AO50" i="13"/>
  <c r="AK58" i="13"/>
  <c r="R450" i="1"/>
  <c r="AN11" i="13"/>
  <c r="AM29" i="13"/>
  <c r="AI31" i="13"/>
  <c r="AI33" i="13"/>
  <c r="AM35" i="13"/>
  <c r="AM38" i="13"/>
  <c r="AI40" i="13"/>
  <c r="AI42" i="13"/>
  <c r="AI44" i="13"/>
  <c r="AI47" i="13"/>
  <c r="AI49" i="13"/>
  <c r="AM54" i="13"/>
  <c r="AI11" i="13"/>
  <c r="AI12" i="13"/>
  <c r="AM13" i="13"/>
  <c r="AI14" i="13"/>
  <c r="AI15" i="13"/>
  <c r="AM16" i="13"/>
  <c r="AI17" i="13"/>
  <c r="AI18" i="13"/>
  <c r="AM19" i="13"/>
  <c r="AI20" i="13"/>
  <c r="AM21" i="13"/>
  <c r="AM22" i="13"/>
  <c r="AI23" i="13"/>
  <c r="AM24" i="13"/>
  <c r="AI25" i="13"/>
  <c r="AI26" i="13"/>
  <c r="AM27" i="13"/>
  <c r="AI28" i="13"/>
  <c r="AM30" i="13"/>
  <c r="AI32" i="13"/>
  <c r="AI34" i="13"/>
  <c r="AI36" i="13"/>
  <c r="AM37" i="13"/>
  <c r="AI39" i="13"/>
  <c r="AI41" i="13"/>
  <c r="AM43" i="13"/>
  <c r="AM45" i="13"/>
  <c r="AM46" i="13"/>
  <c r="AM48" i="13"/>
  <c r="AI50" i="13"/>
  <c r="AM51" i="13"/>
  <c r="AI52" i="13"/>
  <c r="AM53" i="13"/>
  <c r="AI55" i="13"/>
  <c r="AM56" i="13"/>
  <c r="AI57" i="13"/>
  <c r="AI58" i="13"/>
  <c r="AM59" i="13"/>
  <c r="AJ12" i="13"/>
  <c r="AJ13" i="13"/>
  <c r="AJ14" i="13"/>
  <c r="AJ15" i="13"/>
  <c r="AJ16" i="13"/>
  <c r="AJ17" i="13"/>
  <c r="AN18" i="13"/>
  <c r="AN19" i="13"/>
  <c r="AJ20" i="13"/>
  <c r="AN21" i="13"/>
  <c r="AJ22" i="13"/>
  <c r="AJ23" i="13"/>
  <c r="AN24" i="13"/>
  <c r="AJ25" i="13"/>
  <c r="AN26" i="13"/>
  <c r="AN27" i="13"/>
  <c r="AJ28" i="13"/>
  <c r="AN29" i="13"/>
  <c r="AJ30" i="13"/>
  <c r="AJ31" i="13"/>
  <c r="AN32" i="13"/>
  <c r="AJ33" i="13"/>
  <c r="AN34" i="13"/>
  <c r="AN35" i="13"/>
  <c r="AJ36" i="13"/>
  <c r="AJ37" i="13"/>
  <c r="AJ38" i="13"/>
  <c r="AJ39" i="13"/>
  <c r="AN40" i="13"/>
  <c r="AJ41" i="13"/>
  <c r="AN42" i="13"/>
  <c r="AN43" i="13"/>
  <c r="AJ44" i="13"/>
  <c r="AN45" i="13"/>
  <c r="AJ46" i="13"/>
  <c r="AJ47" i="13"/>
  <c r="AN48" i="13"/>
  <c r="AJ49" i="13"/>
  <c r="AN50" i="13"/>
  <c r="AN51" i="13"/>
  <c r="AJ52" i="13"/>
  <c r="AJ53" i="13"/>
  <c r="AJ54" i="13"/>
  <c r="AJ55" i="13"/>
  <c r="AN56" i="13"/>
  <c r="AJ57" i="13"/>
  <c r="AN58" i="13"/>
  <c r="AN59" i="13"/>
  <c r="AJ60" i="13"/>
  <c r="AP12" i="13"/>
  <c r="AL13" i="13"/>
  <c r="AL14" i="13"/>
  <c r="AP15" i="13"/>
  <c r="AL16" i="13"/>
  <c r="AL17" i="13"/>
  <c r="AP18" i="13"/>
  <c r="AL19" i="13"/>
  <c r="AP20" i="13"/>
  <c r="AP21" i="13"/>
  <c r="AL22" i="13"/>
  <c r="AP23" i="13"/>
  <c r="AL24" i="13"/>
  <c r="AL25" i="13"/>
  <c r="AP31" i="13"/>
  <c r="AL32" i="13"/>
  <c r="AL33" i="13"/>
  <c r="AP34" i="13"/>
  <c r="AL35" i="13"/>
  <c r="AP36" i="13"/>
  <c r="AP37" i="13"/>
  <c r="AL38" i="13"/>
  <c r="AP39" i="13"/>
  <c r="AL41" i="13"/>
  <c r="AP42" i="13"/>
  <c r="AP44" i="13"/>
  <c r="AP45" i="13"/>
  <c r="AL46" i="13"/>
  <c r="AP47" i="13"/>
  <c r="AL48" i="13"/>
  <c r="AL49" i="13"/>
  <c r="AP50" i="13"/>
  <c r="AL51" i="13"/>
  <c r="AP52" i="13"/>
  <c r="AP53" i="13"/>
  <c r="AP55" i="13"/>
  <c r="AL57" i="13"/>
  <c r="AP58" i="13"/>
  <c r="AL59" i="13"/>
  <c r="AP11" i="13"/>
  <c r="AO11" i="13"/>
  <c r="AN54" i="13"/>
  <c r="AO22" i="13"/>
  <c r="AP46" i="13"/>
  <c r="AN38" i="13"/>
  <c r="AO35" i="13"/>
  <c r="AP60" i="13"/>
  <c r="AL60" i="13"/>
  <c r="AL56" i="13"/>
  <c r="AP56" i="13"/>
  <c r="AL43" i="13"/>
  <c r="AP43" i="13"/>
  <c r="AN60" i="13"/>
  <c r="AI60" i="13"/>
  <c r="AM60" i="13"/>
  <c r="AL54" i="13"/>
  <c r="AP54" i="13"/>
  <c r="AK30" i="13"/>
  <c r="AO30" i="13"/>
  <c r="AM44" i="13"/>
  <c r="AK43" i="13"/>
  <c r="AO43" i="13"/>
  <c r="AL40" i="13"/>
  <c r="AP40" i="13"/>
  <c r="AM36" i="13"/>
  <c r="AL20" i="13"/>
  <c r="AP51" i="13"/>
  <c r="AO60" i="13"/>
  <c r="AN20" i="13"/>
  <c r="AP38" i="13"/>
  <c r="AM52" i="13"/>
  <c r="AP35" i="13"/>
  <c r="AN46" i="13"/>
  <c r="AP16" i="13"/>
  <c r="AO19" i="13"/>
  <c r="AP19" i="13"/>
  <c r="AM15" i="13"/>
  <c r="AP13" i="13"/>
  <c r="AL12" i="13"/>
  <c r="AN12" i="13"/>
  <c r="AN14" i="13"/>
  <c r="AP22" i="13"/>
  <c r="AO25" i="13"/>
  <c r="AP32" i="13"/>
  <c r="AO38" i="13"/>
  <c r="AN41" i="13"/>
  <c r="AL44" i="13"/>
  <c r="AO49" i="13"/>
  <c r="AN52" i="13"/>
  <c r="AO59" i="13"/>
  <c r="AO14" i="13"/>
  <c r="AM17" i="13"/>
  <c r="AO41" i="13"/>
  <c r="AK47" i="13"/>
  <c r="AP59" i="13"/>
  <c r="AM12" i="13"/>
  <c r="AP14" i="13"/>
  <c r="AN17" i="13"/>
  <c r="AM20" i="13"/>
  <c r="AM23" i="13"/>
  <c r="AN30" i="13"/>
  <c r="AM33" i="13"/>
  <c r="AL36" i="13"/>
  <c r="AN44" i="13"/>
  <c r="AM47" i="13"/>
  <c r="AO17" i="13"/>
  <c r="AO27" i="13"/>
  <c r="AN33" i="13"/>
  <c r="AM39" i="13"/>
  <c r="AJ42" i="13"/>
  <c r="AO51" i="13"/>
  <c r="AM57" i="13"/>
  <c r="AK15" i="13"/>
  <c r="AP24" i="13"/>
  <c r="AP27" i="13"/>
  <c r="AP30" i="13"/>
  <c r="AO33" i="13"/>
  <c r="AN36" i="13"/>
  <c r="AP48" i="13"/>
  <c r="AO54" i="13"/>
  <c r="AN57" i="13"/>
  <c r="AN22" i="13"/>
  <c r="AM25" i="13"/>
  <c r="AM28" i="13"/>
  <c r="AM31" i="13"/>
  <c r="AO46" i="13"/>
  <c r="AM49" i="13"/>
  <c r="AL52" i="13"/>
  <c r="AO57" i="13"/>
  <c r="AM14" i="13"/>
  <c r="AN25" i="13"/>
  <c r="AN28" i="13"/>
  <c r="AM41" i="13"/>
  <c r="AN49" i="13"/>
  <c r="AM55" i="13"/>
  <c r="AJ11" i="13"/>
  <c r="AM11" i="13"/>
  <c r="AK11" i="13"/>
  <c r="AL11" i="13"/>
  <c r="AI29" i="13"/>
  <c r="AJ34" i="13"/>
  <c r="AK39" i="13"/>
  <c r="AI13" i="13"/>
  <c r="AI37" i="13"/>
  <c r="AJ18" i="13"/>
  <c r="AK23" i="13"/>
  <c r="AL28" i="13"/>
  <c r="AI45" i="13"/>
  <c r="AJ50" i="13"/>
  <c r="AK55" i="13"/>
  <c r="AI21" i="13"/>
  <c r="AJ26" i="13"/>
  <c r="AK31" i="13"/>
  <c r="AI53" i="13"/>
  <c r="AJ58" i="13"/>
  <c r="AI16" i="13"/>
  <c r="AL31" i="13"/>
  <c r="AJ45" i="13"/>
  <c r="AK13" i="13"/>
  <c r="AK21" i="13"/>
  <c r="AJ24" i="13"/>
  <c r="AJ32" i="13"/>
  <c r="AK45" i="13"/>
  <c r="AJ48" i="13"/>
  <c r="AO12" i="13"/>
  <c r="AP17" i="13"/>
  <c r="AM18" i="13"/>
  <c r="AJ19" i="13"/>
  <c r="AO20" i="13"/>
  <c r="AL21" i="13"/>
  <c r="AI22" i="13"/>
  <c r="AN23" i="13"/>
  <c r="AK24" i="13"/>
  <c r="AP25" i="13"/>
  <c r="AM26" i="13"/>
  <c r="AJ27" i="13"/>
  <c r="AO28" i="13"/>
  <c r="AL29" i="13"/>
  <c r="AI30" i="13"/>
  <c r="AN31" i="13"/>
  <c r="AK32" i="13"/>
  <c r="AP33" i="13"/>
  <c r="AM34" i="13"/>
  <c r="AJ35" i="13"/>
  <c r="AO36" i="13"/>
  <c r="AL37" i="13"/>
  <c r="AI38" i="13"/>
  <c r="AN39" i="13"/>
  <c r="AK40" i="13"/>
  <c r="AP41" i="13"/>
  <c r="AM42" i="13"/>
  <c r="AJ43" i="13"/>
  <c r="AO44" i="13"/>
  <c r="AL45" i="13"/>
  <c r="AI46" i="13"/>
  <c r="AN47" i="13"/>
  <c r="AK48" i="13"/>
  <c r="AP49" i="13"/>
  <c r="AM50" i="13"/>
  <c r="AJ51" i="13"/>
  <c r="AO52" i="13"/>
  <c r="AL53" i="13"/>
  <c r="AI54" i="13"/>
  <c r="AN55" i="13"/>
  <c r="AK56" i="13"/>
  <c r="AP57" i="13"/>
  <c r="AM58" i="13"/>
  <c r="AJ59" i="13"/>
  <c r="AL15" i="13"/>
  <c r="AJ21" i="13"/>
  <c r="AJ29" i="13"/>
  <c r="AK34" i="13"/>
  <c r="AK50" i="13"/>
  <c r="AL55" i="13"/>
  <c r="AI19" i="13"/>
  <c r="AL26" i="13"/>
  <c r="AI51" i="13"/>
  <c r="AK53" i="13"/>
  <c r="AI59" i="13"/>
  <c r="AK18" i="13"/>
  <c r="AL23" i="13"/>
  <c r="AI24" i="13"/>
  <c r="AL39" i="13"/>
  <c r="AK42" i="13"/>
  <c r="AL47" i="13"/>
  <c r="AI48" i="13"/>
  <c r="AI56" i="13"/>
  <c r="AI27" i="13"/>
  <c r="AI35" i="13"/>
  <c r="AK37" i="13"/>
  <c r="AJ40" i="13"/>
  <c r="AL42" i="13"/>
  <c r="AI43" i="13"/>
  <c r="AL50" i="13"/>
  <c r="AJ56" i="13"/>
  <c r="AL58" i="13"/>
  <c r="AN15" i="13"/>
  <c r="AK16" i="13"/>
  <c r="AN13" i="13"/>
  <c r="AO26" i="13"/>
  <c r="AM32" i="13"/>
  <c r="AN37" i="13"/>
  <c r="AM40" i="13"/>
  <c r="AN53" i="13"/>
  <c r="AO58" i="13"/>
  <c r="AL18" i="13"/>
  <c r="AL34" i="13"/>
  <c r="AN16" i="13"/>
  <c r="AO29" i="13"/>
  <c r="S437" i="1" l="1"/>
  <c r="R506" i="1"/>
  <c r="R437" i="1"/>
  <c r="S506" i="1"/>
  <c r="R505" i="1"/>
  <c r="R438" i="1"/>
  <c r="R510" i="1"/>
  <c r="J11" i="15" l="1"/>
  <c r="J12" i="15"/>
  <c r="J13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S465" i="1" l="1"/>
  <c r="R465" i="1"/>
  <c r="S466" i="1"/>
  <c r="R466" i="1"/>
  <c r="O12" i="13" l="1"/>
  <c r="P12" i="13"/>
  <c r="Q12" i="13"/>
  <c r="R12" i="13"/>
  <c r="S12" i="13"/>
  <c r="T12" i="13"/>
  <c r="U12" i="13"/>
  <c r="V12" i="13"/>
  <c r="O13" i="13"/>
  <c r="P13" i="13"/>
  <c r="Q13" i="13"/>
  <c r="R13" i="13"/>
  <c r="S13" i="13"/>
  <c r="T13" i="13"/>
  <c r="U13" i="13"/>
  <c r="V13" i="13"/>
  <c r="O14" i="13"/>
  <c r="P14" i="13"/>
  <c r="Q14" i="13"/>
  <c r="R14" i="13"/>
  <c r="S14" i="13"/>
  <c r="T14" i="13"/>
  <c r="U14" i="13"/>
  <c r="V14" i="13"/>
  <c r="O15" i="13"/>
  <c r="P15" i="13"/>
  <c r="Q15" i="13"/>
  <c r="R15" i="13"/>
  <c r="S15" i="13"/>
  <c r="T15" i="13"/>
  <c r="U15" i="13"/>
  <c r="V15" i="13"/>
  <c r="O16" i="13"/>
  <c r="P16" i="13"/>
  <c r="Q16" i="13"/>
  <c r="R16" i="13"/>
  <c r="S16" i="13"/>
  <c r="T16" i="13"/>
  <c r="U16" i="13"/>
  <c r="V16" i="13"/>
  <c r="O17" i="13"/>
  <c r="P17" i="13"/>
  <c r="Q17" i="13"/>
  <c r="R17" i="13"/>
  <c r="S17" i="13"/>
  <c r="T17" i="13"/>
  <c r="U17" i="13"/>
  <c r="V17" i="13"/>
  <c r="O18" i="13"/>
  <c r="P18" i="13"/>
  <c r="Q18" i="13"/>
  <c r="R18" i="13"/>
  <c r="S18" i="13"/>
  <c r="T18" i="13"/>
  <c r="U18" i="13"/>
  <c r="V18" i="13"/>
  <c r="O19" i="13"/>
  <c r="P19" i="13"/>
  <c r="Q19" i="13"/>
  <c r="R19" i="13"/>
  <c r="S19" i="13"/>
  <c r="T19" i="13"/>
  <c r="U19" i="13"/>
  <c r="V19" i="13"/>
  <c r="O20" i="13"/>
  <c r="P20" i="13"/>
  <c r="Q20" i="13"/>
  <c r="R20" i="13"/>
  <c r="S20" i="13"/>
  <c r="T20" i="13"/>
  <c r="U20" i="13"/>
  <c r="V20" i="13"/>
  <c r="O21" i="13"/>
  <c r="P21" i="13"/>
  <c r="Q21" i="13"/>
  <c r="R21" i="13"/>
  <c r="S21" i="13"/>
  <c r="T21" i="13"/>
  <c r="U21" i="13"/>
  <c r="V21" i="13"/>
  <c r="O22" i="13"/>
  <c r="P22" i="13"/>
  <c r="Q22" i="13"/>
  <c r="R22" i="13"/>
  <c r="S22" i="13"/>
  <c r="T22" i="13"/>
  <c r="U22" i="13"/>
  <c r="V22" i="13"/>
  <c r="O23" i="13"/>
  <c r="P23" i="13"/>
  <c r="Q23" i="13"/>
  <c r="R23" i="13"/>
  <c r="S23" i="13"/>
  <c r="T23" i="13"/>
  <c r="U23" i="13"/>
  <c r="V23" i="13"/>
  <c r="O24" i="13"/>
  <c r="P24" i="13"/>
  <c r="Q24" i="13"/>
  <c r="R24" i="13"/>
  <c r="S24" i="13"/>
  <c r="T24" i="13"/>
  <c r="U24" i="13"/>
  <c r="V24" i="13"/>
  <c r="O25" i="13"/>
  <c r="P25" i="13"/>
  <c r="Q25" i="13"/>
  <c r="R25" i="13"/>
  <c r="S25" i="13"/>
  <c r="T25" i="13"/>
  <c r="U25" i="13"/>
  <c r="V25" i="13"/>
  <c r="O26" i="13"/>
  <c r="P26" i="13"/>
  <c r="Q26" i="13"/>
  <c r="R26" i="13"/>
  <c r="S26" i="13"/>
  <c r="T26" i="13"/>
  <c r="U26" i="13"/>
  <c r="V26" i="13"/>
  <c r="O27" i="13"/>
  <c r="P27" i="13"/>
  <c r="Q27" i="13"/>
  <c r="R27" i="13"/>
  <c r="S27" i="13"/>
  <c r="T27" i="13"/>
  <c r="U27" i="13"/>
  <c r="V27" i="13"/>
  <c r="O28" i="13"/>
  <c r="P28" i="13"/>
  <c r="Q28" i="13"/>
  <c r="R28" i="13"/>
  <c r="S28" i="13"/>
  <c r="T28" i="13"/>
  <c r="U28" i="13"/>
  <c r="V28" i="13"/>
  <c r="O29" i="13"/>
  <c r="P29" i="13"/>
  <c r="Q29" i="13"/>
  <c r="R29" i="13"/>
  <c r="S29" i="13"/>
  <c r="T29" i="13"/>
  <c r="U29" i="13"/>
  <c r="V29" i="13"/>
  <c r="O30" i="13"/>
  <c r="P30" i="13"/>
  <c r="Q30" i="13"/>
  <c r="R30" i="13"/>
  <c r="S30" i="13"/>
  <c r="T30" i="13"/>
  <c r="U30" i="13"/>
  <c r="V30" i="13"/>
  <c r="O31" i="13"/>
  <c r="P31" i="13"/>
  <c r="Q31" i="13"/>
  <c r="R31" i="13"/>
  <c r="S31" i="13"/>
  <c r="T31" i="13"/>
  <c r="U31" i="13"/>
  <c r="V31" i="13"/>
  <c r="O32" i="13"/>
  <c r="P32" i="13"/>
  <c r="Q32" i="13"/>
  <c r="R32" i="13"/>
  <c r="S32" i="13"/>
  <c r="T32" i="13"/>
  <c r="U32" i="13"/>
  <c r="V32" i="13"/>
  <c r="O33" i="13"/>
  <c r="P33" i="13"/>
  <c r="Q33" i="13"/>
  <c r="R33" i="13"/>
  <c r="S33" i="13"/>
  <c r="T33" i="13"/>
  <c r="U33" i="13"/>
  <c r="V33" i="13"/>
  <c r="O34" i="13"/>
  <c r="P34" i="13"/>
  <c r="Q34" i="13"/>
  <c r="R34" i="13"/>
  <c r="S34" i="13"/>
  <c r="T34" i="13"/>
  <c r="U34" i="13"/>
  <c r="V34" i="13"/>
  <c r="O35" i="13"/>
  <c r="P35" i="13"/>
  <c r="Q35" i="13"/>
  <c r="R35" i="13"/>
  <c r="S35" i="13"/>
  <c r="T35" i="13"/>
  <c r="U35" i="13"/>
  <c r="V35" i="13"/>
  <c r="O36" i="13"/>
  <c r="P36" i="13"/>
  <c r="Q36" i="13"/>
  <c r="R36" i="13"/>
  <c r="S36" i="13"/>
  <c r="T36" i="13"/>
  <c r="U36" i="13"/>
  <c r="V36" i="13"/>
  <c r="O37" i="13"/>
  <c r="P37" i="13"/>
  <c r="Q37" i="13"/>
  <c r="R37" i="13"/>
  <c r="S37" i="13"/>
  <c r="T37" i="13"/>
  <c r="U37" i="13"/>
  <c r="V37" i="13"/>
  <c r="O38" i="13"/>
  <c r="P38" i="13"/>
  <c r="Q38" i="13"/>
  <c r="R38" i="13"/>
  <c r="S38" i="13"/>
  <c r="T38" i="13"/>
  <c r="U38" i="13"/>
  <c r="V38" i="13"/>
  <c r="O39" i="13"/>
  <c r="P39" i="13"/>
  <c r="Q39" i="13"/>
  <c r="R39" i="13"/>
  <c r="S39" i="13"/>
  <c r="T39" i="13"/>
  <c r="U39" i="13"/>
  <c r="V39" i="13"/>
  <c r="O40" i="13"/>
  <c r="P40" i="13"/>
  <c r="Q40" i="13"/>
  <c r="R40" i="13"/>
  <c r="S40" i="13"/>
  <c r="T40" i="13"/>
  <c r="U40" i="13"/>
  <c r="V40" i="13"/>
  <c r="O41" i="13"/>
  <c r="P41" i="13"/>
  <c r="Q41" i="13"/>
  <c r="R41" i="13"/>
  <c r="S41" i="13"/>
  <c r="T41" i="13"/>
  <c r="U41" i="13"/>
  <c r="V41" i="13"/>
  <c r="O42" i="13"/>
  <c r="P42" i="13"/>
  <c r="Q42" i="13"/>
  <c r="R42" i="13"/>
  <c r="S42" i="13"/>
  <c r="T42" i="13"/>
  <c r="U42" i="13"/>
  <c r="V42" i="13"/>
  <c r="O43" i="13"/>
  <c r="P43" i="13"/>
  <c r="Q43" i="13"/>
  <c r="R43" i="13"/>
  <c r="S43" i="13"/>
  <c r="T43" i="13"/>
  <c r="U43" i="13"/>
  <c r="V43" i="13"/>
  <c r="O44" i="13"/>
  <c r="P44" i="13"/>
  <c r="Q44" i="13"/>
  <c r="R44" i="13"/>
  <c r="S44" i="13"/>
  <c r="T44" i="13"/>
  <c r="U44" i="13"/>
  <c r="V44" i="13"/>
  <c r="O45" i="13"/>
  <c r="P45" i="13"/>
  <c r="Q45" i="13"/>
  <c r="R45" i="13"/>
  <c r="S45" i="13"/>
  <c r="T45" i="13"/>
  <c r="U45" i="13"/>
  <c r="V45" i="13"/>
  <c r="O46" i="13"/>
  <c r="P46" i="13"/>
  <c r="Q46" i="13"/>
  <c r="R46" i="13"/>
  <c r="S46" i="13"/>
  <c r="T46" i="13"/>
  <c r="U46" i="13"/>
  <c r="V46" i="13"/>
  <c r="O47" i="13"/>
  <c r="P47" i="13"/>
  <c r="Q47" i="13"/>
  <c r="R47" i="13"/>
  <c r="S47" i="13"/>
  <c r="T47" i="13"/>
  <c r="U47" i="13"/>
  <c r="V47" i="13"/>
  <c r="O48" i="13"/>
  <c r="P48" i="13"/>
  <c r="Q48" i="13"/>
  <c r="R48" i="13"/>
  <c r="S48" i="13"/>
  <c r="T48" i="13"/>
  <c r="U48" i="13"/>
  <c r="V48" i="13"/>
  <c r="O49" i="13"/>
  <c r="P49" i="13"/>
  <c r="Q49" i="13"/>
  <c r="R49" i="13"/>
  <c r="S49" i="13"/>
  <c r="T49" i="13"/>
  <c r="U49" i="13"/>
  <c r="V49" i="13"/>
  <c r="O50" i="13"/>
  <c r="P50" i="13"/>
  <c r="Q50" i="13"/>
  <c r="R50" i="13"/>
  <c r="S50" i="13"/>
  <c r="T50" i="13"/>
  <c r="U50" i="13"/>
  <c r="V50" i="13"/>
  <c r="O51" i="13"/>
  <c r="P51" i="13"/>
  <c r="Q51" i="13"/>
  <c r="R51" i="13"/>
  <c r="S51" i="13"/>
  <c r="T51" i="13"/>
  <c r="U51" i="13"/>
  <c r="V51" i="13"/>
  <c r="O52" i="13"/>
  <c r="P52" i="13"/>
  <c r="Q52" i="13"/>
  <c r="R52" i="13"/>
  <c r="S52" i="13"/>
  <c r="T52" i="13"/>
  <c r="U52" i="13"/>
  <c r="V52" i="13"/>
  <c r="O53" i="13"/>
  <c r="P53" i="13"/>
  <c r="Q53" i="13"/>
  <c r="R53" i="13"/>
  <c r="S53" i="13"/>
  <c r="T53" i="13"/>
  <c r="U53" i="13"/>
  <c r="V53" i="13"/>
  <c r="O54" i="13"/>
  <c r="P54" i="13"/>
  <c r="Q54" i="13"/>
  <c r="R54" i="13"/>
  <c r="S54" i="13"/>
  <c r="T54" i="13"/>
  <c r="U54" i="13"/>
  <c r="V54" i="13"/>
  <c r="O55" i="13"/>
  <c r="P55" i="13"/>
  <c r="Q55" i="13"/>
  <c r="R55" i="13"/>
  <c r="S55" i="13"/>
  <c r="T55" i="13"/>
  <c r="U55" i="13"/>
  <c r="V55" i="13"/>
  <c r="O56" i="13"/>
  <c r="P56" i="13"/>
  <c r="Q56" i="13"/>
  <c r="R56" i="13"/>
  <c r="S56" i="13"/>
  <c r="T56" i="13"/>
  <c r="U56" i="13"/>
  <c r="V56" i="13"/>
  <c r="O57" i="13"/>
  <c r="P57" i="13"/>
  <c r="Q57" i="13"/>
  <c r="R57" i="13"/>
  <c r="S57" i="13"/>
  <c r="T57" i="13"/>
  <c r="U57" i="13"/>
  <c r="V57" i="13"/>
  <c r="O58" i="13"/>
  <c r="P58" i="13"/>
  <c r="Q58" i="13"/>
  <c r="R58" i="13"/>
  <c r="S58" i="13"/>
  <c r="T58" i="13"/>
  <c r="U58" i="13"/>
  <c r="V58" i="13"/>
  <c r="O59" i="13"/>
  <c r="P59" i="13"/>
  <c r="Q59" i="13"/>
  <c r="R59" i="13"/>
  <c r="S59" i="13"/>
  <c r="T59" i="13"/>
  <c r="U59" i="13"/>
  <c r="V59" i="13"/>
  <c r="O60" i="13"/>
  <c r="P60" i="13"/>
  <c r="Q60" i="13"/>
  <c r="R60" i="13"/>
  <c r="S60" i="13"/>
  <c r="T60" i="13"/>
  <c r="U60" i="13"/>
  <c r="V60" i="13"/>
  <c r="V11" i="13"/>
  <c r="U11" i="13"/>
  <c r="T11" i="13"/>
  <c r="S11" i="13"/>
  <c r="R11" i="13"/>
  <c r="Q11" i="13"/>
  <c r="P11" i="13"/>
  <c r="O11" i="13"/>
  <c r="AQ60" i="13" l="1"/>
  <c r="AQ59" i="13"/>
  <c r="AQ58" i="13"/>
  <c r="AQ57" i="13"/>
  <c r="AQ56" i="13"/>
  <c r="AQ55" i="13"/>
  <c r="AQ54" i="13"/>
  <c r="AQ53" i="13"/>
  <c r="AQ52" i="13"/>
  <c r="AQ51" i="13"/>
  <c r="AQ50" i="13"/>
  <c r="AQ49" i="13"/>
  <c r="AQ48" i="13"/>
  <c r="AQ47" i="13"/>
  <c r="AQ46" i="13"/>
  <c r="AQ45" i="13"/>
  <c r="AQ44" i="13"/>
  <c r="AQ43" i="13"/>
  <c r="AQ42" i="13"/>
  <c r="AQ41" i="13"/>
  <c r="AQ40" i="13"/>
  <c r="AQ39" i="13"/>
  <c r="AQ38" i="13"/>
  <c r="AQ37" i="13"/>
  <c r="AQ36" i="13"/>
  <c r="AQ35" i="13"/>
  <c r="AQ34" i="13"/>
  <c r="AQ33" i="13"/>
  <c r="AQ32" i="13"/>
  <c r="AQ31" i="13"/>
  <c r="AQ25" i="13"/>
  <c r="AQ24" i="13"/>
  <c r="AQ23" i="13"/>
  <c r="AQ22" i="13"/>
  <c r="AQ21" i="13"/>
  <c r="AQ20" i="13"/>
  <c r="AQ19" i="13"/>
  <c r="AQ18" i="13"/>
  <c r="AQ17" i="13"/>
  <c r="AQ16" i="13"/>
  <c r="AQ15" i="13"/>
  <c r="AQ14" i="13"/>
  <c r="AQ13" i="13"/>
  <c r="AQ12" i="13"/>
  <c r="AQ11" i="13"/>
  <c r="L11" i="13"/>
  <c r="AR60" i="13" l="1"/>
  <c r="M60" i="13" s="1"/>
  <c r="AS60" i="13"/>
  <c r="N60" i="13" s="1"/>
  <c r="AS21" i="13"/>
  <c r="N21" i="13" s="1"/>
  <c r="AR21" i="13"/>
  <c r="M21" i="13" s="1"/>
  <c r="AS46" i="13"/>
  <c r="N46" i="13" s="1"/>
  <c r="AR46" i="13"/>
  <c r="M46" i="13" s="1"/>
  <c r="AS54" i="13"/>
  <c r="N54" i="13" s="1"/>
  <c r="AR54" i="13"/>
  <c r="M54" i="13" s="1"/>
  <c r="AS37" i="13"/>
  <c r="N37" i="13" s="1"/>
  <c r="AR37" i="13"/>
  <c r="M37" i="13" s="1"/>
  <c r="AS55" i="13"/>
  <c r="N55" i="13" s="1"/>
  <c r="AR55" i="13"/>
  <c r="M55" i="13" s="1"/>
  <c r="AS45" i="13"/>
  <c r="N45" i="13" s="1"/>
  <c r="AR45" i="13"/>
  <c r="M45" i="13" s="1"/>
  <c r="AR47" i="13"/>
  <c r="M47" i="13" s="1"/>
  <c r="AS47" i="13"/>
  <c r="N47" i="13" s="1"/>
  <c r="AS32" i="13"/>
  <c r="N32" i="13" s="1"/>
  <c r="AR32" i="13"/>
  <c r="M32" i="13" s="1"/>
  <c r="AS40" i="13"/>
  <c r="N40" i="13" s="1"/>
  <c r="AR40" i="13"/>
  <c r="M40" i="13" s="1"/>
  <c r="AS48" i="13"/>
  <c r="N48" i="13" s="1"/>
  <c r="AR48" i="13"/>
  <c r="M48" i="13" s="1"/>
  <c r="AS56" i="13"/>
  <c r="N56" i="13" s="1"/>
  <c r="AR56" i="13"/>
  <c r="M56" i="13" s="1"/>
  <c r="AS38" i="13"/>
  <c r="N38" i="13" s="1"/>
  <c r="AR38" i="13"/>
  <c r="M38" i="13" s="1"/>
  <c r="AR23" i="13"/>
  <c r="M23" i="13" s="1"/>
  <c r="AS23" i="13"/>
  <c r="N23" i="13" s="1"/>
  <c r="AS17" i="13"/>
  <c r="N17" i="13" s="1"/>
  <c r="AR17" i="13"/>
  <c r="M17" i="13" s="1"/>
  <c r="AS25" i="13"/>
  <c r="N25" i="13" s="1"/>
  <c r="AR25" i="13"/>
  <c r="M25" i="13" s="1"/>
  <c r="AS33" i="13"/>
  <c r="N33" i="13" s="1"/>
  <c r="AR33" i="13"/>
  <c r="M33" i="13" s="1"/>
  <c r="AS41" i="13"/>
  <c r="N41" i="13" s="1"/>
  <c r="AR41" i="13"/>
  <c r="M41" i="13" s="1"/>
  <c r="AS49" i="13"/>
  <c r="N49" i="13" s="1"/>
  <c r="AR49" i="13"/>
  <c r="M49" i="13" s="1"/>
  <c r="AS57" i="13"/>
  <c r="N57" i="13" s="1"/>
  <c r="AR57" i="13"/>
  <c r="M57" i="13" s="1"/>
  <c r="AS13" i="13"/>
  <c r="N13" i="13" s="1"/>
  <c r="AR13" i="13"/>
  <c r="M13" i="13" s="1"/>
  <c r="AS22" i="13"/>
  <c r="N22" i="13" s="1"/>
  <c r="AR22" i="13"/>
  <c r="M22" i="13" s="1"/>
  <c r="AR31" i="13"/>
  <c r="M31" i="13" s="1"/>
  <c r="AS31" i="13"/>
  <c r="N31" i="13" s="1"/>
  <c r="AS34" i="13"/>
  <c r="N34" i="13" s="1"/>
  <c r="AR34" i="13"/>
  <c r="M34" i="13" s="1"/>
  <c r="AS42" i="13"/>
  <c r="N42" i="13" s="1"/>
  <c r="AR42" i="13"/>
  <c r="M42" i="13" s="1"/>
  <c r="AS50" i="13"/>
  <c r="N50" i="13" s="1"/>
  <c r="AR50" i="13"/>
  <c r="M50" i="13" s="1"/>
  <c r="AS58" i="13"/>
  <c r="N58" i="13" s="1"/>
  <c r="AR58" i="13"/>
  <c r="M58" i="13" s="1"/>
  <c r="AS14" i="13"/>
  <c r="N14" i="13" s="1"/>
  <c r="AR14" i="13"/>
  <c r="M14" i="13" s="1"/>
  <c r="AR39" i="13"/>
  <c r="M39" i="13" s="1"/>
  <c r="AS39" i="13"/>
  <c r="N39" i="13" s="1"/>
  <c r="AS16" i="13"/>
  <c r="N16" i="13" s="1"/>
  <c r="AR16" i="13"/>
  <c r="M16" i="13" s="1"/>
  <c r="AS18" i="13"/>
  <c r="N18" i="13" s="1"/>
  <c r="AR18" i="13"/>
  <c r="M18" i="13" s="1"/>
  <c r="AR19" i="13"/>
  <c r="M19" i="13" s="1"/>
  <c r="AS19" i="13"/>
  <c r="N19" i="13" s="1"/>
  <c r="AR35" i="13"/>
  <c r="M35" i="13" s="1"/>
  <c r="AS35" i="13"/>
  <c r="N35" i="13" s="1"/>
  <c r="AR43" i="13"/>
  <c r="M43" i="13" s="1"/>
  <c r="AS43" i="13"/>
  <c r="N43" i="13" s="1"/>
  <c r="AR51" i="13"/>
  <c r="M51" i="13" s="1"/>
  <c r="AS51" i="13"/>
  <c r="N51" i="13" s="1"/>
  <c r="AS59" i="13"/>
  <c r="N59" i="13" s="1"/>
  <c r="AR59" i="13"/>
  <c r="M59" i="13" s="1"/>
  <c r="AS53" i="13"/>
  <c r="N53" i="13" s="1"/>
  <c r="AR53" i="13"/>
  <c r="M53" i="13" s="1"/>
  <c r="AS15" i="13"/>
  <c r="N15" i="13" s="1"/>
  <c r="AR15" i="13"/>
  <c r="M15" i="13" s="1"/>
  <c r="AS24" i="13"/>
  <c r="N24" i="13" s="1"/>
  <c r="AR24" i="13"/>
  <c r="M24" i="13" s="1"/>
  <c r="AS12" i="13"/>
  <c r="N12" i="13" s="1"/>
  <c r="AR12" i="13"/>
  <c r="M12" i="13" s="1"/>
  <c r="AS20" i="13"/>
  <c r="N20" i="13" s="1"/>
  <c r="AR20" i="13"/>
  <c r="M20" i="13" s="1"/>
  <c r="AS36" i="13"/>
  <c r="N36" i="13" s="1"/>
  <c r="AR36" i="13"/>
  <c r="M36" i="13" s="1"/>
  <c r="AS44" i="13"/>
  <c r="N44" i="13" s="1"/>
  <c r="AR44" i="13"/>
  <c r="M44" i="13" s="1"/>
  <c r="AS52" i="13"/>
  <c r="N52" i="13" s="1"/>
  <c r="AR52" i="13"/>
  <c r="M52" i="13" s="1"/>
  <c r="AS11" i="13"/>
  <c r="N11" i="13" s="1"/>
  <c r="AR11" i="13"/>
  <c r="M11" i="13" s="1"/>
  <c r="AQ29" i="13"/>
  <c r="AS29" i="13" s="1"/>
  <c r="N29" i="13" s="1"/>
  <c r="AQ30" i="13"/>
  <c r="AS30" i="13" s="1"/>
  <c r="N30" i="13" s="1"/>
  <c r="AQ28" i="13" l="1"/>
  <c r="AR29" i="13"/>
  <c r="M29" i="13" s="1"/>
  <c r="AR30" i="13"/>
  <c r="M30" i="13" s="1"/>
  <c r="AQ26" i="13"/>
  <c r="AQ27" i="13"/>
  <c r="G3" i="15"/>
  <c r="AI12" i="15"/>
  <c r="AI13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M12" i="15"/>
  <c r="M13" i="15"/>
  <c r="M19" i="15"/>
  <c r="M20" i="15"/>
  <c r="M21" i="15"/>
  <c r="M22" i="15"/>
  <c r="M23" i="15"/>
  <c r="AH23" i="15" s="1"/>
  <c r="M24" i="15"/>
  <c r="M25" i="15"/>
  <c r="M26" i="15"/>
  <c r="M27" i="15"/>
  <c r="M28" i="15"/>
  <c r="M29" i="15"/>
  <c r="M30" i="15"/>
  <c r="M31" i="15"/>
  <c r="M32" i="15"/>
  <c r="M33" i="15"/>
  <c r="M34" i="15"/>
  <c r="N12" i="15"/>
  <c r="N13" i="15"/>
  <c r="N19" i="15"/>
  <c r="AI19" i="15" s="1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AD12" i="15"/>
  <c r="AD13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I12" i="15"/>
  <c r="I13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AE12" i="15"/>
  <c r="AF12" i="15"/>
  <c r="AG12" i="15"/>
  <c r="AE13" i="15"/>
  <c r="AF13" i="15"/>
  <c r="AG13" i="15"/>
  <c r="AE19" i="15"/>
  <c r="AF19" i="15"/>
  <c r="AG19" i="15"/>
  <c r="AE20" i="15"/>
  <c r="AF20" i="15"/>
  <c r="AG20" i="15"/>
  <c r="AE21" i="15"/>
  <c r="AF21" i="15"/>
  <c r="AG21" i="15"/>
  <c r="AE22" i="15"/>
  <c r="AF22" i="15"/>
  <c r="AG22" i="15"/>
  <c r="AE23" i="15"/>
  <c r="AF23" i="15"/>
  <c r="AG23" i="15"/>
  <c r="AE24" i="15"/>
  <c r="AF24" i="15"/>
  <c r="AG24" i="15"/>
  <c r="AE25" i="15"/>
  <c r="AF25" i="15"/>
  <c r="AG25" i="15"/>
  <c r="AE26" i="15"/>
  <c r="AF26" i="15"/>
  <c r="AG26" i="15"/>
  <c r="AE27" i="15"/>
  <c r="AF27" i="15"/>
  <c r="AG27" i="15"/>
  <c r="AE28" i="15"/>
  <c r="AF28" i="15"/>
  <c r="AG28" i="15"/>
  <c r="AE29" i="15"/>
  <c r="AF29" i="15"/>
  <c r="AG29" i="15"/>
  <c r="AE30" i="15"/>
  <c r="AF30" i="15"/>
  <c r="AG30" i="15"/>
  <c r="AE31" i="15"/>
  <c r="AF31" i="15"/>
  <c r="AG31" i="15"/>
  <c r="AE32" i="15"/>
  <c r="AF32" i="15"/>
  <c r="AG32" i="15"/>
  <c r="AE33" i="15"/>
  <c r="AF33" i="15"/>
  <c r="AG33" i="15"/>
  <c r="AE34" i="15"/>
  <c r="AF34" i="15"/>
  <c r="AG34" i="15"/>
  <c r="BK10" i="15"/>
  <c r="BK1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9" i="15"/>
  <c r="BJ9" i="15"/>
  <c r="BD34" i="15"/>
  <c r="BD33" i="15"/>
  <c r="BD32" i="15"/>
  <c r="BD31" i="15"/>
  <c r="BD30" i="15"/>
  <c r="BD29" i="15"/>
  <c r="BD28" i="15"/>
  <c r="BD27" i="15"/>
  <c r="BD26" i="15"/>
  <c r="BD25" i="15"/>
  <c r="BD24" i="15"/>
  <c r="BD23" i="15"/>
  <c r="BD22" i="15"/>
  <c r="BD21" i="15"/>
  <c r="BD20" i="15"/>
  <c r="BD19" i="15"/>
  <c r="BD18" i="15"/>
  <c r="BD17" i="15"/>
  <c r="BD16" i="15"/>
  <c r="BD15" i="15"/>
  <c r="BD14" i="15"/>
  <c r="BD13" i="15"/>
  <c r="BD12" i="15"/>
  <c r="BD11" i="15"/>
  <c r="BD10" i="15"/>
  <c r="BD9" i="15"/>
  <c r="BC9" i="15"/>
  <c r="AS28" i="13" l="1"/>
  <c r="N28" i="13" s="1"/>
  <c r="AR28" i="13"/>
  <c r="M28" i="13" s="1"/>
  <c r="AS27" i="13"/>
  <c r="N27" i="13" s="1"/>
  <c r="AR27" i="13"/>
  <c r="M27" i="13" s="1"/>
  <c r="AS26" i="13"/>
  <c r="N26" i="13" s="1"/>
  <c r="AR26" i="13"/>
  <c r="M26" i="13" s="1"/>
  <c r="S455" i="1"/>
  <c r="R455" i="1"/>
  <c r="S459" i="1" l="1"/>
  <c r="R459" i="1"/>
  <c r="AA12" i="15"/>
  <c r="AA13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B12" i="15"/>
  <c r="AB13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L12" i="15"/>
  <c r="L13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K12" i="15"/>
  <c r="K13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BR10" i="15"/>
  <c r="BR11" i="15"/>
  <c r="BR12" i="15"/>
  <c r="BR13" i="15"/>
  <c r="BR14" i="15"/>
  <c r="BR15" i="15"/>
  <c r="BR16" i="15"/>
  <c r="BR17" i="15"/>
  <c r="BR18" i="15"/>
  <c r="BR19" i="15"/>
  <c r="BR20" i="15"/>
  <c r="BR21" i="15"/>
  <c r="BR22" i="15"/>
  <c r="BR23" i="15"/>
  <c r="BR24" i="15"/>
  <c r="BR25" i="15"/>
  <c r="BR26" i="15"/>
  <c r="BR27" i="15"/>
  <c r="BR28" i="15"/>
  <c r="BR29" i="15"/>
  <c r="BR30" i="15"/>
  <c r="BR31" i="15"/>
  <c r="BR32" i="15"/>
  <c r="BR33" i="15"/>
  <c r="BR34" i="15"/>
  <c r="BR9" i="15"/>
  <c r="BA10" i="15"/>
  <c r="BB10" i="15"/>
  <c r="BC10" i="15"/>
  <c r="BE10" i="15"/>
  <c r="BF10" i="15"/>
  <c r="BG10" i="15"/>
  <c r="BH10" i="15"/>
  <c r="BI10" i="15"/>
  <c r="BJ10" i="15"/>
  <c r="BA11" i="15"/>
  <c r="BB11" i="15"/>
  <c r="BC11" i="15"/>
  <c r="BE11" i="15"/>
  <c r="BF11" i="15"/>
  <c r="BG11" i="15"/>
  <c r="BH11" i="15"/>
  <c r="BI11" i="15"/>
  <c r="BJ11" i="15"/>
  <c r="BA12" i="15"/>
  <c r="BB12" i="15"/>
  <c r="BC12" i="15"/>
  <c r="BE12" i="15"/>
  <c r="BF12" i="15"/>
  <c r="BG12" i="15"/>
  <c r="BH12" i="15"/>
  <c r="BI12" i="15"/>
  <c r="BJ12" i="15"/>
  <c r="BA13" i="15"/>
  <c r="BB13" i="15"/>
  <c r="BC13" i="15"/>
  <c r="BE13" i="15"/>
  <c r="BF13" i="15"/>
  <c r="BG13" i="15"/>
  <c r="BH13" i="15"/>
  <c r="BI13" i="15"/>
  <c r="BJ13" i="15"/>
  <c r="BA14" i="15"/>
  <c r="BB14" i="15"/>
  <c r="BC14" i="15"/>
  <c r="BM14" i="15" s="1"/>
  <c r="BE14" i="15"/>
  <c r="BF14" i="15"/>
  <c r="BG14" i="15"/>
  <c r="BH14" i="15"/>
  <c r="BI14" i="15"/>
  <c r="BJ14" i="15"/>
  <c r="BA15" i="15"/>
  <c r="BB15" i="15"/>
  <c r="BC15" i="15"/>
  <c r="BE15" i="15"/>
  <c r="BF15" i="15"/>
  <c r="BG15" i="15"/>
  <c r="BH15" i="15"/>
  <c r="BI15" i="15"/>
  <c r="BJ15" i="15"/>
  <c r="BA16" i="15"/>
  <c r="BB16" i="15"/>
  <c r="BC16" i="15"/>
  <c r="BE16" i="15"/>
  <c r="BF16" i="15"/>
  <c r="BG16" i="15"/>
  <c r="BH16" i="15"/>
  <c r="BI16" i="15"/>
  <c r="BJ16" i="15"/>
  <c r="BA17" i="15"/>
  <c r="BB17" i="15"/>
  <c r="BC17" i="15"/>
  <c r="BE17" i="15"/>
  <c r="BF17" i="15"/>
  <c r="BG17" i="15"/>
  <c r="BH17" i="15"/>
  <c r="BI17" i="15"/>
  <c r="BJ17" i="15"/>
  <c r="BA18" i="15"/>
  <c r="BB18" i="15"/>
  <c r="BC18" i="15"/>
  <c r="BE18" i="15"/>
  <c r="BF18" i="15"/>
  <c r="BG18" i="15"/>
  <c r="BH18" i="15"/>
  <c r="BI18" i="15"/>
  <c r="BJ18" i="15"/>
  <c r="BA19" i="15"/>
  <c r="BB19" i="15"/>
  <c r="BC19" i="15"/>
  <c r="BE19" i="15"/>
  <c r="BF19" i="15"/>
  <c r="BG19" i="15"/>
  <c r="BH19" i="15"/>
  <c r="BI19" i="15"/>
  <c r="BJ19" i="15"/>
  <c r="BA20" i="15"/>
  <c r="BB20" i="15"/>
  <c r="BC20" i="15"/>
  <c r="BE20" i="15"/>
  <c r="BF20" i="15"/>
  <c r="BG20" i="15"/>
  <c r="BH20" i="15"/>
  <c r="BI20" i="15"/>
  <c r="BJ20" i="15"/>
  <c r="BA21" i="15"/>
  <c r="BB21" i="15"/>
  <c r="BC21" i="15"/>
  <c r="BE21" i="15"/>
  <c r="BF21" i="15"/>
  <c r="BO21" i="15" s="1"/>
  <c r="BG21" i="15"/>
  <c r="BH21" i="15"/>
  <c r="BI21" i="15"/>
  <c r="BJ21" i="15"/>
  <c r="BA22" i="15"/>
  <c r="BB22" i="15"/>
  <c r="BC22" i="15"/>
  <c r="BE22" i="15"/>
  <c r="BF22" i="15"/>
  <c r="BG22" i="15"/>
  <c r="BH22" i="15"/>
  <c r="BI22" i="15"/>
  <c r="BJ22" i="15"/>
  <c r="BA23" i="15"/>
  <c r="BB23" i="15"/>
  <c r="BC23" i="15"/>
  <c r="BE23" i="15"/>
  <c r="BF23" i="15"/>
  <c r="BG23" i="15"/>
  <c r="BH23" i="15"/>
  <c r="BI23" i="15"/>
  <c r="BJ23" i="15"/>
  <c r="BA24" i="15"/>
  <c r="BB24" i="15"/>
  <c r="BC24" i="15"/>
  <c r="BE24" i="15"/>
  <c r="BF24" i="15"/>
  <c r="BG24" i="15"/>
  <c r="BH24" i="15"/>
  <c r="BI24" i="15"/>
  <c r="BJ24" i="15"/>
  <c r="BA25" i="15"/>
  <c r="BB25" i="15"/>
  <c r="BC25" i="15"/>
  <c r="BE25" i="15"/>
  <c r="BF25" i="15"/>
  <c r="BG25" i="15"/>
  <c r="BH25" i="15"/>
  <c r="BI25" i="15"/>
  <c r="BJ25" i="15"/>
  <c r="BA26" i="15"/>
  <c r="BB26" i="15"/>
  <c r="BC26" i="15"/>
  <c r="BE26" i="15"/>
  <c r="BF26" i="15"/>
  <c r="BG26" i="15"/>
  <c r="BH26" i="15"/>
  <c r="BI26" i="15"/>
  <c r="BJ26" i="15"/>
  <c r="BA27" i="15"/>
  <c r="BB27" i="15"/>
  <c r="BC27" i="15"/>
  <c r="BE27" i="15"/>
  <c r="BF27" i="15"/>
  <c r="BG27" i="15"/>
  <c r="BH27" i="15"/>
  <c r="BI27" i="15"/>
  <c r="BJ27" i="15"/>
  <c r="BA28" i="15"/>
  <c r="BB28" i="15"/>
  <c r="BC28" i="15"/>
  <c r="BE28" i="15"/>
  <c r="BF28" i="15"/>
  <c r="BG28" i="15"/>
  <c r="BH28" i="15"/>
  <c r="BI28" i="15"/>
  <c r="BJ28" i="15"/>
  <c r="BA29" i="15"/>
  <c r="BB29" i="15"/>
  <c r="BC29" i="15"/>
  <c r="BE29" i="15"/>
  <c r="BF29" i="15"/>
  <c r="BO29" i="15" s="1"/>
  <c r="BG29" i="15"/>
  <c r="BH29" i="15"/>
  <c r="BI29" i="15"/>
  <c r="BJ29" i="15"/>
  <c r="BA30" i="15"/>
  <c r="BB30" i="15"/>
  <c r="BC30" i="15"/>
  <c r="BE30" i="15"/>
  <c r="BF30" i="15"/>
  <c r="BG30" i="15"/>
  <c r="BH30" i="15"/>
  <c r="BI30" i="15"/>
  <c r="BJ30" i="15"/>
  <c r="BA31" i="15"/>
  <c r="BB31" i="15"/>
  <c r="BC31" i="15"/>
  <c r="BE31" i="15"/>
  <c r="BF31" i="15"/>
  <c r="BG31" i="15"/>
  <c r="BH31" i="15"/>
  <c r="BI31" i="15"/>
  <c r="BJ31" i="15"/>
  <c r="BA32" i="15"/>
  <c r="BB32" i="15"/>
  <c r="BC32" i="15"/>
  <c r="BE32" i="15"/>
  <c r="BF32" i="15"/>
  <c r="BG32" i="15"/>
  <c r="BH32" i="15"/>
  <c r="BI32" i="15"/>
  <c r="BJ32" i="15"/>
  <c r="BA33" i="15"/>
  <c r="BB33" i="15"/>
  <c r="BC33" i="15"/>
  <c r="BE33" i="15"/>
  <c r="BF33" i="15"/>
  <c r="BG33" i="15"/>
  <c r="BH33" i="15"/>
  <c r="BI33" i="15"/>
  <c r="BJ33" i="15"/>
  <c r="BA34" i="15"/>
  <c r="BB34" i="15"/>
  <c r="BC34" i="15"/>
  <c r="BE34" i="15"/>
  <c r="BF34" i="15"/>
  <c r="BG34" i="15"/>
  <c r="BH34" i="15"/>
  <c r="BI34" i="15"/>
  <c r="BJ34" i="15"/>
  <c r="BB9" i="15"/>
  <c r="BE9" i="15"/>
  <c r="BF9" i="15"/>
  <c r="BG9" i="15"/>
  <c r="BH9" i="15"/>
  <c r="BI9" i="15"/>
  <c r="BA9" i="15"/>
  <c r="AN10" i="15"/>
  <c r="AO10" i="15"/>
  <c r="AP10" i="15"/>
  <c r="AQ10" i="15"/>
  <c r="AR10" i="15"/>
  <c r="AS10" i="15"/>
  <c r="AT10" i="15"/>
  <c r="AU10" i="15"/>
  <c r="AN11" i="15"/>
  <c r="AO11" i="15"/>
  <c r="AP11" i="15"/>
  <c r="AQ11" i="15"/>
  <c r="AR11" i="15"/>
  <c r="AS11" i="15"/>
  <c r="AT11" i="15"/>
  <c r="AU11" i="15"/>
  <c r="AN12" i="15"/>
  <c r="AO12" i="15"/>
  <c r="AP12" i="15"/>
  <c r="AQ12" i="15"/>
  <c r="AR12" i="15"/>
  <c r="AS12" i="15"/>
  <c r="AT12" i="15"/>
  <c r="AU12" i="15"/>
  <c r="AN13" i="15"/>
  <c r="AO13" i="15"/>
  <c r="AP13" i="15"/>
  <c r="AQ13" i="15"/>
  <c r="AR13" i="15"/>
  <c r="AS13" i="15"/>
  <c r="AT13" i="15"/>
  <c r="AU13" i="15"/>
  <c r="AN14" i="15"/>
  <c r="AO14" i="15"/>
  <c r="AP14" i="15"/>
  <c r="AQ14" i="15"/>
  <c r="AR14" i="15"/>
  <c r="AS14" i="15"/>
  <c r="AT14" i="15"/>
  <c r="AU14" i="15"/>
  <c r="AN15" i="15"/>
  <c r="AO15" i="15"/>
  <c r="AP15" i="15"/>
  <c r="AQ15" i="15"/>
  <c r="AR15" i="15"/>
  <c r="AS15" i="15"/>
  <c r="AT15" i="15"/>
  <c r="AU15" i="15"/>
  <c r="AN16" i="15"/>
  <c r="AO16" i="15"/>
  <c r="AP16" i="15"/>
  <c r="AQ16" i="15"/>
  <c r="AR16" i="15"/>
  <c r="AS16" i="15"/>
  <c r="AT16" i="15"/>
  <c r="AU16" i="15"/>
  <c r="AN17" i="15"/>
  <c r="AO17" i="15"/>
  <c r="AP17" i="15"/>
  <c r="AQ17" i="15"/>
  <c r="AR17" i="15"/>
  <c r="AS17" i="15"/>
  <c r="AT17" i="15"/>
  <c r="AU17" i="15"/>
  <c r="AN18" i="15"/>
  <c r="AO18" i="15"/>
  <c r="AP18" i="15"/>
  <c r="AQ18" i="15"/>
  <c r="AR18" i="15"/>
  <c r="AS18" i="15"/>
  <c r="AT18" i="15"/>
  <c r="AU18" i="15"/>
  <c r="AN19" i="15"/>
  <c r="AO19" i="15"/>
  <c r="AP19" i="15"/>
  <c r="AQ19" i="15"/>
  <c r="AR19" i="15"/>
  <c r="AS19" i="15"/>
  <c r="AT19" i="15"/>
  <c r="AU19" i="15"/>
  <c r="AN20" i="15"/>
  <c r="AO20" i="15"/>
  <c r="AP20" i="15"/>
  <c r="AQ20" i="15"/>
  <c r="AR20" i="15"/>
  <c r="AS20" i="15"/>
  <c r="AT20" i="15"/>
  <c r="AU20" i="15"/>
  <c r="AN21" i="15"/>
  <c r="AO21" i="15"/>
  <c r="AP21" i="15"/>
  <c r="AQ21" i="15"/>
  <c r="AR21" i="15"/>
  <c r="AS21" i="15"/>
  <c r="AT21" i="15"/>
  <c r="AU21" i="15"/>
  <c r="AN22" i="15"/>
  <c r="AO22" i="15"/>
  <c r="AP22" i="15"/>
  <c r="AQ22" i="15"/>
  <c r="AR22" i="15"/>
  <c r="AS22" i="15"/>
  <c r="AT22" i="15"/>
  <c r="AU22" i="15"/>
  <c r="AN23" i="15"/>
  <c r="AO23" i="15"/>
  <c r="AP23" i="15"/>
  <c r="AQ23" i="15"/>
  <c r="AR23" i="15"/>
  <c r="AS23" i="15"/>
  <c r="AT23" i="15"/>
  <c r="AU23" i="15"/>
  <c r="AN24" i="15"/>
  <c r="AO24" i="15"/>
  <c r="AP24" i="15"/>
  <c r="AQ24" i="15"/>
  <c r="AR24" i="15"/>
  <c r="AS24" i="15"/>
  <c r="AT24" i="15"/>
  <c r="AU24" i="15"/>
  <c r="AN25" i="15"/>
  <c r="AO25" i="15"/>
  <c r="AP25" i="15"/>
  <c r="AQ25" i="15"/>
  <c r="AR25" i="15"/>
  <c r="AS25" i="15"/>
  <c r="AT25" i="15"/>
  <c r="AU25" i="15"/>
  <c r="AN26" i="15"/>
  <c r="AO26" i="15"/>
  <c r="AP26" i="15"/>
  <c r="AQ26" i="15"/>
  <c r="AR26" i="15"/>
  <c r="AS26" i="15"/>
  <c r="AT26" i="15"/>
  <c r="AU26" i="15"/>
  <c r="AN27" i="15"/>
  <c r="AO27" i="15"/>
  <c r="AP27" i="15"/>
  <c r="AQ27" i="15"/>
  <c r="AR27" i="15"/>
  <c r="AS27" i="15"/>
  <c r="AT27" i="15"/>
  <c r="AU27" i="15"/>
  <c r="AN28" i="15"/>
  <c r="AO28" i="15"/>
  <c r="AP28" i="15"/>
  <c r="AQ28" i="15"/>
  <c r="AR28" i="15"/>
  <c r="AS28" i="15"/>
  <c r="AT28" i="15"/>
  <c r="AU28" i="15"/>
  <c r="AN29" i="15"/>
  <c r="AO29" i="15"/>
  <c r="AP29" i="15"/>
  <c r="AQ29" i="15"/>
  <c r="AR29" i="15"/>
  <c r="AS29" i="15"/>
  <c r="AT29" i="15"/>
  <c r="AU29" i="15"/>
  <c r="AN30" i="15"/>
  <c r="AO30" i="15"/>
  <c r="AP30" i="15"/>
  <c r="AQ30" i="15"/>
  <c r="AR30" i="15"/>
  <c r="AS30" i="15"/>
  <c r="AT30" i="15"/>
  <c r="AU30" i="15"/>
  <c r="AN31" i="15"/>
  <c r="AO31" i="15"/>
  <c r="AP31" i="15"/>
  <c r="AQ31" i="15"/>
  <c r="AR31" i="15"/>
  <c r="AS31" i="15"/>
  <c r="AT31" i="15"/>
  <c r="AU31" i="15"/>
  <c r="AN32" i="15"/>
  <c r="AO32" i="15"/>
  <c r="AP32" i="15"/>
  <c r="AQ32" i="15"/>
  <c r="AR32" i="15"/>
  <c r="AS32" i="15"/>
  <c r="AT32" i="15"/>
  <c r="AU32" i="15"/>
  <c r="AN33" i="15"/>
  <c r="AO33" i="15"/>
  <c r="AP33" i="15"/>
  <c r="AQ33" i="15"/>
  <c r="AR33" i="15"/>
  <c r="AS33" i="15"/>
  <c r="AT33" i="15"/>
  <c r="AU33" i="15"/>
  <c r="AN34" i="15"/>
  <c r="AO34" i="15"/>
  <c r="AP34" i="15"/>
  <c r="AQ34" i="15"/>
  <c r="AR34" i="15"/>
  <c r="AS34" i="15"/>
  <c r="AT34" i="15"/>
  <c r="AU34" i="15"/>
  <c r="AP9" i="15"/>
  <c r="BO18" i="15" l="1"/>
  <c r="BP18" i="15" s="1"/>
  <c r="AB18" i="15" s="1"/>
  <c r="BO13" i="15"/>
  <c r="BO28" i="15"/>
  <c r="BO20" i="15"/>
  <c r="BO12" i="15"/>
  <c r="BP12" i="15" s="1"/>
  <c r="BP31" i="15"/>
  <c r="BO27" i="15"/>
  <c r="BP27" i="15" s="1"/>
  <c r="BO19" i="15"/>
  <c r="BP19" i="15" s="1"/>
  <c r="BO11" i="15"/>
  <c r="BO34" i="15"/>
  <c r="BO26" i="15"/>
  <c r="BP26" i="15" s="1"/>
  <c r="BO16" i="15"/>
  <c r="BP16" i="15" s="1"/>
  <c r="AB16" i="15" s="1"/>
  <c r="BO10" i="15"/>
  <c r="BO9" i="15"/>
  <c r="BP9" i="15" s="1"/>
  <c r="BO33" i="15"/>
  <c r="BP33" i="15" s="1"/>
  <c r="BP29" i="15"/>
  <c r="BO25" i="15"/>
  <c r="BP25" i="15" s="1"/>
  <c r="BP21" i="15"/>
  <c r="BO17" i="15"/>
  <c r="BP17" i="15" s="1"/>
  <c r="AB17" i="15" s="1"/>
  <c r="BP13" i="15"/>
  <c r="BO32" i="15"/>
  <c r="BP32" i="15" s="1"/>
  <c r="BP28" i="15"/>
  <c r="BO24" i="15"/>
  <c r="BP24" i="15" s="1"/>
  <c r="BP20" i="15"/>
  <c r="BO31" i="15"/>
  <c r="BO23" i="15"/>
  <c r="BP23" i="15" s="1"/>
  <c r="BO15" i="15"/>
  <c r="BP15" i="15" s="1"/>
  <c r="AB15" i="15" s="1"/>
  <c r="BP11" i="15"/>
  <c r="BP34" i="15"/>
  <c r="BO30" i="15"/>
  <c r="BP30" i="15" s="1"/>
  <c r="BO22" i="15"/>
  <c r="BP22" i="15" s="1"/>
  <c r="BO14" i="15"/>
  <c r="BP10" i="15"/>
  <c r="AD18" i="15"/>
  <c r="I18" i="15"/>
  <c r="AD17" i="15"/>
  <c r="I17" i="15"/>
  <c r="I16" i="15"/>
  <c r="AD16" i="15"/>
  <c r="I15" i="15"/>
  <c r="AD15" i="15"/>
  <c r="BP14" i="15"/>
  <c r="AB14" i="15" s="1"/>
  <c r="I14" i="15"/>
  <c r="AD14" i="15"/>
  <c r="I11" i="15"/>
  <c r="AD11" i="15"/>
  <c r="I10" i="15"/>
  <c r="AD10" i="15"/>
  <c r="BL9" i="15"/>
  <c r="BL12" i="15"/>
  <c r="BL31" i="15"/>
  <c r="BL25" i="15"/>
  <c r="BL21" i="15"/>
  <c r="BL33" i="15"/>
  <c r="BL30" i="15"/>
  <c r="BL18" i="15"/>
  <c r="AA18" i="15" s="1"/>
  <c r="BL10" i="15"/>
  <c r="AA10" i="15" s="1"/>
  <c r="BL24" i="15"/>
  <c r="BL20" i="15"/>
  <c r="AY19" i="15"/>
  <c r="AW26" i="15"/>
  <c r="AW22" i="15"/>
  <c r="AW18" i="15"/>
  <c r="N18" i="15" s="1"/>
  <c r="BL27" i="15"/>
  <c r="BL23" i="15"/>
  <c r="BL19" i="15"/>
  <c r="AB10" i="15"/>
  <c r="BL32" i="15"/>
  <c r="BL14" i="15"/>
  <c r="BL11" i="15"/>
  <c r="AA11" i="15" s="1"/>
  <c r="BL29" i="15"/>
  <c r="BL28" i="15"/>
  <c r="BL26" i="15"/>
  <c r="BL22" i="15"/>
  <c r="BL15" i="15"/>
  <c r="AA15" i="15" s="1"/>
  <c r="BL13" i="15"/>
  <c r="AB11" i="15"/>
  <c r="BL34" i="15"/>
  <c r="BL17" i="15"/>
  <c r="AA17" i="15" s="1"/>
  <c r="BL16" i="15"/>
  <c r="AA16" i="15" s="1"/>
  <c r="AX26" i="15"/>
  <c r="AX11" i="15"/>
  <c r="AZ26" i="15"/>
  <c r="AV26" i="15"/>
  <c r="AZ22" i="15"/>
  <c r="AZ13" i="15"/>
  <c r="AY27" i="15"/>
  <c r="AV27" i="15"/>
  <c r="AW30" i="15"/>
  <c r="AW27" i="15"/>
  <c r="AY22" i="15"/>
  <c r="AY15" i="15"/>
  <c r="K15" i="15" s="1"/>
  <c r="AW13" i="15"/>
  <c r="AZ11" i="15"/>
  <c r="L11" i="15" s="1"/>
  <c r="AZ29" i="15"/>
  <c r="AZ21" i="15"/>
  <c r="BW21" i="15" s="1"/>
  <c r="AV21" i="15"/>
  <c r="AZ20" i="15"/>
  <c r="AV17" i="15"/>
  <c r="M17" i="15" s="1"/>
  <c r="AY11" i="15"/>
  <c r="K11" i="15" s="1"/>
  <c r="AZ34" i="15"/>
  <c r="AV33" i="15"/>
  <c r="AZ31" i="15"/>
  <c r="AY34" i="15"/>
  <c r="AY33" i="15"/>
  <c r="AY32" i="15"/>
  <c r="AX23" i="15"/>
  <c r="AX22" i="15"/>
  <c r="AX28" i="15"/>
  <c r="AW33" i="15"/>
  <c r="AW32" i="15"/>
  <c r="AW29" i="15"/>
  <c r="AV25" i="15"/>
  <c r="AV24" i="15"/>
  <c r="AY23" i="15"/>
  <c r="AZ19" i="15"/>
  <c r="AZ17" i="15"/>
  <c r="L17" i="15" s="1"/>
  <c r="AX15" i="15"/>
  <c r="J15" i="15" s="1"/>
  <c r="AX14" i="15"/>
  <c r="J14" i="15" s="1"/>
  <c r="AV13" i="15"/>
  <c r="BS13" i="15" s="1"/>
  <c r="AW34" i="15"/>
  <c r="AX34" i="15"/>
  <c r="AZ33" i="15"/>
  <c r="AX31" i="15"/>
  <c r="AX30" i="15"/>
  <c r="BU30" i="15" s="1"/>
  <c r="AV29" i="15"/>
  <c r="AY28" i="15"/>
  <c r="AY21" i="15"/>
  <c r="BV21" i="15" s="1"/>
  <c r="AW21" i="15"/>
  <c r="AW20" i="15"/>
  <c r="AW17" i="15"/>
  <c r="N17" i="15" s="1"/>
  <c r="AW16" i="15"/>
  <c r="N16" i="15" s="1"/>
  <c r="AZ15" i="15"/>
  <c r="AV34" i="15"/>
  <c r="AV32" i="15"/>
  <c r="AY31" i="15"/>
  <c r="AY29" i="15"/>
  <c r="AX27" i="15"/>
  <c r="AY26" i="15"/>
  <c r="AV23" i="15"/>
  <c r="AV22" i="15"/>
  <c r="AV20" i="15"/>
  <c r="AY17" i="15"/>
  <c r="K17" i="15" s="1"/>
  <c r="AY13" i="15"/>
  <c r="AZ30" i="15"/>
  <c r="BW30" i="15" s="1"/>
  <c r="AV30" i="15"/>
  <c r="AW28" i="15"/>
  <c r="AZ27" i="15"/>
  <c r="AZ25" i="15"/>
  <c r="BW25" i="15" s="1"/>
  <c r="AW23" i="15"/>
  <c r="AV19" i="15"/>
  <c r="AX18" i="15"/>
  <c r="J18" i="15" s="1"/>
  <c r="AZ18" i="15"/>
  <c r="AV18" i="15"/>
  <c r="M18" i="15" s="1"/>
  <c r="AZ16" i="15"/>
  <c r="L16" i="15" s="1"/>
  <c r="AV16" i="15"/>
  <c r="M16" i="15" s="1"/>
  <c r="AZ14" i="15"/>
  <c r="AW10" i="15"/>
  <c r="N10" i="15" s="1"/>
  <c r="AV31" i="15"/>
  <c r="AW31" i="15"/>
  <c r="AY30" i="15"/>
  <c r="BV30" i="15" s="1"/>
  <c r="AV28" i="15"/>
  <c r="AY25" i="15"/>
  <c r="AW25" i="15"/>
  <c r="AW24" i="15"/>
  <c r="AZ23" i="15"/>
  <c r="AW19" i="15"/>
  <c r="AX19" i="15"/>
  <c r="AY18" i="15"/>
  <c r="AY14" i="15"/>
  <c r="K14" i="15" s="1"/>
  <c r="AW14" i="15"/>
  <c r="N14" i="15" s="1"/>
  <c r="AW12" i="15"/>
  <c r="AZ12" i="15"/>
  <c r="AY24" i="15"/>
  <c r="AZ10" i="15"/>
  <c r="AX10" i="15"/>
  <c r="J10" i="15" s="1"/>
  <c r="AY10" i="15"/>
  <c r="AW15" i="15"/>
  <c r="N15" i="15" s="1"/>
  <c r="AV15" i="15"/>
  <c r="M15" i="15" s="1"/>
  <c r="AV14" i="15"/>
  <c r="M14" i="15" s="1"/>
  <c r="AH14" i="15" s="1"/>
  <c r="AV12" i="15"/>
  <c r="AV11" i="15"/>
  <c r="M11" i="15" s="1"/>
  <c r="AW11" i="15"/>
  <c r="N11" i="15" s="1"/>
  <c r="AV10" i="15"/>
  <c r="M10" i="15" s="1"/>
  <c r="AZ32" i="15"/>
  <c r="BW32" i="15" s="1"/>
  <c r="AX32" i="15"/>
  <c r="BU32" i="15" s="1"/>
  <c r="AZ24" i="15"/>
  <c r="AX24" i="15"/>
  <c r="AZ28" i="15"/>
  <c r="AY16" i="15"/>
  <c r="K16" i="15" s="1"/>
  <c r="AX20" i="15"/>
  <c r="AX16" i="15"/>
  <c r="J16" i="15" s="1"/>
  <c r="AX12" i="15"/>
  <c r="AY20" i="15"/>
  <c r="AY12" i="15"/>
  <c r="AX33" i="15"/>
  <c r="AX29" i="15"/>
  <c r="BU29" i="15" s="1"/>
  <c r="AX25" i="15"/>
  <c r="AX21" i="15"/>
  <c r="AX17" i="15"/>
  <c r="J17" i="15" s="1"/>
  <c r="AX13" i="15"/>
  <c r="BN14" i="15" l="1"/>
  <c r="AA14" i="15" s="1"/>
  <c r="BW28" i="15"/>
  <c r="BQ27" i="15"/>
  <c r="BV29" i="15"/>
  <c r="BW18" i="15"/>
  <c r="AG18" i="15" s="1"/>
  <c r="L18" i="15"/>
  <c r="BV18" i="15"/>
  <c r="AF18" i="15" s="1"/>
  <c r="K18" i="15"/>
  <c r="BW15" i="15"/>
  <c r="AG15" i="15" s="1"/>
  <c r="L15" i="15"/>
  <c r="L14" i="15"/>
  <c r="BQ9" i="15"/>
  <c r="BT25" i="15"/>
  <c r="BS12" i="15"/>
  <c r="BS22" i="15"/>
  <c r="BT34" i="15"/>
  <c r="BV16" i="15"/>
  <c r="AF16" i="15" s="1"/>
  <c r="BV32" i="15"/>
  <c r="BW27" i="15"/>
  <c r="BS26" i="15"/>
  <c r="BS14" i="15"/>
  <c r="BU18" i="15"/>
  <c r="AE18" i="15" s="1"/>
  <c r="BV15" i="15"/>
  <c r="AF15" i="15" s="1"/>
  <c r="BT14" i="15"/>
  <c r="BV25" i="15"/>
  <c r="BS31" i="15"/>
  <c r="BT28" i="15"/>
  <c r="BV27" i="15"/>
  <c r="BT12" i="15"/>
  <c r="BT31" i="15"/>
  <c r="BU25" i="15"/>
  <c r="BS28" i="15"/>
  <c r="BS18" i="15"/>
  <c r="BT23" i="15"/>
  <c r="BU27" i="15"/>
  <c r="BS34" i="15"/>
  <c r="BU15" i="15"/>
  <c r="AE15" i="15" s="1"/>
  <c r="BW22" i="15"/>
  <c r="BS23" i="15"/>
  <c r="BT27" i="15"/>
  <c r="BU16" i="15"/>
  <c r="AE16" i="15" s="1"/>
  <c r="BT19" i="15"/>
  <c r="BW16" i="15"/>
  <c r="AG16" i="15" s="1"/>
  <c r="BS19" i="15"/>
  <c r="BW29" i="15"/>
  <c r="BU24" i="15"/>
  <c r="BU19" i="15"/>
  <c r="BU22" i="15"/>
  <c r="BV22" i="15"/>
  <c r="BQ25" i="15"/>
  <c r="BQ22" i="15"/>
  <c r="BQ19" i="15"/>
  <c r="BQ32" i="15"/>
  <c r="BQ16" i="15"/>
  <c r="AI16" i="15" s="1"/>
  <c r="BQ13" i="15"/>
  <c r="BQ29" i="15"/>
  <c r="BQ10" i="15"/>
  <c r="AI10" i="15" s="1"/>
  <c r="BQ26" i="15"/>
  <c r="BQ23" i="15"/>
  <c r="BQ20" i="15"/>
  <c r="BQ17" i="15"/>
  <c r="AI17" i="15" s="1"/>
  <c r="BQ33" i="15"/>
  <c r="BQ14" i="15"/>
  <c r="AI14" i="15" s="1"/>
  <c r="BQ30" i="15"/>
  <c r="BQ11" i="15"/>
  <c r="AI11" i="15" s="1"/>
  <c r="BQ24" i="15"/>
  <c r="BQ21" i="15"/>
  <c r="BQ18" i="15"/>
  <c r="AI18" i="15" s="1"/>
  <c r="BQ34" i="15"/>
  <c r="BQ15" i="15"/>
  <c r="AI15" i="15" s="1"/>
  <c r="BQ31" i="15"/>
  <c r="BQ12" i="15"/>
  <c r="BQ28" i="15"/>
  <c r="AB9" i="15"/>
  <c r="BV12" i="15"/>
  <c r="BW24" i="15"/>
  <c r="BT21" i="15"/>
  <c r="BW17" i="15"/>
  <c r="AG17" i="15" s="1"/>
  <c r="BS25" i="15"/>
  <c r="BU28" i="15"/>
  <c r="BS21" i="15"/>
  <c r="BT13" i="15"/>
  <c r="BT30" i="15"/>
  <c r="BV24" i="15"/>
  <c r="BU34" i="15"/>
  <c r="BT26" i="15"/>
  <c r="BU13" i="15"/>
  <c r="BU12" i="15"/>
  <c r="BW12" i="15"/>
  <c r="BT24" i="15"/>
  <c r="BV33" i="15"/>
  <c r="BW34" i="15"/>
  <c r="BV19" i="15"/>
  <c r="BU33" i="15"/>
  <c r="BS16" i="15"/>
  <c r="BT16" i="15"/>
  <c r="BW19" i="15"/>
  <c r="BV34" i="15"/>
  <c r="BV11" i="15"/>
  <c r="AF11" i="15" s="1"/>
  <c r="BU26" i="15"/>
  <c r="BU17" i="15"/>
  <c r="AE17" i="15" s="1"/>
  <c r="BV13" i="15"/>
  <c r="BV31" i="15"/>
  <c r="BU21" i="15"/>
  <c r="BS15" i="15"/>
  <c r="BV17" i="15"/>
  <c r="AF17" i="15" s="1"/>
  <c r="BV26" i="15"/>
  <c r="BS32" i="15"/>
  <c r="BT17" i="15"/>
  <c r="BV28" i="15"/>
  <c r="BW33" i="15"/>
  <c r="BU14" i="15"/>
  <c r="AE14" i="15" s="1"/>
  <c r="BV23" i="15"/>
  <c r="BT32" i="15"/>
  <c r="BU23" i="15"/>
  <c r="BW31" i="15"/>
  <c r="BS17" i="15"/>
  <c r="BW26" i="15"/>
  <c r="BU31" i="15"/>
  <c r="BT29" i="15"/>
  <c r="BU20" i="15"/>
  <c r="BT11" i="15"/>
  <c r="BV20" i="15"/>
  <c r="BS11" i="15"/>
  <c r="BT15" i="15"/>
  <c r="BW23" i="15"/>
  <c r="BS30" i="15"/>
  <c r="BS20" i="15"/>
  <c r="BT20" i="15"/>
  <c r="BS29" i="15"/>
  <c r="BS24" i="15"/>
  <c r="BT33" i="15"/>
  <c r="BS33" i="15"/>
  <c r="BW20" i="15"/>
  <c r="BW11" i="15"/>
  <c r="AG11" i="15" s="1"/>
  <c r="BW13" i="15"/>
  <c r="BU11" i="15"/>
  <c r="AE11" i="15" s="1"/>
  <c r="BT18" i="15"/>
  <c r="BT22" i="15"/>
  <c r="L10" i="15"/>
  <c r="BW10" i="15"/>
  <c r="AG10" i="15" s="1"/>
  <c r="K10" i="15"/>
  <c r="BV10" i="15"/>
  <c r="AF10" i="15" s="1"/>
  <c r="BU10" i="15"/>
  <c r="AE10" i="15" s="1"/>
  <c r="BT10" i="15"/>
  <c r="BS10" i="15"/>
  <c r="AT9" i="15"/>
  <c r="AQ9" i="15"/>
  <c r="AN9" i="15"/>
  <c r="AU9" i="15"/>
  <c r="AS9" i="15"/>
  <c r="AR9" i="15"/>
  <c r="AO9" i="15"/>
  <c r="BV14" i="15" l="1"/>
  <c r="AF14" i="15" s="1"/>
  <c r="BW14" i="15"/>
  <c r="AG14" i="15" s="1"/>
  <c r="BS27" i="15"/>
  <c r="I9" i="15"/>
  <c r="AD9" i="15"/>
  <c r="BN9" i="15"/>
  <c r="AA9" i="15" s="1"/>
  <c r="AW9" i="15"/>
  <c r="N9" i="15" s="1"/>
  <c r="AI9" i="15" s="1"/>
  <c r="AZ9" i="15"/>
  <c r="AY9" i="15"/>
  <c r="AX9" i="15"/>
  <c r="AV9" i="15"/>
  <c r="M9" i="15" s="1"/>
  <c r="F12" i="13"/>
  <c r="G12" i="13"/>
  <c r="H12" i="13"/>
  <c r="I12" i="13"/>
  <c r="J12" i="13"/>
  <c r="K12" i="13"/>
  <c r="F13" i="13"/>
  <c r="G13" i="13"/>
  <c r="H13" i="13"/>
  <c r="I13" i="13"/>
  <c r="J13" i="13"/>
  <c r="K13" i="13"/>
  <c r="F14" i="13"/>
  <c r="G14" i="13"/>
  <c r="H14" i="13"/>
  <c r="I14" i="13"/>
  <c r="J14" i="13"/>
  <c r="K14" i="13"/>
  <c r="F15" i="13"/>
  <c r="G15" i="13"/>
  <c r="H15" i="13"/>
  <c r="I15" i="13"/>
  <c r="J15" i="13"/>
  <c r="K15" i="13"/>
  <c r="F16" i="13"/>
  <c r="G16" i="13"/>
  <c r="H16" i="13"/>
  <c r="I16" i="13"/>
  <c r="J16" i="13"/>
  <c r="K16" i="13"/>
  <c r="F17" i="13"/>
  <c r="G17" i="13"/>
  <c r="H17" i="13"/>
  <c r="I17" i="13"/>
  <c r="J17" i="13"/>
  <c r="K17" i="13"/>
  <c r="F18" i="13"/>
  <c r="G18" i="13"/>
  <c r="H18" i="13"/>
  <c r="I18" i="13"/>
  <c r="J18" i="13"/>
  <c r="K18" i="13"/>
  <c r="F19" i="13"/>
  <c r="G19" i="13"/>
  <c r="H19" i="13"/>
  <c r="I19" i="13"/>
  <c r="J19" i="13"/>
  <c r="K19" i="13"/>
  <c r="F20" i="13"/>
  <c r="G20" i="13"/>
  <c r="H20" i="13"/>
  <c r="I20" i="13"/>
  <c r="J20" i="13"/>
  <c r="K20" i="13"/>
  <c r="F21" i="13"/>
  <c r="G21" i="13"/>
  <c r="H21" i="13"/>
  <c r="I21" i="13"/>
  <c r="J21" i="13"/>
  <c r="K21" i="13"/>
  <c r="F22" i="13"/>
  <c r="G22" i="13"/>
  <c r="H22" i="13"/>
  <c r="I22" i="13"/>
  <c r="J22" i="13"/>
  <c r="K22" i="13"/>
  <c r="F23" i="13"/>
  <c r="G23" i="13"/>
  <c r="H23" i="13"/>
  <c r="I23" i="13"/>
  <c r="J23" i="13"/>
  <c r="K23" i="13"/>
  <c r="F24" i="13"/>
  <c r="G24" i="13"/>
  <c r="H24" i="13"/>
  <c r="I24" i="13"/>
  <c r="J24" i="13"/>
  <c r="K24" i="13"/>
  <c r="F25" i="13"/>
  <c r="G25" i="13"/>
  <c r="H25" i="13"/>
  <c r="I25" i="13"/>
  <c r="J25" i="13"/>
  <c r="K25" i="13"/>
  <c r="F26" i="13"/>
  <c r="G26" i="13"/>
  <c r="H26" i="13"/>
  <c r="I26" i="13"/>
  <c r="J26" i="13"/>
  <c r="K26" i="13"/>
  <c r="F27" i="13"/>
  <c r="G27" i="13"/>
  <c r="H27" i="13"/>
  <c r="I27" i="13"/>
  <c r="J27" i="13"/>
  <c r="K27" i="13"/>
  <c r="F28" i="13"/>
  <c r="G28" i="13"/>
  <c r="H28" i="13"/>
  <c r="I28" i="13"/>
  <c r="J28" i="13"/>
  <c r="K28" i="13"/>
  <c r="F29" i="13"/>
  <c r="G29" i="13"/>
  <c r="H29" i="13"/>
  <c r="I29" i="13"/>
  <c r="J29" i="13"/>
  <c r="K29" i="13"/>
  <c r="F30" i="13"/>
  <c r="G30" i="13"/>
  <c r="H30" i="13"/>
  <c r="I30" i="13"/>
  <c r="J30" i="13"/>
  <c r="K30" i="13"/>
  <c r="F31" i="13"/>
  <c r="G31" i="13"/>
  <c r="H31" i="13"/>
  <c r="I31" i="13"/>
  <c r="J31" i="13"/>
  <c r="K31" i="13"/>
  <c r="F32" i="13"/>
  <c r="G32" i="13"/>
  <c r="H32" i="13"/>
  <c r="I32" i="13"/>
  <c r="J32" i="13"/>
  <c r="K32" i="13"/>
  <c r="F33" i="13"/>
  <c r="G33" i="13"/>
  <c r="H33" i="13"/>
  <c r="I33" i="13"/>
  <c r="J33" i="13"/>
  <c r="K33" i="13"/>
  <c r="F34" i="13"/>
  <c r="G34" i="13"/>
  <c r="H34" i="13"/>
  <c r="I34" i="13"/>
  <c r="J34" i="13"/>
  <c r="K34" i="13"/>
  <c r="F35" i="13"/>
  <c r="G35" i="13"/>
  <c r="H35" i="13"/>
  <c r="I35" i="13"/>
  <c r="J35" i="13"/>
  <c r="K35" i="13"/>
  <c r="F36" i="13"/>
  <c r="G36" i="13"/>
  <c r="H36" i="13"/>
  <c r="I36" i="13"/>
  <c r="J36" i="13"/>
  <c r="K36" i="13"/>
  <c r="F37" i="13"/>
  <c r="G37" i="13"/>
  <c r="H37" i="13"/>
  <c r="I37" i="13"/>
  <c r="J37" i="13"/>
  <c r="K37" i="13"/>
  <c r="F38" i="13"/>
  <c r="G38" i="13"/>
  <c r="H38" i="13"/>
  <c r="I38" i="13"/>
  <c r="J38" i="13"/>
  <c r="K38" i="13"/>
  <c r="F39" i="13"/>
  <c r="G39" i="13"/>
  <c r="H39" i="13"/>
  <c r="I39" i="13"/>
  <c r="J39" i="13"/>
  <c r="K39" i="13"/>
  <c r="F40" i="13"/>
  <c r="G40" i="13"/>
  <c r="H40" i="13"/>
  <c r="I40" i="13"/>
  <c r="J40" i="13"/>
  <c r="K40" i="13"/>
  <c r="F41" i="13"/>
  <c r="G41" i="13"/>
  <c r="H41" i="13"/>
  <c r="I41" i="13"/>
  <c r="J41" i="13"/>
  <c r="K41" i="13"/>
  <c r="F42" i="13"/>
  <c r="G42" i="13"/>
  <c r="H42" i="13"/>
  <c r="I42" i="13"/>
  <c r="J42" i="13"/>
  <c r="K42" i="13"/>
  <c r="F43" i="13"/>
  <c r="G43" i="13"/>
  <c r="H43" i="13"/>
  <c r="I43" i="13"/>
  <c r="J43" i="13"/>
  <c r="K43" i="13"/>
  <c r="F44" i="13"/>
  <c r="G44" i="13"/>
  <c r="H44" i="13"/>
  <c r="I44" i="13"/>
  <c r="J44" i="13"/>
  <c r="K44" i="13"/>
  <c r="F45" i="13"/>
  <c r="G45" i="13"/>
  <c r="H45" i="13"/>
  <c r="I45" i="13"/>
  <c r="J45" i="13"/>
  <c r="K45" i="13"/>
  <c r="F46" i="13"/>
  <c r="G46" i="13"/>
  <c r="H46" i="13"/>
  <c r="I46" i="13"/>
  <c r="J46" i="13"/>
  <c r="K46" i="13"/>
  <c r="F47" i="13"/>
  <c r="G47" i="13"/>
  <c r="H47" i="13"/>
  <c r="I47" i="13"/>
  <c r="J47" i="13"/>
  <c r="K47" i="13"/>
  <c r="F48" i="13"/>
  <c r="G48" i="13"/>
  <c r="H48" i="13"/>
  <c r="I48" i="13"/>
  <c r="J48" i="13"/>
  <c r="K48" i="13"/>
  <c r="F49" i="13"/>
  <c r="G49" i="13"/>
  <c r="H49" i="13"/>
  <c r="I49" i="13"/>
  <c r="J49" i="13"/>
  <c r="K49" i="13"/>
  <c r="F50" i="13"/>
  <c r="G50" i="13"/>
  <c r="H50" i="13"/>
  <c r="I50" i="13"/>
  <c r="J50" i="13"/>
  <c r="K50" i="13"/>
  <c r="F51" i="13"/>
  <c r="G51" i="13"/>
  <c r="H51" i="13"/>
  <c r="I51" i="13"/>
  <c r="J51" i="13"/>
  <c r="K51" i="13"/>
  <c r="F52" i="13"/>
  <c r="G52" i="13"/>
  <c r="H52" i="13"/>
  <c r="I52" i="13"/>
  <c r="J52" i="13"/>
  <c r="K52" i="13"/>
  <c r="F53" i="13"/>
  <c r="G53" i="13"/>
  <c r="H53" i="13"/>
  <c r="I53" i="13"/>
  <c r="J53" i="13"/>
  <c r="K53" i="13"/>
  <c r="F54" i="13"/>
  <c r="G54" i="13"/>
  <c r="H54" i="13"/>
  <c r="I54" i="13"/>
  <c r="J54" i="13"/>
  <c r="K54" i="13"/>
  <c r="F55" i="13"/>
  <c r="G55" i="13"/>
  <c r="H55" i="13"/>
  <c r="I55" i="13"/>
  <c r="J55" i="13"/>
  <c r="K55" i="13"/>
  <c r="F56" i="13"/>
  <c r="G56" i="13"/>
  <c r="H56" i="13"/>
  <c r="I56" i="13"/>
  <c r="J56" i="13"/>
  <c r="K56" i="13"/>
  <c r="F57" i="13"/>
  <c r="G57" i="13"/>
  <c r="H57" i="13"/>
  <c r="I57" i="13"/>
  <c r="J57" i="13"/>
  <c r="K57" i="13"/>
  <c r="F58" i="13"/>
  <c r="G58" i="13"/>
  <c r="H58" i="13"/>
  <c r="I58" i="13"/>
  <c r="J58" i="13"/>
  <c r="K58" i="13"/>
  <c r="F59" i="13"/>
  <c r="G59" i="13"/>
  <c r="H59" i="13"/>
  <c r="I59" i="13"/>
  <c r="J59" i="13"/>
  <c r="K59" i="13"/>
  <c r="F60" i="13"/>
  <c r="G60" i="13"/>
  <c r="H60" i="13"/>
  <c r="I60" i="13"/>
  <c r="J60" i="13"/>
  <c r="K60" i="13"/>
  <c r="K11" i="13"/>
  <c r="J11" i="13"/>
  <c r="I11" i="13"/>
  <c r="H11" i="13"/>
  <c r="G11" i="13"/>
  <c r="BT9" i="15" l="1"/>
  <c r="BS9" i="15"/>
  <c r="BU9" i="15"/>
  <c r="AE9" i="15" s="1"/>
  <c r="BV9" i="15"/>
  <c r="AF9" i="15" s="1"/>
  <c r="BW9" i="15"/>
  <c r="AG9" i="15" s="1"/>
  <c r="K9" i="15"/>
  <c r="J9" i="15"/>
  <c r="L9" i="15"/>
  <c r="S487" i="1" l="1"/>
  <c r="R487" i="1"/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L60" i="13"/>
  <c r="E60" i="13"/>
  <c r="D60" i="13"/>
  <c r="L59" i="13"/>
  <c r="E59" i="13"/>
  <c r="D59" i="13"/>
  <c r="L58" i="13"/>
  <c r="E58" i="13"/>
  <c r="D58" i="13"/>
  <c r="L57" i="13"/>
  <c r="E57" i="13"/>
  <c r="D57" i="13"/>
  <c r="L56" i="13"/>
  <c r="E56" i="13"/>
  <c r="D56" i="13"/>
  <c r="L55" i="13"/>
  <c r="E55" i="13"/>
  <c r="D55" i="13"/>
  <c r="L54" i="13"/>
  <c r="E54" i="13"/>
  <c r="D54" i="13"/>
  <c r="L53" i="13"/>
  <c r="E53" i="13"/>
  <c r="D53" i="13"/>
  <c r="L52" i="13"/>
  <c r="E52" i="13"/>
  <c r="D52" i="13"/>
  <c r="L51" i="13"/>
  <c r="E51" i="13"/>
  <c r="D51" i="13"/>
  <c r="L50" i="13"/>
  <c r="E50" i="13"/>
  <c r="D50" i="13"/>
  <c r="L49" i="13"/>
  <c r="E49" i="13"/>
  <c r="D49" i="13"/>
  <c r="L48" i="13"/>
  <c r="E48" i="13"/>
  <c r="D48" i="13"/>
  <c r="L47" i="13"/>
  <c r="E47" i="13"/>
  <c r="D47" i="13"/>
  <c r="L46" i="13"/>
  <c r="E46" i="13"/>
  <c r="D46" i="13"/>
  <c r="L45" i="13"/>
  <c r="E45" i="13"/>
  <c r="D45" i="13"/>
  <c r="L44" i="13"/>
  <c r="E44" i="13"/>
  <c r="D44" i="13"/>
  <c r="L43" i="13"/>
  <c r="E43" i="13"/>
  <c r="D43" i="13"/>
  <c r="L42" i="13"/>
  <c r="E42" i="13"/>
  <c r="D42" i="13"/>
  <c r="L41" i="13"/>
  <c r="E41" i="13"/>
  <c r="D41" i="13"/>
  <c r="L40" i="13"/>
  <c r="E40" i="13"/>
  <c r="D40" i="13"/>
  <c r="L39" i="13"/>
  <c r="E39" i="13"/>
  <c r="D39" i="13"/>
  <c r="L38" i="13"/>
  <c r="E38" i="13"/>
  <c r="D38" i="13"/>
  <c r="L37" i="13"/>
  <c r="E37" i="13"/>
  <c r="D37" i="13"/>
  <c r="L36" i="13"/>
  <c r="E36" i="13"/>
  <c r="D36" i="13"/>
  <c r="L35" i="13"/>
  <c r="E35" i="13"/>
  <c r="D35" i="13"/>
  <c r="L34" i="13"/>
  <c r="E34" i="13"/>
  <c r="D34" i="13"/>
  <c r="L33" i="13"/>
  <c r="E33" i="13"/>
  <c r="D33" i="13"/>
  <c r="L32" i="13"/>
  <c r="E32" i="13"/>
  <c r="D32" i="13"/>
  <c r="L31" i="13"/>
  <c r="E31" i="13"/>
  <c r="D31" i="13"/>
  <c r="L30" i="13"/>
  <c r="E30" i="13"/>
  <c r="D30" i="13"/>
  <c r="L29" i="13"/>
  <c r="E29" i="13"/>
  <c r="D29" i="13"/>
  <c r="L28" i="13"/>
  <c r="E28" i="13"/>
  <c r="D28" i="13"/>
  <c r="L27" i="13"/>
  <c r="E27" i="13"/>
  <c r="D27" i="13"/>
  <c r="L26" i="13"/>
  <c r="E26" i="13"/>
  <c r="D26" i="13"/>
  <c r="L25" i="13"/>
  <c r="E25" i="13"/>
  <c r="D25" i="13"/>
  <c r="L24" i="13"/>
  <c r="E24" i="13"/>
  <c r="D24" i="13"/>
  <c r="L23" i="13"/>
  <c r="E23" i="13"/>
  <c r="D23" i="13"/>
  <c r="L22" i="13"/>
  <c r="E22" i="13"/>
  <c r="D22" i="13"/>
  <c r="L21" i="13"/>
  <c r="E21" i="13"/>
  <c r="D21" i="13"/>
  <c r="L20" i="13"/>
  <c r="E20" i="13"/>
  <c r="D20" i="13"/>
  <c r="L19" i="13"/>
  <c r="E19" i="13"/>
  <c r="D19" i="13"/>
  <c r="L18" i="13"/>
  <c r="E18" i="13"/>
  <c r="D18" i="13"/>
  <c r="L17" i="13"/>
  <c r="E17" i="13"/>
  <c r="D17" i="13"/>
  <c r="L16" i="13"/>
  <c r="E16" i="13"/>
  <c r="D16" i="13"/>
  <c r="L15" i="13"/>
  <c r="E15" i="13"/>
  <c r="D15" i="13"/>
  <c r="L14" i="13"/>
  <c r="E14" i="13"/>
  <c r="D14" i="13"/>
  <c r="L13" i="13"/>
  <c r="E13" i="13"/>
  <c r="D13" i="13"/>
  <c r="L12" i="13"/>
  <c r="E12" i="13"/>
  <c r="D12" i="13"/>
  <c r="E11" i="13"/>
  <c r="D11" i="13"/>
  <c r="R490" i="1" l="1"/>
  <c r="S490" i="1"/>
  <c r="S509" i="1" l="1"/>
  <c r="S512" i="1"/>
  <c r="S511" i="1"/>
  <c r="R470" i="1" l="1"/>
  <c r="S470" i="1"/>
  <c r="S474" i="1" l="1"/>
  <c r="S441" i="1"/>
  <c r="R474" i="1"/>
  <c r="R441" i="1"/>
  <c r="S443" i="1"/>
  <c r="R443" i="1"/>
  <c r="S508" i="1"/>
  <c r="S483" i="1"/>
  <c r="S480" i="1"/>
  <c r="R500" i="1"/>
  <c r="S498" i="1"/>
  <c r="R496" i="1"/>
  <c r="R492" i="1"/>
  <c r="S489" i="1"/>
  <c r="R485" i="1"/>
  <c r="S482" i="1"/>
  <c r="R479" i="1"/>
  <c r="R475" i="1"/>
  <c r="S473" i="1"/>
  <c r="S471" i="1"/>
  <c r="R464" i="1"/>
  <c r="R460" i="1"/>
  <c r="R478" i="1"/>
  <c r="R471" i="1"/>
  <c r="R456" i="1"/>
  <c r="S481" i="1"/>
  <c r="R502" i="1"/>
  <c r="S485" i="1"/>
  <c r="S493" i="1"/>
  <c r="S484" i="1"/>
  <c r="S491" i="1"/>
  <c r="R477" i="1"/>
  <c r="R489" i="1"/>
  <c r="R493" i="1"/>
  <c r="R467" i="1"/>
  <c r="R439" i="1"/>
  <c r="S499" i="1"/>
  <c r="S477" i="1"/>
  <c r="S458" i="1"/>
  <c r="S456" i="1"/>
  <c r="R495" i="1"/>
  <c r="R447" i="1"/>
  <c r="S502" i="1"/>
  <c r="R452" i="1"/>
  <c r="S507" i="1"/>
  <c r="S503" i="1"/>
  <c r="S501" i="1"/>
  <c r="R499" i="1"/>
  <c r="S497" i="1"/>
  <c r="S495" i="1"/>
  <c r="S488" i="1"/>
  <c r="R483" i="1"/>
  <c r="R482" i="1"/>
  <c r="R480" i="1"/>
  <c r="S476" i="1"/>
  <c r="S472" i="1"/>
  <c r="R469" i="1"/>
  <c r="R462" i="1"/>
  <c r="R457" i="1"/>
  <c r="R454" i="1"/>
  <c r="R449" i="1"/>
  <c r="R446" i="1"/>
  <c r="R498" i="1"/>
  <c r="S479" i="1"/>
  <c r="R476" i="1"/>
  <c r="S475" i="1"/>
  <c r="R473" i="1"/>
  <c r="R472" i="1"/>
  <c r="S469" i="1"/>
  <c r="S468" i="1"/>
  <c r="S467" i="1"/>
  <c r="S464" i="1"/>
  <c r="S463" i="1"/>
  <c r="S462" i="1"/>
  <c r="S461" i="1"/>
  <c r="S460" i="1"/>
  <c r="S454" i="1"/>
  <c r="S452" i="1"/>
  <c r="S451" i="1"/>
  <c r="S449" i="1"/>
  <c r="S448" i="1"/>
  <c r="S447" i="1"/>
  <c r="S445" i="1"/>
  <c r="S446" i="1"/>
  <c r="S444" i="1"/>
  <c r="S442" i="1"/>
  <c r="S440" i="1"/>
  <c r="S439" i="1"/>
  <c r="R501" i="1"/>
  <c r="S500" i="1"/>
  <c r="R497" i="1"/>
  <c r="S494" i="1"/>
  <c r="R491" i="1"/>
  <c r="R488" i="1"/>
  <c r="S486" i="1"/>
  <c r="S504" i="1"/>
  <c r="S496" i="1"/>
  <c r="S492" i="1"/>
  <c r="R484" i="1"/>
  <c r="R481" i="1"/>
  <c r="S478" i="1"/>
  <c r="R468" i="1"/>
  <c r="R463" i="1"/>
  <c r="R461" i="1"/>
  <c r="R458" i="1"/>
  <c r="R453" i="1"/>
  <c r="R451" i="1"/>
  <c r="R448" i="1"/>
  <c r="R445" i="1"/>
  <c r="R444" i="1"/>
  <c r="R440" i="1"/>
  <c r="B2" i="1"/>
  <c r="AW2" i="1" l="1"/>
  <c r="A28" i="8" s="1"/>
  <c r="AX2" i="1"/>
  <c r="AY2" i="1"/>
  <c r="AZ2" i="1"/>
  <c r="AH2" i="1"/>
  <c r="AI2" i="1"/>
  <c r="R442" i="1"/>
  <c r="R486" i="1"/>
  <c r="S453" i="1"/>
  <c r="S457" i="1"/>
  <c r="R494" i="1"/>
  <c r="AV2" i="1"/>
  <c r="I2" i="1"/>
  <c r="J2" i="1"/>
  <c r="B13" i="8" s="1"/>
  <c r="C13" i="8" s="1"/>
  <c r="K2" i="1"/>
  <c r="L2" i="1"/>
  <c r="M2" i="1"/>
  <c r="N2" i="1"/>
  <c r="AN2" i="1"/>
  <c r="AR2" i="1"/>
  <c r="AD2" i="1"/>
  <c r="AJ2" i="1"/>
  <c r="P2" i="1"/>
  <c r="U2" i="1"/>
  <c r="Y2" i="1"/>
  <c r="F2" i="1"/>
  <c r="AO2" i="1"/>
  <c r="AS2" i="1"/>
  <c r="AA2" i="1"/>
  <c r="AE2" i="1"/>
  <c r="AK2" i="1"/>
  <c r="Q2" i="1"/>
  <c r="B19" i="8" s="1"/>
  <c r="V2" i="1"/>
  <c r="Z2" i="1"/>
  <c r="G2" i="1"/>
  <c r="AP2" i="1"/>
  <c r="AT2" i="1"/>
  <c r="AB2" i="1"/>
  <c r="AF2" i="1"/>
  <c r="AL2" i="1"/>
  <c r="O2" i="1"/>
  <c r="W2" i="1"/>
  <c r="H2" i="1"/>
  <c r="D2" i="1"/>
  <c r="AQ2" i="1"/>
  <c r="AU2" i="1"/>
  <c r="AC2" i="1"/>
  <c r="AG2" i="1"/>
  <c r="AM2" i="1"/>
  <c r="T2" i="1"/>
  <c r="X2" i="1"/>
  <c r="E2" i="1"/>
  <c r="C2" i="1"/>
  <c r="I4" i="8" s="1"/>
  <c r="S2" i="1" l="1"/>
  <c r="B22" i="8" s="1"/>
  <c r="D22" i="8" s="1"/>
  <c r="G1" i="9" l="1"/>
  <c r="A45" i="9" s="1"/>
  <c r="AI2" i="3" s="1"/>
  <c r="AI2" i="4" l="1"/>
  <c r="AI2" i="5"/>
  <c r="A219" i="9"/>
  <c r="C10" i="13" s="1"/>
  <c r="A44" i="9"/>
  <c r="AH2" i="3" s="1"/>
  <c r="AH2" i="4" s="1"/>
  <c r="A218" i="9"/>
  <c r="A161" i="9"/>
  <c r="C24" i="2" s="1"/>
  <c r="A214" i="9"/>
  <c r="A213" i="9"/>
  <c r="A215" i="9"/>
  <c r="A225" i="9"/>
  <c r="S6" i="15" s="1"/>
  <c r="A229" i="9"/>
  <c r="D7" i="15" s="1"/>
  <c r="A233" i="9"/>
  <c r="H7" i="15" s="1"/>
  <c r="A237" i="9"/>
  <c r="A241" i="9"/>
  <c r="P7" i="15" s="1"/>
  <c r="A245" i="9"/>
  <c r="T7" i="15" s="1"/>
  <c r="A249" i="9"/>
  <c r="X7" i="15" s="1"/>
  <c r="A253" i="9"/>
  <c r="C8" i="15" s="1"/>
  <c r="E8" i="15" s="1"/>
  <c r="F8" i="15" s="1"/>
  <c r="X8" i="15" s="1"/>
  <c r="Y8" i="15" s="1"/>
  <c r="A257" i="9"/>
  <c r="A261" i="9"/>
  <c r="A265" i="9"/>
  <c r="A269" i="9"/>
  <c r="A228" i="9"/>
  <c r="C7" i="15" s="1"/>
  <c r="A256" i="9"/>
  <c r="A226" i="9"/>
  <c r="AD6" i="15" s="1"/>
  <c r="A230" i="9"/>
  <c r="E7" i="15" s="1"/>
  <c r="A234" i="9"/>
  <c r="A238" i="9"/>
  <c r="A242" i="9"/>
  <c r="Q7" i="15" s="1"/>
  <c r="A246" i="9"/>
  <c r="U7" i="15" s="1"/>
  <c r="A250" i="9"/>
  <c r="Y7" i="15" s="1"/>
  <c r="A254" i="9"/>
  <c r="I8" i="15" s="1"/>
  <c r="AD8" i="15" s="1"/>
  <c r="A258" i="9"/>
  <c r="A262" i="9"/>
  <c r="A266" i="9"/>
  <c r="A270" i="9"/>
  <c r="A224" i="9"/>
  <c r="O6" i="15" s="1"/>
  <c r="A232" i="9"/>
  <c r="G7" i="15" s="1"/>
  <c r="A240" i="9"/>
  <c r="O7" i="15" s="1"/>
  <c r="A244" i="9"/>
  <c r="S7" i="15" s="1"/>
  <c r="A252" i="9"/>
  <c r="AB7" i="15" s="1"/>
  <c r="A264" i="9"/>
  <c r="A227" i="9"/>
  <c r="B7" i="15" s="1"/>
  <c r="A231" i="9"/>
  <c r="F7" i="15" s="1"/>
  <c r="A235" i="9"/>
  <c r="A239" i="9"/>
  <c r="A243" i="9"/>
  <c r="R7" i="15" s="1"/>
  <c r="A247" i="9"/>
  <c r="V7" i="15" s="1"/>
  <c r="A251" i="9"/>
  <c r="AA7" i="15" s="1"/>
  <c r="A255" i="9"/>
  <c r="A259" i="9"/>
  <c r="A263" i="9"/>
  <c r="A267" i="9"/>
  <c r="A271" i="9"/>
  <c r="A236" i="9"/>
  <c r="A248" i="9"/>
  <c r="W7" i="15" s="1"/>
  <c r="A260" i="9"/>
  <c r="A268" i="9"/>
  <c r="A160" i="9"/>
  <c r="C23" i="2" s="1"/>
  <c r="A112" i="9"/>
  <c r="A89" i="9"/>
  <c r="A55" i="9"/>
  <c r="Q117" i="3" s="1"/>
  <c r="A22" i="9"/>
  <c r="A80" i="9"/>
  <c r="A28" i="9"/>
  <c r="A57" i="9"/>
  <c r="A56" i="9"/>
  <c r="Q118" i="3" s="1"/>
  <c r="Q281" i="4" s="1"/>
  <c r="A58" i="9"/>
  <c r="A59" i="9"/>
  <c r="A119" i="9"/>
  <c r="A221" i="9"/>
  <c r="O5" i="15" s="1"/>
  <c r="A220" i="9"/>
  <c r="A1" i="15" s="1"/>
  <c r="A216" i="9"/>
  <c r="A222" i="9"/>
  <c r="C6" i="15" s="1"/>
  <c r="A217" i="9"/>
  <c r="A223" i="9"/>
  <c r="I6" i="15" s="1"/>
  <c r="A67" i="9"/>
  <c r="H5" i="8" s="1"/>
  <c r="A144" i="9"/>
  <c r="A35" i="9"/>
  <c r="A61" i="9"/>
  <c r="A17" i="9"/>
  <c r="AQ2" i="3" s="1"/>
  <c r="AQ2" i="4" s="1"/>
  <c r="A11" i="9"/>
  <c r="A204" i="9"/>
  <c r="A211" i="9"/>
  <c r="A207" i="9"/>
  <c r="A212" i="9"/>
  <c r="A208" i="9"/>
  <c r="A210" i="9"/>
  <c r="A206" i="9"/>
  <c r="A209" i="9"/>
  <c r="A205" i="9"/>
  <c r="A153" i="9"/>
  <c r="A184" i="9"/>
  <c r="A188" i="9"/>
  <c r="A192" i="9"/>
  <c r="A196" i="9"/>
  <c r="A200" i="9"/>
  <c r="A181" i="9"/>
  <c r="A185" i="9"/>
  <c r="A189" i="9"/>
  <c r="A193" i="9"/>
  <c r="A197" i="9"/>
  <c r="A201" i="9"/>
  <c r="A182" i="9"/>
  <c r="A186" i="9"/>
  <c r="A190" i="9"/>
  <c r="A194" i="9"/>
  <c r="A198" i="9"/>
  <c r="A202" i="9"/>
  <c r="A183" i="9"/>
  <c r="A187" i="9"/>
  <c r="A191" i="9"/>
  <c r="A195" i="9"/>
  <c r="A199" i="9"/>
  <c r="A203" i="9"/>
  <c r="A34" i="9"/>
  <c r="Y2" i="3" s="1"/>
  <c r="A76" i="9"/>
  <c r="A110" i="9"/>
  <c r="A145" i="9"/>
  <c r="A8" i="9"/>
  <c r="A48" i="9"/>
  <c r="AL2" i="3" s="1"/>
  <c r="AL2" i="4" s="1"/>
  <c r="A88" i="9"/>
  <c r="A123" i="9"/>
  <c r="A156" i="9"/>
  <c r="A14" i="9"/>
  <c r="AR2" i="3" s="1"/>
  <c r="AR2" i="4" s="1"/>
  <c r="A53" i="9"/>
  <c r="I283" i="4" s="1"/>
  <c r="A94" i="9"/>
  <c r="A128" i="9"/>
  <c r="A170" i="9"/>
  <c r="A29" i="9"/>
  <c r="S2" i="3" s="1"/>
  <c r="S2" i="4" s="1"/>
  <c r="A71" i="9"/>
  <c r="A105" i="9"/>
  <c r="A139" i="9"/>
  <c r="A19" i="9"/>
  <c r="A38" i="9"/>
  <c r="A62" i="9"/>
  <c r="A79" i="9"/>
  <c r="D13" i="8" s="1"/>
  <c r="A97" i="9"/>
  <c r="A114" i="9"/>
  <c r="A131" i="9"/>
  <c r="A148" i="9"/>
  <c r="A174" i="9"/>
  <c r="A5" i="9"/>
  <c r="A25" i="9"/>
  <c r="A43" i="9"/>
  <c r="A68" i="9"/>
  <c r="G6" i="8" s="1"/>
  <c r="A85" i="9"/>
  <c r="A102" i="9"/>
  <c r="A120" i="9"/>
  <c r="A136" i="9"/>
  <c r="A177" i="9"/>
  <c r="A173" i="9"/>
  <c r="A169" i="9"/>
  <c r="A165" i="9"/>
  <c r="A159" i="9"/>
  <c r="A155" i="9"/>
  <c r="A151" i="9"/>
  <c r="A147" i="9"/>
  <c r="A142" i="9"/>
  <c r="A138" i="9"/>
  <c r="A134" i="9"/>
  <c r="A130" i="9"/>
  <c r="A126" i="9"/>
  <c r="A122" i="9"/>
  <c r="A117" i="9"/>
  <c r="A113" i="9"/>
  <c r="A108" i="9"/>
  <c r="A104" i="9"/>
  <c r="A100" i="9"/>
  <c r="A96" i="9"/>
  <c r="A92" i="9"/>
  <c r="A87" i="9"/>
  <c r="A83" i="9"/>
  <c r="A78" i="9"/>
  <c r="A74" i="9"/>
  <c r="A70" i="9"/>
  <c r="G8" i="8" s="1"/>
  <c r="A65" i="9"/>
  <c r="A60" i="9"/>
  <c r="W280" i="4" s="1"/>
  <c r="A51" i="9"/>
  <c r="I281" i="4" s="1"/>
  <c r="A47" i="9"/>
  <c r="A41" i="9"/>
  <c r="A37" i="9"/>
  <c r="A32" i="9"/>
  <c r="W2" i="3" s="1"/>
  <c r="W2" i="4" s="1"/>
  <c r="A27" i="9"/>
  <c r="P2" i="3" s="1"/>
  <c r="P2" i="4" s="1"/>
  <c r="A23" i="9"/>
  <c r="L2" i="3" s="1"/>
  <c r="L2" i="4" s="1"/>
  <c r="A16" i="9"/>
  <c r="AT2" i="3" s="1"/>
  <c r="AT2" i="4" s="1"/>
  <c r="A12" i="9"/>
  <c r="A7" i="9"/>
  <c r="A3" i="9"/>
  <c r="A1" i="4" s="1"/>
  <c r="A180" i="9"/>
  <c r="A176" i="9"/>
  <c r="A172" i="9"/>
  <c r="A168" i="9"/>
  <c r="A164" i="9"/>
  <c r="A158" i="9"/>
  <c r="A154" i="9"/>
  <c r="A150" i="9"/>
  <c r="A146" i="9"/>
  <c r="A141" i="9"/>
  <c r="A137" i="9"/>
  <c r="A133" i="9"/>
  <c r="A129" i="9"/>
  <c r="A125" i="9"/>
  <c r="A121" i="9"/>
  <c r="A116" i="9"/>
  <c r="A111" i="9"/>
  <c r="A107" i="9"/>
  <c r="A103" i="9"/>
  <c r="A99" i="9"/>
  <c r="A95" i="9"/>
  <c r="A91" i="9"/>
  <c r="A86" i="9"/>
  <c r="C19" i="8" s="1"/>
  <c r="A82" i="9"/>
  <c r="A77" i="9"/>
  <c r="A73" i="9"/>
  <c r="A69" i="9"/>
  <c r="G7" i="8" s="1"/>
  <c r="A64" i="9"/>
  <c r="A54" i="9"/>
  <c r="N280" i="4" s="1"/>
  <c r="A50" i="9"/>
  <c r="I280" i="4" s="1"/>
  <c r="A46" i="9"/>
  <c r="A40" i="9"/>
  <c r="A36" i="9"/>
  <c r="A31" i="9"/>
  <c r="V2" i="3" s="1"/>
  <c r="V2" i="4" s="1"/>
  <c r="A26" i="9"/>
  <c r="A21" i="9"/>
  <c r="A15" i="9"/>
  <c r="AS2" i="3" s="1"/>
  <c r="AS2" i="4" s="1"/>
  <c r="A10" i="9"/>
  <c r="A6" i="9"/>
  <c r="L1" i="4" s="1"/>
  <c r="A2" i="9"/>
  <c r="A179" i="9"/>
  <c r="A175" i="9"/>
  <c r="A171" i="9"/>
  <c r="A167" i="9"/>
  <c r="A163" i="9"/>
  <c r="A157" i="9"/>
  <c r="A9" i="9"/>
  <c r="A20" i="9"/>
  <c r="A30" i="9"/>
  <c r="T2" i="3" s="1"/>
  <c r="T2" i="4" s="1"/>
  <c r="A39" i="9"/>
  <c r="A49" i="9"/>
  <c r="AL7" i="15" s="1"/>
  <c r="A63" i="9"/>
  <c r="A72" i="9"/>
  <c r="A81" i="9"/>
  <c r="A90" i="9"/>
  <c r="A98" i="9"/>
  <c r="A106" i="9"/>
  <c r="A115" i="9"/>
  <c r="A124" i="9"/>
  <c r="A132" i="9"/>
  <c r="A140" i="9"/>
  <c r="A149" i="9"/>
  <c r="A162" i="9"/>
  <c r="A178" i="9"/>
  <c r="A4" i="9"/>
  <c r="E1" i="4" s="1"/>
  <c r="A13" i="9"/>
  <c r="A24" i="9"/>
  <c r="A33" i="9"/>
  <c r="X2" i="3" s="1"/>
  <c r="X2" i="4" s="1"/>
  <c r="A42" i="9"/>
  <c r="A52" i="9"/>
  <c r="I282" i="4" s="1"/>
  <c r="A66" i="9"/>
  <c r="A75" i="9"/>
  <c r="A84" i="9"/>
  <c r="A93" i="9"/>
  <c r="A101" i="9"/>
  <c r="A109" i="9"/>
  <c r="A118" i="9"/>
  <c r="A127" i="9"/>
  <c r="A135" i="9"/>
  <c r="A143" i="9"/>
  <c r="A152" i="9"/>
  <c r="A166" i="9"/>
  <c r="Z1" i="4" l="1"/>
  <c r="O9" i="13"/>
  <c r="AB281" i="4"/>
  <c r="AG2" i="3"/>
  <c r="F10" i="13"/>
  <c r="AJ7" i="15" s="1"/>
  <c r="AB280" i="4"/>
  <c r="Q3" i="13"/>
  <c r="G10" i="13"/>
  <c r="AK7" i="15" s="1"/>
  <c r="E22" i="8"/>
  <c r="Q280" i="4"/>
  <c r="Q82" i="5" s="1"/>
  <c r="A7" i="13"/>
  <c r="A3" i="15" s="1"/>
  <c r="H9" i="13"/>
  <c r="B24" i="2"/>
  <c r="M9" i="13"/>
  <c r="C5" i="13"/>
  <c r="B10" i="13"/>
  <c r="C4" i="13"/>
  <c r="A2" i="13"/>
  <c r="A1" i="13"/>
  <c r="Q4" i="13"/>
  <c r="Q2" i="4"/>
  <c r="Q2" i="5"/>
  <c r="R4" i="1"/>
  <c r="Q2" i="3"/>
  <c r="Q5" i="13"/>
  <c r="AD517" i="1"/>
  <c r="R2" i="5"/>
  <c r="R2" i="3"/>
  <c r="R2" i="4"/>
  <c r="C22" i="8"/>
  <c r="S4" i="1"/>
  <c r="N10" i="13"/>
  <c r="M10" i="13"/>
  <c r="C21" i="8"/>
  <c r="AI7" i="15"/>
  <c r="N7" i="15"/>
  <c r="AG7" i="15"/>
  <c r="L7" i="15"/>
  <c r="AE7" i="15"/>
  <c r="J7" i="15"/>
  <c r="M7" i="15"/>
  <c r="AH7" i="15"/>
  <c r="AF7" i="15"/>
  <c r="K7" i="15"/>
  <c r="I7" i="15"/>
  <c r="AD7" i="15"/>
  <c r="H1" i="4"/>
  <c r="H2" i="3"/>
  <c r="H10" i="13"/>
  <c r="K10" i="13"/>
  <c r="K2" i="3"/>
  <c r="I10" i="13"/>
  <c r="I2" i="3"/>
  <c r="N2" i="3"/>
  <c r="N2" i="4" s="1"/>
  <c r="J2" i="3"/>
  <c r="J2" i="4" s="1"/>
  <c r="J10" i="13"/>
  <c r="B23" i="2"/>
  <c r="D14" i="8"/>
  <c r="C17" i="2"/>
  <c r="B17" i="2"/>
  <c r="AB82" i="5"/>
  <c r="I82" i="5"/>
  <c r="N82" i="5"/>
  <c r="N117" i="3"/>
  <c r="W82" i="5"/>
  <c r="Q1" i="4"/>
  <c r="Q1" i="3"/>
  <c r="V1" i="3"/>
  <c r="V1" i="4"/>
  <c r="Y2" i="5"/>
  <c r="Y2" i="4"/>
  <c r="R517" i="1"/>
  <c r="Q120" i="3"/>
  <c r="Q283" i="4" s="1"/>
  <c r="R515" i="1"/>
  <c r="Q83" i="5"/>
  <c r="R516" i="1"/>
  <c r="Q119" i="3"/>
  <c r="Q282" i="4" s="1"/>
  <c r="Z118" i="3"/>
  <c r="Z282" i="4" s="1"/>
  <c r="AD516" i="1"/>
  <c r="AD2" i="3"/>
  <c r="S10" i="13"/>
  <c r="AE2" i="3"/>
  <c r="T10" i="13"/>
  <c r="V10" i="13"/>
  <c r="AF2" i="3"/>
  <c r="U10" i="13"/>
  <c r="O2" i="3"/>
  <c r="L10" i="13"/>
  <c r="AJ2" i="3"/>
  <c r="W10" i="13"/>
  <c r="AK2" i="3"/>
  <c r="X10" i="13"/>
  <c r="D2" i="3"/>
  <c r="D2" i="4" s="1"/>
  <c r="AC2" i="3"/>
  <c r="R10" i="13"/>
  <c r="A2" i="3"/>
  <c r="A2" i="4" s="1"/>
  <c r="A10" i="13"/>
  <c r="C2" i="3"/>
  <c r="C2" i="4" s="1"/>
  <c r="E10" i="13"/>
  <c r="AB2" i="3"/>
  <c r="AB2" i="4" s="1"/>
  <c r="Q10" i="13"/>
  <c r="Z2" i="3"/>
  <c r="Z2" i="4" s="1"/>
  <c r="O10" i="13"/>
  <c r="AA2" i="3"/>
  <c r="AA2" i="4" s="1"/>
  <c r="P10" i="13"/>
  <c r="B2" i="3"/>
  <c r="D10" i="13"/>
  <c r="AM2" i="3"/>
  <c r="V119" i="3"/>
  <c r="T281" i="4" s="1"/>
  <c r="V120" i="3"/>
  <c r="T282" i="4" s="1"/>
  <c r="Z1" i="3"/>
  <c r="Z1" i="5"/>
  <c r="AU2" i="3"/>
  <c r="Q1" i="5"/>
  <c r="T2" i="5"/>
  <c r="AD515" i="1"/>
  <c r="AB117" i="3" s="1"/>
  <c r="X2" i="5"/>
  <c r="L2" i="5"/>
  <c r="P2" i="5"/>
  <c r="V2" i="5"/>
  <c r="W2" i="5"/>
  <c r="AS2" i="5"/>
  <c r="AT2" i="5"/>
  <c r="S2" i="5"/>
  <c r="AR2" i="5"/>
  <c r="AL2" i="5"/>
  <c r="AQ2" i="5"/>
  <c r="E2" i="3"/>
  <c r="E2" i="4" s="1"/>
  <c r="AN2" i="3"/>
  <c r="AN2" i="4" s="1"/>
  <c r="AO2" i="3"/>
  <c r="AO2" i="4" s="1"/>
  <c r="F2" i="3"/>
  <c r="F2" i="4" s="1"/>
  <c r="AP2" i="3"/>
  <c r="AP2" i="4" s="1"/>
  <c r="G2" i="3"/>
  <c r="G2" i="4" s="1"/>
  <c r="P530" i="1"/>
  <c r="P516" i="1" s="1"/>
  <c r="P531" i="1"/>
  <c r="P517" i="1" s="1"/>
  <c r="P529" i="1"/>
  <c r="P515" i="1" s="1"/>
  <c r="C35" i="2"/>
  <c r="C20" i="2"/>
  <c r="C19" i="2"/>
  <c r="C27" i="2"/>
  <c r="J517" i="1"/>
  <c r="I119" i="3" s="1"/>
  <c r="C16" i="2"/>
  <c r="D12" i="8"/>
  <c r="B25" i="2"/>
  <c r="B30" i="2"/>
  <c r="B14" i="2"/>
  <c r="AG2" i="4" l="1"/>
  <c r="AG2" i="5"/>
  <c r="N2" i="5"/>
  <c r="J2" i="5"/>
  <c r="V85" i="5"/>
  <c r="V84" i="5"/>
  <c r="Q84" i="5"/>
  <c r="Q85" i="5"/>
  <c r="Z86" i="5"/>
  <c r="I2" i="5"/>
  <c r="I2" i="4"/>
  <c r="AU2" i="5"/>
  <c r="AU2" i="4"/>
  <c r="B2" i="5"/>
  <c r="B2" i="4"/>
  <c r="A2" i="5"/>
  <c r="AM2" i="5"/>
  <c r="AM2" i="4"/>
  <c r="U2" i="3"/>
  <c r="H2" i="4"/>
  <c r="AC2" i="5"/>
  <c r="AC2" i="4"/>
  <c r="AJ2" i="5"/>
  <c r="AJ2" i="4"/>
  <c r="AF2" i="5"/>
  <c r="AF2" i="4"/>
  <c r="AE2" i="5"/>
  <c r="AE2" i="4"/>
  <c r="AD2" i="5"/>
  <c r="AD2" i="4"/>
  <c r="AK2" i="5"/>
  <c r="AK2" i="4"/>
  <c r="O2" i="5"/>
  <c r="O2" i="4"/>
  <c r="AH2" i="5"/>
  <c r="K2" i="5"/>
  <c r="K2" i="4"/>
  <c r="AB2" i="5"/>
  <c r="Z2" i="5"/>
  <c r="C2" i="5"/>
  <c r="AA2" i="5"/>
  <c r="H2" i="5"/>
  <c r="D2" i="5"/>
  <c r="B24" i="8"/>
  <c r="C24" i="8" s="1"/>
  <c r="B43" i="8"/>
  <c r="H19" i="8" s="1"/>
  <c r="B47" i="8"/>
  <c r="I5" i="8"/>
  <c r="B8" i="8"/>
  <c r="B16" i="8"/>
  <c r="B18" i="8"/>
  <c r="C18" i="8" s="1"/>
  <c r="B40" i="8"/>
  <c r="H16" i="8" s="1"/>
  <c r="B41" i="8"/>
  <c r="H17" i="8" s="1"/>
  <c r="B49" i="8"/>
  <c r="H27" i="8" s="1"/>
  <c r="B6" i="8"/>
  <c r="E6" i="8" s="1"/>
  <c r="B17" i="8"/>
  <c r="B26" i="8"/>
  <c r="B46" i="8"/>
  <c r="H24" i="8" s="1"/>
  <c r="B7" i="8"/>
  <c r="B27" i="8"/>
  <c r="C27" i="8" s="1"/>
  <c r="B44" i="8"/>
  <c r="H20" i="8" s="1"/>
  <c r="B48" i="8"/>
  <c r="H26" i="8" s="1"/>
  <c r="C6" i="8"/>
  <c r="D6" i="8"/>
  <c r="B11" i="8"/>
  <c r="C11" i="8" s="1"/>
  <c r="B25" i="8"/>
  <c r="C25" i="8" s="1"/>
  <c r="B45" i="8"/>
  <c r="H23" i="8" s="1"/>
  <c r="B12" i="8"/>
  <c r="C12" i="8" s="1"/>
  <c r="B20" i="8"/>
  <c r="C20" i="8" s="1"/>
  <c r="B42" i="8"/>
  <c r="H18" i="8" s="1"/>
  <c r="B14" i="8"/>
  <c r="C14" i="8" s="1"/>
  <c r="B23" i="8"/>
  <c r="C23" i="8" s="1"/>
  <c r="AP2" i="5"/>
  <c r="F2" i="5"/>
  <c r="AN2" i="5"/>
  <c r="AO2" i="5"/>
  <c r="G2" i="5"/>
  <c r="E2" i="5"/>
  <c r="B13" i="2"/>
  <c r="B39" i="2"/>
  <c r="C33" i="2"/>
  <c r="C12" i="2"/>
  <c r="C26" i="2"/>
  <c r="C13" i="2"/>
  <c r="C34" i="2"/>
  <c r="C15" i="2"/>
  <c r="A1" i="8"/>
  <c r="A5" i="2"/>
  <c r="C28" i="2"/>
  <c r="B10" i="2"/>
  <c r="W117" i="3"/>
  <c r="A2" i="2"/>
  <c r="I84" i="5"/>
  <c r="A1" i="9"/>
  <c r="L1" i="5"/>
  <c r="AB84" i="5"/>
  <c r="D4" i="8"/>
  <c r="A10" i="8"/>
  <c r="C30" i="2"/>
  <c r="C18" i="2"/>
  <c r="A26" i="2"/>
  <c r="A24" i="8"/>
  <c r="V1" i="5"/>
  <c r="B38" i="2"/>
  <c r="B22" i="2"/>
  <c r="AB83" i="5"/>
  <c r="AA5" i="8"/>
  <c r="C10" i="2"/>
  <c r="C38" i="2"/>
  <c r="C36" i="2"/>
  <c r="E1" i="2"/>
  <c r="AA4" i="8"/>
  <c r="A6" i="2"/>
  <c r="C8" i="2"/>
  <c r="A4" i="2"/>
  <c r="C39" i="2"/>
  <c r="C40" i="2"/>
  <c r="C29" i="2"/>
  <c r="C37" i="2"/>
  <c r="C31" i="2"/>
  <c r="C32" i="2"/>
  <c r="C21" i="2"/>
  <c r="C22" i="2"/>
  <c r="C25" i="2"/>
  <c r="U2" i="5" l="1"/>
  <c r="U2" i="4"/>
  <c r="X515" i="1"/>
  <c r="B5" i="8"/>
  <c r="E5" i="8"/>
  <c r="E7" i="8"/>
  <c r="C7" i="8"/>
  <c r="D7" i="8"/>
  <c r="C8" i="8"/>
  <c r="D8" i="8"/>
  <c r="E8" i="8"/>
  <c r="B32" i="2"/>
  <c r="B15" i="2"/>
  <c r="C16" i="8"/>
  <c r="C26" i="8"/>
  <c r="B20" i="2"/>
  <c r="B36" i="2"/>
  <c r="B40" i="2"/>
  <c r="B21" i="2"/>
  <c r="B11" i="2"/>
  <c r="C17" i="8"/>
  <c r="L1" i="3"/>
  <c r="B37" i="2"/>
  <c r="I85" i="5"/>
  <c r="J518" i="1"/>
  <c r="I120" i="3" s="1"/>
  <c r="B28" i="2"/>
  <c r="B26" i="2"/>
  <c r="J515" i="1"/>
  <c r="I117" i="3" s="1"/>
  <c r="B33" i="2"/>
  <c r="C14" i="2"/>
  <c r="D11" i="8"/>
  <c r="A18" i="2"/>
  <c r="A16" i="8"/>
  <c r="B8" i="2"/>
  <c r="C11" i="2"/>
  <c r="J516" i="1"/>
  <c r="I118" i="3" s="1"/>
  <c r="I83" i="5"/>
  <c r="B29" i="2"/>
  <c r="B12" i="2"/>
  <c r="B34" i="2"/>
  <c r="B18" i="2"/>
  <c r="B19" i="2"/>
  <c r="A11" i="2"/>
  <c r="A6" i="8"/>
  <c r="E1" i="5"/>
  <c r="E1" i="3"/>
  <c r="A1" i="3"/>
  <c r="A1" i="5"/>
  <c r="AA1" i="8"/>
  <c r="B31" i="2"/>
  <c r="A22" i="2"/>
  <c r="A20" i="8"/>
  <c r="AA2" i="8"/>
  <c r="AA3" i="8"/>
  <c r="B35" i="2"/>
  <c r="G16" i="8"/>
  <c r="A30" i="2"/>
  <c r="B16" i="2"/>
  <c r="B27" i="2"/>
  <c r="A14" i="2"/>
  <c r="H1" i="3"/>
  <c r="H1" i="5"/>
  <c r="A11" i="8"/>
  <c r="O515" i="1" l="1"/>
  <c r="C5" i="8"/>
  <c r="R512" i="1" l="1"/>
  <c r="R504" i="1"/>
  <c r="R503" i="1"/>
  <c r="R509" i="1" l="1"/>
  <c r="R508" i="1"/>
  <c r="R511" i="1"/>
  <c r="R507" i="1"/>
  <c r="R2" i="1" l="1"/>
  <c r="B21" i="8" s="1"/>
  <c r="D21" i="8" s="1"/>
  <c r="E2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tc={369AE433-016C-49CA-AB53-C383FCF10CDC}</author>
  </authors>
  <commentList>
    <comment ref="AK169" authorId="0" shapeId="0" xr:uid="{369AE433-016C-49CA-AB53-C383FCF10CD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 confirmer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tc={45FA4B1E-0611-4F0C-B2A2-8D5B0FE34C12}</author>
  </authors>
  <commentList>
    <comment ref="AL300" authorId="0" shapeId="0" xr:uid="{45FA4B1E-0611-4F0C-B2A2-8D5B0FE34C1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 confirmer</t>
      </text>
    </comment>
  </commentList>
</comments>
</file>

<file path=xl/sharedStrings.xml><?xml version="1.0" encoding="utf-8"?>
<sst xmlns="http://schemas.openxmlformats.org/spreadsheetml/2006/main" count="9522" uniqueCount="2057">
  <si>
    <t>Français</t>
  </si>
  <si>
    <t>Type</t>
  </si>
  <si>
    <t>F=fongicide; H=herbicide; I=insecticide; M=moluscicide; R=régulateur</t>
  </si>
  <si>
    <t>F</t>
  </si>
  <si>
    <t>H</t>
  </si>
  <si>
    <t>I</t>
  </si>
  <si>
    <t>M</t>
  </si>
  <si>
    <t>R</t>
  </si>
  <si>
    <t>SA1</t>
  </si>
  <si>
    <t>SA2</t>
  </si>
  <si>
    <t>SA3</t>
  </si>
  <si>
    <t>SA4</t>
  </si>
  <si>
    <t>Absolut</t>
  </si>
  <si>
    <t>LG</t>
  </si>
  <si>
    <t>1 pt</t>
  </si>
  <si>
    <t>prothioconazole</t>
  </si>
  <si>
    <t>bixafen</t>
  </si>
  <si>
    <t>St</t>
  </si>
  <si>
    <t>cyproconazole</t>
  </si>
  <si>
    <t>BF</t>
  </si>
  <si>
    <t>M3</t>
  </si>
  <si>
    <t>Ba</t>
  </si>
  <si>
    <t>trifloxystrobine</t>
  </si>
  <si>
    <t>Airone</t>
  </si>
  <si>
    <t>An</t>
  </si>
  <si>
    <t>M1</t>
  </si>
  <si>
    <t>Om</t>
  </si>
  <si>
    <t>Amistar</t>
  </si>
  <si>
    <t>Amphore Flex</t>
  </si>
  <si>
    <t>Sy</t>
  </si>
  <si>
    <t>cymoxanil</t>
  </si>
  <si>
    <t>propamocarbe</t>
  </si>
  <si>
    <t>Astor</t>
  </si>
  <si>
    <t>Aviator Xpro</t>
  </si>
  <si>
    <t>LG, Sy</t>
  </si>
  <si>
    <t>Bion</t>
  </si>
  <si>
    <t>Bogard</t>
  </si>
  <si>
    <t>Cantus</t>
  </si>
  <si>
    <t>Caramba</t>
  </si>
  <si>
    <t>Caryx</t>
  </si>
  <si>
    <t>Casac</t>
  </si>
  <si>
    <t>tébuconazole</t>
  </si>
  <si>
    <t>spiroxamine</t>
  </si>
  <si>
    <t>Contans WG</t>
  </si>
  <si>
    <t>Ba, An</t>
  </si>
  <si>
    <t>coniothyrium</t>
  </si>
  <si>
    <t>Corex</t>
  </si>
  <si>
    <t>paclobutrazole</t>
  </si>
  <si>
    <t>Cuprofix fluid</t>
  </si>
  <si>
    <t>oxychlorure de cuivre</t>
  </si>
  <si>
    <t>Cyflamid</t>
  </si>
  <si>
    <t>U6</t>
  </si>
  <si>
    <t>cyflufenamid</t>
  </si>
  <si>
    <t>Dagonis</t>
  </si>
  <si>
    <t>Sc</t>
  </si>
  <si>
    <t>Elatus Era</t>
  </si>
  <si>
    <t>benzovindiflupyr</t>
  </si>
  <si>
    <t>zoxamide</t>
  </si>
  <si>
    <t>Epoque</t>
  </si>
  <si>
    <t>4 pt</t>
  </si>
  <si>
    <t>fluazinam</t>
  </si>
  <si>
    <t>Fandango</t>
  </si>
  <si>
    <t>Ba, St</t>
  </si>
  <si>
    <t>Fezan</t>
  </si>
  <si>
    <t>Sa</t>
  </si>
  <si>
    <t>Flint</t>
  </si>
  <si>
    <t>Fungifend</t>
  </si>
  <si>
    <t>flutolanil</t>
  </si>
  <si>
    <t>Funguran Flow</t>
  </si>
  <si>
    <t>hydroxyde de cuivre</t>
  </si>
  <si>
    <t>Horizont</t>
  </si>
  <si>
    <t>Ibiza SC</t>
  </si>
  <si>
    <t>Infinito</t>
  </si>
  <si>
    <t>1 FLUOPICOLIDE/3 ans</t>
  </si>
  <si>
    <t>fluopicolide</t>
  </si>
  <si>
    <t>Iodus 40</t>
  </si>
  <si>
    <t>laminarine</t>
  </si>
  <si>
    <t>Kocide 2000</t>
  </si>
  <si>
    <t>Kocide Opti</t>
  </si>
  <si>
    <t>Leimay</t>
  </si>
  <si>
    <t>3 pt</t>
  </si>
  <si>
    <t>Mapro</t>
  </si>
  <si>
    <t>fludioxonil</t>
  </si>
  <si>
    <t>prochloraz</t>
  </si>
  <si>
    <t>Moon Privilege</t>
  </si>
  <si>
    <t>Moon Sensation</t>
  </si>
  <si>
    <t>pyraclostrobine</t>
  </si>
  <si>
    <t>Orvego</t>
  </si>
  <si>
    <t>Sa, Sc</t>
  </si>
  <si>
    <t>Proline</t>
  </si>
  <si>
    <t>Pronto Plus</t>
  </si>
  <si>
    <t>Propulse</t>
  </si>
  <si>
    <t>fluopyram</t>
  </si>
  <si>
    <t>Proxanil</t>
  </si>
  <si>
    <t>Ranman Top</t>
  </si>
  <si>
    <t>Revus</t>
  </si>
  <si>
    <t>Revus Top</t>
  </si>
  <si>
    <t>mandipropamid</t>
  </si>
  <si>
    <t>Sercadis</t>
  </si>
  <si>
    <t>Sico</t>
  </si>
  <si>
    <t>Signum</t>
  </si>
  <si>
    <t>Sirocco</t>
  </si>
  <si>
    <t>Slick</t>
  </si>
  <si>
    <t>Spyrale</t>
  </si>
  <si>
    <t>cyprodinil</t>
  </si>
  <si>
    <t>Talendo</t>
  </si>
  <si>
    <t>proquinazid</t>
  </si>
  <si>
    <t>Tilmor</t>
  </si>
  <si>
    <t>Toprex</t>
  </si>
  <si>
    <t>Fe</t>
  </si>
  <si>
    <t>Unix</t>
  </si>
  <si>
    <t>Zignal</t>
  </si>
  <si>
    <t>2,4-D</t>
  </si>
  <si>
    <t>2,4-D Plus</t>
  </si>
  <si>
    <t>Adengo</t>
  </si>
  <si>
    <t>isoxaflutole</t>
  </si>
  <si>
    <t>thiencarbazone</t>
  </si>
  <si>
    <t>Agil</t>
  </si>
  <si>
    <t>A</t>
  </si>
  <si>
    <t>Akris</t>
  </si>
  <si>
    <t>2 pt</t>
  </si>
  <si>
    <t>terbuthylazine</t>
  </si>
  <si>
    <t>Ally Power</t>
  </si>
  <si>
    <t>metsulfuron-méthyl</t>
  </si>
  <si>
    <t>Ally Tabs</t>
  </si>
  <si>
    <t>Alopex</t>
  </si>
  <si>
    <t>clopyralide</t>
  </si>
  <si>
    <t>Antilope 0.4 l/ha</t>
  </si>
  <si>
    <t>Antilope 0.6 l/ha</t>
  </si>
  <si>
    <t>Arcade 880 EC</t>
  </si>
  <si>
    <t>N</t>
  </si>
  <si>
    <t>prosulfocarbe</t>
  </si>
  <si>
    <t>Archipel</t>
  </si>
  <si>
    <t>iodosulfuron-méthyl-sodium</t>
  </si>
  <si>
    <t>Ariane C</t>
  </si>
  <si>
    <t>Arigo</t>
  </si>
  <si>
    <t>60g NICOSULFURON/2ans</t>
  </si>
  <si>
    <t>nicosulfuron</t>
  </si>
  <si>
    <t>rimsulfuron</t>
  </si>
  <si>
    <t>Arlit</t>
  </si>
  <si>
    <t>Arrat</t>
  </si>
  <si>
    <t>tritosulfuron</t>
  </si>
  <si>
    <t>dicamba</t>
  </si>
  <si>
    <t>flufénacet</t>
  </si>
  <si>
    <t>Aspect 1 l/ha</t>
  </si>
  <si>
    <t>Aspect 1.5 l/ha</t>
  </si>
  <si>
    <t>Aspect 2 l/ha</t>
  </si>
  <si>
    <t>Asulam</t>
  </si>
  <si>
    <t>Asulox</t>
  </si>
  <si>
    <t>Atlantis Flex</t>
  </si>
  <si>
    <t>Avero</t>
  </si>
  <si>
    <t>pinoxaden</t>
  </si>
  <si>
    <t>Avoxa</t>
  </si>
  <si>
    <t>pyroxsulam</t>
  </si>
  <si>
    <t>Axial One</t>
  </si>
  <si>
    <t>aclonifène</t>
  </si>
  <si>
    <t>Banvel 4S</t>
  </si>
  <si>
    <t>MCPA</t>
  </si>
  <si>
    <t>Barst</t>
  </si>
  <si>
    <t>tembotrione</t>
  </si>
  <si>
    <t>Basagran SG</t>
  </si>
  <si>
    <t>bentazone</t>
  </si>
  <si>
    <t>Beetup 160 EC</t>
  </si>
  <si>
    <t>phenmedipham</t>
  </si>
  <si>
    <t>Berone</t>
  </si>
  <si>
    <t>imazamox</t>
  </si>
  <si>
    <t>Beta Omya</t>
  </si>
  <si>
    <t>Beta Star</t>
  </si>
  <si>
    <t>Beta Super 3</t>
  </si>
  <si>
    <t>Betam LG</t>
  </si>
  <si>
    <t>Bettix SC</t>
  </si>
  <si>
    <t>Biathlon 4D</t>
  </si>
  <si>
    <t>Biplay SX</t>
  </si>
  <si>
    <t>Bolero</t>
  </si>
  <si>
    <t>Boxer</t>
  </si>
  <si>
    <t>Ba, Sy</t>
  </si>
  <si>
    <t>Brasan Trio</t>
  </si>
  <si>
    <t>napropamide</t>
  </si>
  <si>
    <t>clomazone</t>
  </si>
  <si>
    <t>Calado</t>
  </si>
  <si>
    <t>1.5 kg METOLACHLORE/3ans</t>
  </si>
  <si>
    <t>Calaris</t>
  </si>
  <si>
    <t>Callisto</t>
  </si>
  <si>
    <t>Cargon S</t>
  </si>
  <si>
    <t>Chekker</t>
  </si>
  <si>
    <t>amidosulfuron</t>
  </si>
  <si>
    <t>St, Sa</t>
  </si>
  <si>
    <t>Clio 100</t>
  </si>
  <si>
    <t>Colzaphen</t>
  </si>
  <si>
    <t>1 PETHOXAMIDE/2 ans</t>
  </si>
  <si>
    <t>pethoxamide</t>
  </si>
  <si>
    <t>Colzor Trio</t>
  </si>
  <si>
    <t>Concert SX</t>
  </si>
  <si>
    <t>thifensulfuron-méthyl</t>
  </si>
  <si>
    <t>Condoral SC</t>
  </si>
  <si>
    <t>foramsulfurone</t>
  </si>
  <si>
    <t>Dancor 70 WG</t>
  </si>
  <si>
    <t>Dasul Extra 6 OD</t>
  </si>
  <si>
    <t>triflusulfuron-méthyl</t>
  </si>
  <si>
    <t>Defi</t>
  </si>
  <si>
    <t>Devrinol Plus</t>
  </si>
  <si>
    <t>Devrinol Top</t>
  </si>
  <si>
    <t>Diflanil 500 SC</t>
  </si>
  <si>
    <t>Om, Sa, Sc</t>
  </si>
  <si>
    <t>Divopan</t>
  </si>
  <si>
    <t>MCPB</t>
  </si>
  <si>
    <t>Dual Gold</t>
  </si>
  <si>
    <t>Duplosan KV Combi</t>
  </si>
  <si>
    <t>Effigo</t>
  </si>
  <si>
    <t>piclorame</t>
  </si>
  <si>
    <t>Elumis</t>
  </si>
  <si>
    <t>isoxadifen-éthyle</t>
  </si>
  <si>
    <t>Falkon</t>
  </si>
  <si>
    <t>1 PENOXSULAM/3ans</t>
  </si>
  <si>
    <t>penoxsulam</t>
  </si>
  <si>
    <t>fluroxypyr</t>
  </si>
  <si>
    <t>Flurox 200</t>
  </si>
  <si>
    <t>Fluroxypyr 200</t>
  </si>
  <si>
    <t>Focus Ultra</t>
  </si>
  <si>
    <t>Foxtrot</t>
  </si>
  <si>
    <t>Frontex</t>
  </si>
  <si>
    <t>Fusilade Max</t>
  </si>
  <si>
    <t>Gardo Gold</t>
  </si>
  <si>
    <t>Garlon 120</t>
  </si>
  <si>
    <t>triclopyr</t>
  </si>
  <si>
    <t>Garlon 2000</t>
  </si>
  <si>
    <t>Globus</t>
  </si>
  <si>
    <t>G</t>
  </si>
  <si>
    <t>glyphosate</t>
  </si>
  <si>
    <t>Golaprex Basic</t>
  </si>
  <si>
    <t>Goltix 700 SC</t>
  </si>
  <si>
    <t>Goltix Compact</t>
  </si>
  <si>
    <t>Ba, LG</t>
  </si>
  <si>
    <t>Granat</t>
  </si>
  <si>
    <t>propyzamide</t>
  </si>
  <si>
    <t>Hector Max</t>
  </si>
  <si>
    <t>Herold Flex &lt;1 l/ha</t>
  </si>
  <si>
    <t>Herold SC 0.4 l/ha</t>
  </si>
  <si>
    <t>Herold SC 0.6 l/ha</t>
  </si>
  <si>
    <t>Hoestar</t>
  </si>
  <si>
    <t>Husar OD</t>
  </si>
  <si>
    <t>Husar Plus</t>
  </si>
  <si>
    <t>Hussar Duo</t>
  </si>
  <si>
    <t>Kerb Flo</t>
  </si>
  <si>
    <t>Laudis</t>
  </si>
  <si>
    <t>Legacy</t>
  </si>
  <si>
    <t>Lenacil</t>
  </si>
  <si>
    <t>Lentagran WP</t>
  </si>
  <si>
    <t>C</t>
  </si>
  <si>
    <t>pyridate</t>
  </si>
  <si>
    <t>Lunar</t>
  </si>
  <si>
    <t>Malibu</t>
  </si>
  <si>
    <t>Mamba Due</t>
  </si>
  <si>
    <t>Mandate</t>
  </si>
  <si>
    <t>Mandolin</t>
  </si>
  <si>
    <t>MCPB Omya</t>
  </si>
  <si>
    <t>Metric</t>
  </si>
  <si>
    <t>Miranda 0.4 l/ha</t>
  </si>
  <si>
    <t>Miranda 0.6 l/ha</t>
  </si>
  <si>
    <t>Mondera</t>
  </si>
  <si>
    <t>Monitor</t>
  </si>
  <si>
    <t>sulfosulfuron</t>
  </si>
  <si>
    <t>Napronol</t>
  </si>
  <si>
    <t>Natrel</t>
  </si>
  <si>
    <t>acide pélargonique</t>
  </si>
  <si>
    <t>Nicogan</t>
  </si>
  <si>
    <t>Nikkel</t>
  </si>
  <si>
    <t>Othello</t>
  </si>
  <si>
    <t>Phenmedipham EC</t>
  </si>
  <si>
    <t>Picobello</t>
  </si>
  <si>
    <t>Plüsstar</t>
  </si>
  <si>
    <t>Prado</t>
  </si>
  <si>
    <t>Primus</t>
  </si>
  <si>
    <t>Principal</t>
  </si>
  <si>
    <t>Puma Extra</t>
  </si>
  <si>
    <t>Pyran 1 l/ha</t>
  </si>
  <si>
    <t>Pyran 1.5 l/ha</t>
  </si>
  <si>
    <t>Pyran 2 l/ha</t>
  </si>
  <si>
    <t>Pyridate 45 WP</t>
  </si>
  <si>
    <t>Refine Extra SX</t>
  </si>
  <si>
    <t>Rodino ready</t>
  </si>
  <si>
    <t>Roundup PowerMax</t>
  </si>
  <si>
    <t>Roxy EC</t>
  </si>
  <si>
    <t>Samson Extra</t>
  </si>
  <si>
    <t>Sencor SC</t>
  </si>
  <si>
    <t>Simplex</t>
  </si>
  <si>
    <t>1 AMINOPYRALIDE/2 ans</t>
  </si>
  <si>
    <t>aminopyralide</t>
  </si>
  <si>
    <t>Sitradol SC</t>
  </si>
  <si>
    <t>Spark</t>
  </si>
  <si>
    <t>Spectrum</t>
  </si>
  <si>
    <t>Spectrum Gold</t>
  </si>
  <si>
    <t>Spotlight Plus</t>
  </si>
  <si>
    <t>Sprinter</t>
  </si>
  <si>
    <t>Starane Max</t>
  </si>
  <si>
    <t>Starane XL</t>
  </si>
  <si>
    <t>Stomp Aqua</t>
  </si>
  <si>
    <t>Successor 600</t>
  </si>
  <si>
    <t>Successor T</t>
  </si>
  <si>
    <t>Talis</t>
  </si>
  <si>
    <t>cloquintocet-mexyl</t>
  </si>
  <si>
    <t>Tanaris</t>
  </si>
  <si>
    <t>Max 1 application de QUINMERAC en 2 ans</t>
  </si>
  <si>
    <t>quinmérac</t>
  </si>
  <si>
    <t>Tarak</t>
  </si>
  <si>
    <t>Targa Super</t>
  </si>
  <si>
    <t>Titus</t>
  </si>
  <si>
    <t>Trifolin</t>
  </si>
  <si>
    <t>Trifulox</t>
  </si>
  <si>
    <t>Trinity</t>
  </si>
  <si>
    <t>Venzar</t>
  </si>
  <si>
    <t>Zepter</t>
  </si>
  <si>
    <t>Affirm</t>
  </si>
  <si>
    <t>Aligator (&gt; 0.3 l/ha)</t>
  </si>
  <si>
    <t>3A</t>
  </si>
  <si>
    <t>Aligator (max 0.3 l/ha)</t>
  </si>
  <si>
    <t>deltaméthrine</t>
  </si>
  <si>
    <t>Audienz</t>
  </si>
  <si>
    <t>spinosad</t>
  </si>
  <si>
    <t>4A</t>
  </si>
  <si>
    <t>Blocker</t>
  </si>
  <si>
    <t>3B</t>
  </si>
  <si>
    <t>etofenprox</t>
  </si>
  <si>
    <t>Coragen</t>
  </si>
  <si>
    <t>chlorantraniliprole</t>
  </si>
  <si>
    <t>Cypermethrine</t>
  </si>
  <si>
    <t>Decis Protech (&gt; 0.5l/ha)</t>
  </si>
  <si>
    <t>Decis Protech (max 0.5l/ha)</t>
  </si>
  <si>
    <t>Deltaphar (&gt; 0.3 l/ha)</t>
  </si>
  <si>
    <t>Deltaphar (max 0.3 l/ha)</t>
  </si>
  <si>
    <t>Gazelle SG</t>
  </si>
  <si>
    <t>acétamipride</t>
  </si>
  <si>
    <t>huile de colza</t>
  </si>
  <si>
    <t>Huile de paraffine</t>
  </si>
  <si>
    <t>huile de paraffine</t>
  </si>
  <si>
    <t>Karate Zeon</t>
  </si>
  <si>
    <t>1A</t>
  </si>
  <si>
    <t>Movento SC</t>
  </si>
  <si>
    <t>NeemAzal-T/S</t>
  </si>
  <si>
    <t>UN</t>
  </si>
  <si>
    <t>Novodor 3 FC</t>
  </si>
  <si>
    <t>bacillus thuringiensis</t>
  </si>
  <si>
    <t>Oryx Pro</t>
  </si>
  <si>
    <t>Pirimicarb 50 WG</t>
  </si>
  <si>
    <t>pirimicarbe</t>
  </si>
  <si>
    <t>Pirimor</t>
  </si>
  <si>
    <t>Rapid</t>
  </si>
  <si>
    <t>Ravane 50</t>
  </si>
  <si>
    <t>Surround</t>
  </si>
  <si>
    <t>Techno 10 CS</t>
  </si>
  <si>
    <t>Teppeki</t>
  </si>
  <si>
    <t>9C</t>
  </si>
  <si>
    <t>0.7 kg METALDEHYDE/an</t>
  </si>
  <si>
    <t>Axcela</t>
  </si>
  <si>
    <t>Limax Power</t>
  </si>
  <si>
    <t>Sluxx HP</t>
  </si>
  <si>
    <t>métaldéhyde</t>
  </si>
  <si>
    <t>Steiner Gold</t>
  </si>
  <si>
    <t>Antak</t>
  </si>
  <si>
    <t>Kr</t>
  </si>
  <si>
    <t>Camposan Extra</t>
  </si>
  <si>
    <t>CCC</t>
  </si>
  <si>
    <t>chlormequat</t>
  </si>
  <si>
    <t>Cycocel Extra</t>
  </si>
  <si>
    <t>Dartilon</t>
  </si>
  <si>
    <t>Elotin</t>
  </si>
  <si>
    <t>LG, Sa, Sc</t>
  </si>
  <si>
    <t>Fazor</t>
  </si>
  <si>
    <t>hydrazide maléique</t>
  </si>
  <si>
    <t>Germstop</t>
  </si>
  <si>
    <t>Medax Top</t>
  </si>
  <si>
    <t>prohexadione-calcium</t>
  </si>
  <si>
    <t>trinexapac-éthyl</t>
  </si>
  <si>
    <t>Milo</t>
  </si>
  <si>
    <t>Moddus</t>
  </si>
  <si>
    <t>Trinexx Top</t>
  </si>
  <si>
    <t>Retour</t>
  </si>
  <si>
    <t>Nicosulfuron</t>
  </si>
  <si>
    <t>Mesures de réduction de la dérive</t>
  </si>
  <si>
    <t>Mesures de réduction du ruissellement</t>
  </si>
  <si>
    <t>Groupes de résistance RAC</t>
  </si>
  <si>
    <t>Distance en m sans traitement</t>
  </si>
  <si>
    <t>Réduction d'utilisation</t>
  </si>
  <si>
    <t>Protections utilisateur</t>
  </si>
  <si>
    <t>Homologations</t>
  </si>
  <si>
    <t>Produit</t>
  </si>
  <si>
    <t>Firme</t>
  </si>
  <si>
    <t>SA 1</t>
  </si>
  <si>
    <t>SA 2</t>
  </si>
  <si>
    <t>Ruissellement</t>
  </si>
  <si>
    <t>Biotopes</t>
  </si>
  <si>
    <t>S2</t>
  </si>
  <si>
    <t>K</t>
  </si>
  <si>
    <t>Risque captages</t>
  </si>
  <si>
    <t>Fréquence</t>
  </si>
  <si>
    <t>PAP</t>
  </si>
  <si>
    <t>Poisson</t>
  </si>
  <si>
    <t>Abeille</t>
  </si>
  <si>
    <t>T</t>
  </si>
  <si>
    <t>Céréales</t>
  </si>
  <si>
    <t>Betteraves</t>
  </si>
  <si>
    <t>Pdt</t>
  </si>
  <si>
    <t>Maïs</t>
  </si>
  <si>
    <t>Colza</t>
  </si>
  <si>
    <t>Tournesol</t>
  </si>
  <si>
    <t>Pois</t>
  </si>
  <si>
    <t>Tabac</t>
  </si>
  <si>
    <t>Prairie</t>
  </si>
  <si>
    <t>Etat</t>
  </si>
  <si>
    <t>Remarque</t>
  </si>
  <si>
    <t>g/kg Sa 1</t>
  </si>
  <si>
    <t>g/kg Sa 2</t>
  </si>
  <si>
    <t>g/kg Sa 3</t>
  </si>
  <si>
    <t>g/kg Sa 4</t>
  </si>
  <si>
    <t>Break-Thru</t>
  </si>
  <si>
    <t>polyéther trisiloxane</t>
  </si>
  <si>
    <t>Etalfix Pro</t>
  </si>
  <si>
    <t>poliéther trisiloxane</t>
  </si>
  <si>
    <t>ziram</t>
  </si>
  <si>
    <t>Silwet L-77</t>
  </si>
  <si>
    <t>polyalkyleneoxide</t>
  </si>
  <si>
    <t>Allemand</t>
  </si>
  <si>
    <t>Sprachwahl</t>
  </si>
  <si>
    <t>Choix de la langue</t>
  </si>
  <si>
    <t>Deutsch</t>
  </si>
  <si>
    <t>Zurück</t>
  </si>
  <si>
    <t>Resistenzgruppe RAC</t>
  </si>
  <si>
    <t>Distanz in m ohne Behandlung</t>
  </si>
  <si>
    <t>Nutzungseinschränkungen</t>
  </si>
  <si>
    <t>Risiko</t>
  </si>
  <si>
    <t>Anwenderschutz</t>
  </si>
  <si>
    <t>Produkt</t>
  </si>
  <si>
    <t>Typ</t>
  </si>
  <si>
    <t>Firma</t>
  </si>
  <si>
    <t>Ws 1</t>
  </si>
  <si>
    <t>Ws 2</t>
  </si>
  <si>
    <t>Ws 3</t>
  </si>
  <si>
    <t>Abschwemmung</t>
  </si>
  <si>
    <t>Biotope</t>
  </si>
  <si>
    <t>Grundwasser</t>
  </si>
  <si>
    <t>Wiederholung</t>
  </si>
  <si>
    <t>NAP</t>
  </si>
  <si>
    <t>Wasserorganismen</t>
  </si>
  <si>
    <t>Bienen</t>
  </si>
  <si>
    <t>Augenschutz</t>
  </si>
  <si>
    <t>Masque</t>
  </si>
  <si>
    <t>Munschutz</t>
  </si>
  <si>
    <t>Application</t>
  </si>
  <si>
    <t>Ausbringung</t>
  </si>
  <si>
    <t>Réentrée</t>
  </si>
  <si>
    <t>Wiedereintritt</t>
  </si>
  <si>
    <t>Getreide</t>
  </si>
  <si>
    <t>Zuckerrüben</t>
  </si>
  <si>
    <t xml:space="preserve">Kartoffeln </t>
  </si>
  <si>
    <t>Mais</t>
  </si>
  <si>
    <t>Raps</t>
  </si>
  <si>
    <t>Sonnenblumen</t>
  </si>
  <si>
    <t>Erbsen</t>
  </si>
  <si>
    <t>Tabak</t>
  </si>
  <si>
    <t>Grünland</t>
  </si>
  <si>
    <t>Stand</t>
  </si>
  <si>
    <t>Bemerkungen</t>
  </si>
  <si>
    <t>Restriction légère</t>
  </si>
  <si>
    <t xml:space="preserve">Einschränkung leicht </t>
  </si>
  <si>
    <t>Restriction moyenne</t>
  </si>
  <si>
    <t>Einschränkung mittel</t>
  </si>
  <si>
    <t>Restriction forte</t>
  </si>
  <si>
    <t>Einschränkung stark</t>
  </si>
  <si>
    <t>Restriction très forte</t>
  </si>
  <si>
    <t>Einschränkung sehr stark</t>
  </si>
  <si>
    <t>oui</t>
  </si>
  <si>
    <t>ja</t>
  </si>
  <si>
    <t>gant + tablier + …</t>
  </si>
  <si>
    <t>Handschuhe + Schurz + …</t>
  </si>
  <si>
    <t>Homologué</t>
  </si>
  <si>
    <t>Bewilligt</t>
  </si>
  <si>
    <t>Homologué mais soumis à autorisation</t>
  </si>
  <si>
    <t>Bewilligt mit Sonderbewilligung</t>
  </si>
  <si>
    <t>Prescritions d'utilisation des produits 
homologués dans les grandes cultures</t>
  </si>
  <si>
    <t>Anwendungsvorschriften 
der bewilligten Produkte</t>
  </si>
  <si>
    <t>Choisissez un produit commercial</t>
  </si>
  <si>
    <t>Wählen Sie ein Produkt aus</t>
  </si>
  <si>
    <t>Fongicide</t>
  </si>
  <si>
    <t>Fungizid</t>
  </si>
  <si>
    <t>Herbicide</t>
  </si>
  <si>
    <t>Herbizid</t>
  </si>
  <si>
    <t>Insecticide</t>
  </si>
  <si>
    <t>Insektizid</t>
  </si>
  <si>
    <t>Moluscicide</t>
  </si>
  <si>
    <t>Schneckenkörner</t>
  </si>
  <si>
    <t xml:space="preserve"> Régulateur</t>
  </si>
  <si>
    <t>Regulatoren</t>
  </si>
  <si>
    <t>Conditions d'utilisation</t>
  </si>
  <si>
    <t>Anwendungsvorschriften</t>
  </si>
  <si>
    <t>Zone non traitée de X m le long des eaux de surface</t>
  </si>
  <si>
    <t>Nicht behandelte Fläche von X m entlang von Gewässer</t>
  </si>
  <si>
    <t>Réduction du risque de ruissellement de X points</t>
  </si>
  <si>
    <t>Abschwemmungsauflagen</t>
  </si>
  <si>
    <t>Zone non traitée de X m le long des biotopes</t>
  </si>
  <si>
    <t>Nicht behandelte Fläche von X m entlang von Biotopen</t>
  </si>
  <si>
    <t>pas de restriction en zone S2</t>
  </si>
  <si>
    <t>keine Einschränkung in S2</t>
  </si>
  <si>
    <t>interdit en zone S2</t>
  </si>
  <si>
    <t>in S2 Zonen verboten</t>
  </si>
  <si>
    <t>pas de restriction en zone karstique</t>
  </si>
  <si>
    <t>keine Einschränkung in Karstgebiet</t>
  </si>
  <si>
    <t>interdit zone karstique</t>
  </si>
  <si>
    <t>in Karstgebiet verboten</t>
  </si>
  <si>
    <t>pas de restriction sur la rotation</t>
  </si>
  <si>
    <t>keine Einschränkung in der Fruchtfolge</t>
  </si>
  <si>
    <t>liste plan d'action</t>
  </si>
  <si>
    <t>Liste Aktionsplan</t>
  </si>
  <si>
    <t>risque modéré pour le milieu aquatique</t>
  </si>
  <si>
    <t>moderates Risiko für Gewässerorganismen</t>
  </si>
  <si>
    <t>dangereux pour le milieu aquatique</t>
  </si>
  <si>
    <t>grosses Risiko für Gewässerorganismen</t>
  </si>
  <si>
    <t>risque modéré pour les abeilles</t>
  </si>
  <si>
    <t>moderates Risiko für Bienen</t>
  </si>
  <si>
    <t>port de masque à la préparation</t>
  </si>
  <si>
    <t>Maske tragen beim Anmischen</t>
  </si>
  <si>
    <t>protection à l'application</t>
  </si>
  <si>
    <t>Schutz bei der Applikation</t>
  </si>
  <si>
    <t>Contrôle des exigences d'application des produits par parcelle</t>
  </si>
  <si>
    <t>Kontrolle der Anwendungsvorschriften auf einer Parzelle</t>
  </si>
  <si>
    <t>Complétez les zones</t>
  </si>
  <si>
    <t>Zelle ergänzen</t>
  </si>
  <si>
    <t>Parcelle:</t>
  </si>
  <si>
    <t>Parzelle:</t>
  </si>
  <si>
    <t>Indiquez le nom d'une parcelle</t>
  </si>
  <si>
    <t>Parzellenname eingeben</t>
  </si>
  <si>
    <t>Forêt</t>
  </si>
  <si>
    <t>Wald</t>
  </si>
  <si>
    <t>eau</t>
  </si>
  <si>
    <t>Wasser</t>
  </si>
  <si>
    <t>bande</t>
  </si>
  <si>
    <t>Grün</t>
  </si>
  <si>
    <t>herbeuse</t>
  </si>
  <si>
    <t>streifen</t>
  </si>
  <si>
    <t>biotope</t>
  </si>
  <si>
    <t>Données structurelles</t>
  </si>
  <si>
    <t>Strukturdaten</t>
  </si>
  <si>
    <t>Distance par rapport eau de surface (m)</t>
  </si>
  <si>
    <t>Distanz zum Gewässer in m</t>
  </si>
  <si>
    <t>Bande herbeuse le long des eaux de surface (m)</t>
  </si>
  <si>
    <t>Grünstreifen entlag des Gewässer in m</t>
  </si>
  <si>
    <t>Pente de la parcelle (%)</t>
  </si>
  <si>
    <t>Hang in der Parzelle in %</t>
  </si>
  <si>
    <t>Zone de source S2</t>
  </si>
  <si>
    <t>S2 Zone</t>
  </si>
  <si>
    <t>Zone karstique</t>
  </si>
  <si>
    <t>Karstzone</t>
  </si>
  <si>
    <t>Distance par rapport biotopes (m)</t>
  </si>
  <si>
    <t>Distanz gegenüber Biotope in m</t>
  </si>
  <si>
    <t>Utilisation de produits</t>
  </si>
  <si>
    <t>Produktanwendung</t>
  </si>
  <si>
    <t>Dimethachlore ces derniers 3 ans</t>
  </si>
  <si>
    <t>Dimethachlore 3 letzten Jahre</t>
  </si>
  <si>
    <t>Aminopyralide ces derniers 2 ans</t>
  </si>
  <si>
    <t>Aminopyralide 2 letzten Jahre</t>
  </si>
  <si>
    <t>Metazachlore ces derniers 3 ans</t>
  </si>
  <si>
    <t>Metazachlore 3 letzten Jahre</t>
  </si>
  <si>
    <t>Quinmerac ces derniers 2 ans</t>
  </si>
  <si>
    <t>Quinmerac 2 letzten Jahre</t>
  </si>
  <si>
    <t>Penoxsulame ces derniers 3 ans</t>
  </si>
  <si>
    <t>Penoxsulame 3 letzten Jahre</t>
  </si>
  <si>
    <t>Pethoxamide ces derniers 2 ans</t>
  </si>
  <si>
    <t>Pethoxamide 2 letzten Jahre</t>
  </si>
  <si>
    <t>Terbuthylazine ces derniers 3 ans</t>
  </si>
  <si>
    <t>Terbuthylazine 3 letzten Jahre</t>
  </si>
  <si>
    <t>Metolachlore ces derniers 3 ans</t>
  </si>
  <si>
    <t>Metolachlore 3 letzten Jahre</t>
  </si>
  <si>
    <t>Nicosulfuron ces derniers 2 ans</t>
  </si>
  <si>
    <t>Nicosulfuron 2 letzten Jahre</t>
  </si>
  <si>
    <t>non</t>
  </si>
  <si>
    <t>nein</t>
  </si>
  <si>
    <t>Appréciation de la situation</t>
  </si>
  <si>
    <t>Situationsanalyse</t>
  </si>
  <si>
    <t>Dérive:</t>
  </si>
  <si>
    <t>Drift:</t>
  </si>
  <si>
    <t>Ruissellement:</t>
  </si>
  <si>
    <t>Abschwemmung:</t>
  </si>
  <si>
    <t>Zone de source:</t>
  </si>
  <si>
    <t>Grundwasserzone:</t>
  </si>
  <si>
    <t>Zone karstique:</t>
  </si>
  <si>
    <t>Karstgebiet:</t>
  </si>
  <si>
    <t>Biotope:</t>
  </si>
  <si>
    <t>Choix des produits</t>
  </si>
  <si>
    <t>Produktewahl</t>
  </si>
  <si>
    <t>Principaux produits utilisés. Le détail de tous les produits est disponible dans l'index phytosanitaire de l'OFAG</t>
  </si>
  <si>
    <t>Mögliche Produkte. Die Details aller Produkte findet man im Pflanzenschutzindex des BLW.</t>
  </si>
  <si>
    <t>Adaptez votre bordure</t>
  </si>
  <si>
    <t>Grünstreifen anpassen</t>
  </si>
  <si>
    <t>Tous les produits sont utilisables</t>
  </si>
  <si>
    <t>Alle Produkte können angewendet werden</t>
  </si>
  <si>
    <t>Contrôlez la ZNT du produit à utiliser</t>
  </si>
  <si>
    <t>Abstand zu Oberflächengewässer kontrollieren</t>
  </si>
  <si>
    <t>&gt;1 pt prendre des mesures</t>
  </si>
  <si>
    <t>&gt; 1 pt, Massnahmen ergreifen</t>
  </si>
  <si>
    <t>Choix de produits restreint</t>
  </si>
  <si>
    <t>eingeschränkte Produktauswahl</t>
  </si>
  <si>
    <t>Adaptez les pratiques de pulvérisation pour quelques produits</t>
  </si>
  <si>
    <t>Applikationstechnik für einige Produkte anpassen</t>
  </si>
  <si>
    <t>Eviter les produits avec la substance en question</t>
  </si>
  <si>
    <t>Produkte mit diesem Wirkstoff meiden.</t>
  </si>
  <si>
    <t>Max 0.75 kg de Dimethachlore en 3 ans</t>
  </si>
  <si>
    <t>Max 0.75 kg Dimethachlore in 3 Jahre</t>
  </si>
  <si>
    <t>Max 1 kg de Metazachlore en 3 ans</t>
  </si>
  <si>
    <t>Max 1 kg Metazachlore in 3 Jahre</t>
  </si>
  <si>
    <t>Max 1.5 kg de Metolachlore en 3 ans</t>
  </si>
  <si>
    <t>Max 1.5 kg Metolachlore in 3 Jahre</t>
  </si>
  <si>
    <t>Max 60 g de Nicosulfuron en 2 ans</t>
  </si>
  <si>
    <t>Max 60 g Nicosulfuron in 2 Jahre</t>
  </si>
  <si>
    <t>Prescritions d'utilisation des produits phytosanitaires homologués dans les grandes cultures</t>
  </si>
  <si>
    <t>Anwendungsvorschriften der bewilligten Produkte im Feldbau</t>
  </si>
  <si>
    <t>Précision des informations contenues dans les tableaux joints</t>
  </si>
  <si>
    <t>Informationen zu den Tabellen</t>
  </si>
  <si>
    <t>Les informations officielles se trouvent sur l'index de l'OFAG, se référer à cette source pour les produits manquants dans cette liste</t>
  </si>
  <si>
    <t>Die offiziellen Informationen werden im Index Pflanzenschutzmittel publiziert. Nicht erwähnte Produkte finden Sie dort.</t>
  </si>
  <si>
    <t>Pour plus de précisions concernant l'efficacité et l'application des produits, consultez les FT Agridea Grandes cultures ou les documents des firmes commerciales.</t>
  </si>
  <si>
    <t>Für zusätzliche Informationen zur Anwendung der Produkte das Heft "Pflanzenschutzmittel im Feldbau" oder die Merkblätter der Firmen beiziehen.</t>
  </si>
  <si>
    <t>Nom du produit commercial</t>
  </si>
  <si>
    <t>Produktname</t>
  </si>
  <si>
    <t>F=Fungizid; H=Herbizid; I=Insektizid; M=Schneckenkörner; R=Regulatoren</t>
  </si>
  <si>
    <t>Application du produit interdite en zone S2</t>
  </si>
  <si>
    <t>Produkt in S2 Zonen verboten</t>
  </si>
  <si>
    <t>Application du produit interdite en zone karstique</t>
  </si>
  <si>
    <t>Produkt in Karstgebiet verboten</t>
  </si>
  <si>
    <t>Réduction de l'utilisation dans la rotation afin de protéger les eaux souterraines</t>
  </si>
  <si>
    <t>Eingeschränkte Produktauswahl zum Schutz des Grundwassers</t>
  </si>
  <si>
    <t>Prévision de réduction de l'utilisation dans le cadre du plan d'action de la Confédération</t>
  </si>
  <si>
    <t>Im NAP eingeschränkte Produktauswahl</t>
  </si>
  <si>
    <t>Dangereux pour le milieu aquatique</t>
  </si>
  <si>
    <t>Gefahr für die Gewässerorganismen</t>
  </si>
  <si>
    <t xml:space="preserve">Dangereux pour les abeilles </t>
  </si>
  <si>
    <t>Gefahr für die Bienen</t>
  </si>
  <si>
    <t>Zusäzlich zu den Handschuhen und Schutzkleider, Gesichtschutz beim Anmischen</t>
  </si>
  <si>
    <t>En plus des gants et d'une tenue de protection, port d'un masque lors de la préparation de la bouillie</t>
  </si>
  <si>
    <t>Zusäzlich zu den Handschuhen und Schutzkleider, Maske beim Anmischen</t>
  </si>
  <si>
    <t>Prendre des mesures de précaution lors de l'application de la bouillie</t>
  </si>
  <si>
    <t>Anwenderschutz beim Ausbringen</t>
  </si>
  <si>
    <t>Temps d'attente avant le retour au champs sans protection</t>
  </si>
  <si>
    <t>Wartezeit bevor Wiedereintritt in die Parzelle nach der Behandlung</t>
  </si>
  <si>
    <t>Homologation dans les céréales</t>
  </si>
  <si>
    <t>Bewilligt im Getreide</t>
  </si>
  <si>
    <t>Homologation dans les betteraves</t>
  </si>
  <si>
    <t>Bewilligt in Zuckerrüben</t>
  </si>
  <si>
    <t>Homologation dans les pommes de terre</t>
  </si>
  <si>
    <t>Bewilligt in Kartoffeln</t>
  </si>
  <si>
    <t>Homologation dans le maïs</t>
  </si>
  <si>
    <t>Bewilligt im Mais</t>
  </si>
  <si>
    <t>Homologation dans le colza</t>
  </si>
  <si>
    <t>Bewilligt im Raps</t>
  </si>
  <si>
    <t>Homologation dans le tournesol</t>
  </si>
  <si>
    <t>Bewilligt in Sonnenblumen</t>
  </si>
  <si>
    <t>Homologation dans les pois protéagineux</t>
  </si>
  <si>
    <t>Bewilligt in Eiweisserbsen</t>
  </si>
  <si>
    <t>Homologation dans la féverole, le lupin ou le soja</t>
  </si>
  <si>
    <t>Bewilligt in Soja, Lupinen oder Ackerbohnen</t>
  </si>
  <si>
    <t>Homologation dans le tabac</t>
  </si>
  <si>
    <t>Bewilligt im Tabak</t>
  </si>
  <si>
    <t>Homologation dans les prairies</t>
  </si>
  <si>
    <t>Bewilligt im Grünland</t>
  </si>
  <si>
    <t>Version de l'index phytosanitaire de l'OFAG</t>
  </si>
  <si>
    <t>Version des Pflanzenschutzmittelindex</t>
  </si>
  <si>
    <t>Sweeper</t>
  </si>
  <si>
    <t>propaquizafop</t>
  </si>
  <si>
    <t>ametoctradine</t>
  </si>
  <si>
    <t>kaolin</t>
  </si>
  <si>
    <t>flonicamide</t>
  </si>
  <si>
    <t>Calado (betteraves)</t>
  </si>
  <si>
    <t>Frontex (betteraves)</t>
  </si>
  <si>
    <t>Italiano</t>
  </si>
  <si>
    <t>Eviter les produits avec plus de 6 m de ZNT</t>
  </si>
  <si>
    <t>Vermeiden Sie Produkte mit mehr als 6 m</t>
  </si>
  <si>
    <t>&gt;2 pt prendre des mesures</t>
  </si>
  <si>
    <t>&gt; 2 pt, Massnahmen ergreifen</t>
  </si>
  <si>
    <t>&gt;3 pt prendre des mesures</t>
  </si>
  <si>
    <t>&gt; 3 pt, Massnahmen ergreifen</t>
  </si>
  <si>
    <t>Scelta della lingua</t>
  </si>
  <si>
    <t>Indietro</t>
  </si>
  <si>
    <t>Gruppi di resistenza RAC</t>
  </si>
  <si>
    <t>Distanza senza trattamenti [m]</t>
  </si>
  <si>
    <t>Restrizioni</t>
  </si>
  <si>
    <t>Protezione dell'utilizzatore</t>
  </si>
  <si>
    <t>Omologazione</t>
  </si>
  <si>
    <t>Prodotto</t>
  </si>
  <si>
    <t>Tipo</t>
  </si>
  <si>
    <t>Titolare dell'autorizzazione</t>
  </si>
  <si>
    <t>PA1</t>
  </si>
  <si>
    <t>PA2</t>
  </si>
  <si>
    <t>PA3</t>
  </si>
  <si>
    <t>Ruscellamento</t>
  </si>
  <si>
    <t>Biotopo</t>
  </si>
  <si>
    <t>Acque sotterranee</t>
  </si>
  <si>
    <t>Frequenza</t>
  </si>
  <si>
    <t>PAF</t>
  </si>
  <si>
    <t>Organismi acquatici</t>
  </si>
  <si>
    <t>Api</t>
  </si>
  <si>
    <t>Occhiali</t>
  </si>
  <si>
    <t>Maschera</t>
  </si>
  <si>
    <t>Trattamento</t>
  </si>
  <si>
    <t>Accesso post-trattamento</t>
  </si>
  <si>
    <t>Cereali</t>
  </si>
  <si>
    <t>Barbabietole</t>
  </si>
  <si>
    <t>Patate</t>
  </si>
  <si>
    <t>Girasole</t>
  </si>
  <si>
    <t>Pisello</t>
  </si>
  <si>
    <t>Tabacco</t>
  </si>
  <si>
    <t>Prati e pascoli</t>
  </si>
  <si>
    <t>Stato</t>
  </si>
  <si>
    <t>Nota</t>
  </si>
  <si>
    <t>Restrizione leggera</t>
  </si>
  <si>
    <t>Restrizione media</t>
  </si>
  <si>
    <t>Restrizione importante</t>
  </si>
  <si>
    <t>Restrizione severa</t>
  </si>
  <si>
    <t>sì</t>
  </si>
  <si>
    <t>guanti + grembiule</t>
  </si>
  <si>
    <t>Omologato</t>
  </si>
  <si>
    <t>Omologato, ma sottoposto ad autorizzazione</t>
  </si>
  <si>
    <t>Prescrizioni d'utilizzo per i prodotti omologati nelle colture erbacee di pieno campo</t>
  </si>
  <si>
    <t>Scegliete un prodotto in commercio</t>
  </si>
  <si>
    <t>Fungicida</t>
  </si>
  <si>
    <t>Erbicida</t>
  </si>
  <si>
    <t>Insetticida</t>
  </si>
  <si>
    <t>Molluschicida</t>
  </si>
  <si>
    <t>Regolatore di crescita</t>
  </si>
  <si>
    <t>Prescrizioni d'utilizzo</t>
  </si>
  <si>
    <t>Zona non tratta di X m lungo le acque superficiali</t>
  </si>
  <si>
    <t xml:space="preserve">Riduzione del rischio di ruscellamento [X punti necessari] </t>
  </si>
  <si>
    <t>Zona non tratta di X m lungo i biotopi</t>
  </si>
  <si>
    <t>Nessuna restrizione in zona S2</t>
  </si>
  <si>
    <t>Vietato in zona S2</t>
  </si>
  <si>
    <t>Nessuna restrizione in zona carsica</t>
  </si>
  <si>
    <t>Vietato in zona carsica</t>
  </si>
  <si>
    <t>Nessuna restrizione durante la rotazione</t>
  </si>
  <si>
    <t>Lista del piano d'azione</t>
  </si>
  <si>
    <t>Rischio moderato per gli organismi acquatici</t>
  </si>
  <si>
    <t>Rischio elevato per gli organismi acquatici</t>
  </si>
  <si>
    <t>Indossare gli occhiali durante la preparazione della poltiglia</t>
  </si>
  <si>
    <t>Indossare la maschera durante la preparazione della poltiglia</t>
  </si>
  <si>
    <t>Protezione durante il trattamento</t>
  </si>
  <si>
    <t>Controllo delle prescrizioni durante il trattamento in una parcella</t>
  </si>
  <si>
    <t>Inserire i dati</t>
  </si>
  <si>
    <t>Parcella:</t>
  </si>
  <si>
    <t>Inserire il nome della parcella</t>
  </si>
  <si>
    <t>Bosco</t>
  </si>
  <si>
    <t>Acqua</t>
  </si>
  <si>
    <t>Fascia</t>
  </si>
  <si>
    <t>Erbosa</t>
  </si>
  <si>
    <t>Dati strutturali</t>
  </si>
  <si>
    <t>Distanza dalle acque superficiali [m]</t>
  </si>
  <si>
    <t>Larghezza della fascia erbosa lungo le acque superficiali [m]</t>
  </si>
  <si>
    <t>Pendenza della parcella [%]</t>
  </si>
  <si>
    <t>Zona di captazione S2</t>
  </si>
  <si>
    <t>Zona carsica</t>
  </si>
  <si>
    <t>Distanza dai biotopi [m]</t>
  </si>
  <si>
    <t>Utilizzo dei prodotti</t>
  </si>
  <si>
    <t>Dimetaclor negli ultimi 3 anni</t>
  </si>
  <si>
    <t>Aminopyralid negli ultimi 2 anni</t>
  </si>
  <si>
    <t>Metazaclor negli ultimi 3 anni</t>
  </si>
  <si>
    <t>Quinmerac negli ultimi 2 anni</t>
  </si>
  <si>
    <t>Penoxsulam negli ultimi 3 anni</t>
  </si>
  <si>
    <t>Petoxamid negli ultimi 2 anni</t>
  </si>
  <si>
    <t>Terbutilazina negli ultimi 3 anni</t>
  </si>
  <si>
    <t>Metolaclor negli ultimi 3 anni</t>
  </si>
  <si>
    <t>Nicosulfuron negli ultimi 2 anni</t>
  </si>
  <si>
    <t>Sì</t>
  </si>
  <si>
    <t>No</t>
  </si>
  <si>
    <t>Valutazione della situazione</t>
  </si>
  <si>
    <t>Deriva:</t>
  </si>
  <si>
    <t>Ruscellamento:</t>
  </si>
  <si>
    <t>Zona di captazione:</t>
  </si>
  <si>
    <t>Zona carsica:</t>
  </si>
  <si>
    <t>Biotopo:</t>
  </si>
  <si>
    <t>Scelta dei prodotti</t>
  </si>
  <si>
    <t>Principali prodotti utilizzati. I dettagli di tutti i prodotti sono disponibili nell'indice dei prodotti fitosanitari dell'UFAG</t>
  </si>
  <si>
    <t>Adattare la fascia erbosa</t>
  </si>
  <si>
    <t>Si possono utilizzare tutti i prodotti</t>
  </si>
  <si>
    <t>Verificate la distanza dalle acque superficiali (ZNT) del prodotto scelto</t>
  </si>
  <si>
    <t>&gt; 1 pt, prendere delle misure</t>
  </si>
  <si>
    <t>Scelta dei prodotti limitata</t>
  </si>
  <si>
    <t>Adattate la tecnica di distribuzione per alcuni prodotti</t>
  </si>
  <si>
    <t>Evitate i prodotti con il principio attivo in questione</t>
  </si>
  <si>
    <t>Max 0.75 kg/ha di dimetaclor in 3 anni</t>
  </si>
  <si>
    <t>Max 1 kg/ha di metazaclor in 3 anni</t>
  </si>
  <si>
    <t>Max 1.5/ha kg di metolaclor in 3 anni</t>
  </si>
  <si>
    <t>Max 60 g di nicosulfuron in 2 anni</t>
  </si>
  <si>
    <t>Precisione delle informazioni riportate nelle tabelle allegate</t>
  </si>
  <si>
    <t>Le informazioni ufficiali sono riportate nell'indice dei prodotti fitosanitari dell'UFAG, dove potete trovare le informazioni sui prodotti non considerati in questa lista</t>
  </si>
  <si>
    <t>Per maggiori dettagli sull'efficacia e le modalità di distribuzione dei prodotti, consultate le schede tecniche di Agridea "Grandes cultures" oppure i documenti ufficali del titolare dell'autorizzazione</t>
  </si>
  <si>
    <t>Nome commerciale del prodotto</t>
  </si>
  <si>
    <t>F=fungicida; E=erbicida; I=insetticida; M=molluschicida; R=regolatore di crescita</t>
  </si>
  <si>
    <t>Prodotto vietato in zona S2</t>
  </si>
  <si>
    <t>Prodotto vietato in zona carsica</t>
  </si>
  <si>
    <t>Utilizzo del prodotto limitata sull'arco della rotazione, per proteggere gli Organismi acquatici</t>
  </si>
  <si>
    <t xml:space="preserve">Riduzione di utilizzo prevista nel quadro del piano d'azione promosso dalla Confederazione </t>
  </si>
  <si>
    <t>Pericoloso per gli organismi acquatici</t>
  </si>
  <si>
    <t>Pericoloso per le api</t>
  </si>
  <si>
    <t>Oltre a guanti e tuta protettiva, indossare gli occhiali</t>
  </si>
  <si>
    <t>Oltre a guanti e tuta, indossare la maschera</t>
  </si>
  <si>
    <t>Proteggersi adeguatamente durante il trattamento</t>
  </si>
  <si>
    <t>Periodo d'attesa prima di accedere alla parcella senza protezione</t>
  </si>
  <si>
    <t>Omologato nei cereali</t>
  </si>
  <si>
    <t>Omologato nelle barbabietole</t>
  </si>
  <si>
    <t>Omologato nelle patate</t>
  </si>
  <si>
    <t>Omologato nel mais</t>
  </si>
  <si>
    <t>Omologato nella colza</t>
  </si>
  <si>
    <t>Omologato nel girasole</t>
  </si>
  <si>
    <t>Omologato nel pisello proteico</t>
  </si>
  <si>
    <t>Omologato in soia, lupino o favino</t>
  </si>
  <si>
    <t>Omologato nel tabacco</t>
  </si>
  <si>
    <t>Omologato in prati e pascoli</t>
  </si>
  <si>
    <t>Versione dell'indice dei prodotti fitosanitari dell'UFAG</t>
  </si>
  <si>
    <t>&gt; 2 pt, prendere delle misure</t>
  </si>
  <si>
    <t>Evitare prodotti con più di 6 m di ZNT</t>
  </si>
  <si>
    <t>20 mg/tab</t>
  </si>
  <si>
    <t>phosphate de fer III</t>
  </si>
  <si>
    <t>Point</t>
  </si>
  <si>
    <t>Buses</t>
  </si>
  <si>
    <t>Matériel</t>
  </si>
  <si>
    <t>Parcelle</t>
  </si>
  <si>
    <t>Distance</t>
  </si>
  <si>
    <t>6 m</t>
  </si>
  <si>
    <t>Points nécessaires</t>
  </si>
  <si>
    <t>Réduction de la largeur de la ZNT à …</t>
  </si>
  <si>
    <t>Pulvérisateur avec assistance d'air</t>
  </si>
  <si>
    <t>Buses injection d'air avec max 3 bar (75% dérive)</t>
  </si>
  <si>
    <t>Buses injection d'air avec max 2 bar (90% dérive)</t>
  </si>
  <si>
    <t>Pulvérisation sous-foliaire</t>
  </si>
  <si>
    <t>Traitement herbicide en bande</t>
  </si>
  <si>
    <t>Bande végétalisée continue de min 3 m de large et aussi haute que la culture traitée</t>
  </si>
  <si>
    <t>Bande herbeuse le long d'eau de surface</t>
  </si>
  <si>
    <t>6 m (entièrement couverte d'une couverture végétale</t>
  </si>
  <si>
    <t>Type de travail du sol</t>
  </si>
  <si>
    <t>- semis direct
- semis en bande
- semis sous litière</t>
  </si>
  <si>
    <t>Mesures à la parcelles</t>
  </si>
  <si>
    <t>- Diguettes transversales dans les cultures à buttes
- Enherbement des passages du tracteur
- Bande enherbée de 3 m à l'origine du ruissellement
- Enherbement des tournières</t>
  </si>
  <si>
    <t>Distanza disposta</t>
  </si>
  <si>
    <t>Punteggio necessario</t>
  </si>
  <si>
    <t>Riduzione della larghezza della zona tampone non trattata a ...</t>
  </si>
  <si>
    <t>Misure di limitare la deriva</t>
  </si>
  <si>
    <t>Punti</t>
  </si>
  <si>
    <t>Ugelli</t>
  </si>
  <si>
    <t>Ugelli ad iniezione per max 3 bar (75% deriva)</t>
  </si>
  <si>
    <t>Ugelli ad iniezione per max 2 bar (90% deriva)</t>
  </si>
  <si>
    <t>Buses injection d'air avec 95% dérive</t>
  </si>
  <si>
    <t>Ugelli ad iniezione (95% deriva)</t>
  </si>
  <si>
    <t>Apparecchiature</t>
  </si>
  <si>
    <t>Barre irroranti ad aeroconvezione</t>
  </si>
  <si>
    <t>Irrorazione della pagina inferiore della foglia</t>
  </si>
  <si>
    <t>Irrorazione delle fasce con erbicidi</t>
  </si>
  <si>
    <t>Particella</t>
  </si>
  <si>
    <t>Fascia di vegetazione continua larga almeno 3 metri e per lo meno della stessa alltezza della coltura trattata</t>
  </si>
  <si>
    <t>Misure di limitare il dilavamento</t>
  </si>
  <si>
    <t>Fascia tampone coperta da vegetazione le acque superficiali</t>
  </si>
  <si>
    <t>Lavorazione del suolo</t>
  </si>
  <si>
    <t>- semina diretta
- semina a banda
- Semina su lettiera</t>
  </si>
  <si>
    <t>Misure specifische nella particella</t>
  </si>
  <si>
    <t>- Picolli sbarramenti nei solchi tra "porche"
- Vie du passaggio inerbite
- Fasce inebite (min 3 m) nella particella dove ha origine il dilavamento.</t>
  </si>
  <si>
    <t>1 point: Réduction de la surface traitée par le traitement en bande (max 50% de la surface traitée)</t>
  </si>
  <si>
    <t>1 punti: Riduzione della superficie trattata con trattamento su meno del 50% della superficie.</t>
  </si>
  <si>
    <t>Risikominderungsmassnahmen betreffend Drift</t>
  </si>
  <si>
    <t>Punkte</t>
  </si>
  <si>
    <t>Düsen</t>
  </si>
  <si>
    <t>Buses injection d'air (50% réduction)</t>
  </si>
  <si>
    <t>Injektordüsen (50% Reduktion)</t>
  </si>
  <si>
    <t>Ugelli ad iniezione (50% limitare)</t>
  </si>
  <si>
    <t>Injektordüsen bei max 3 bar (75% Reduktion)</t>
  </si>
  <si>
    <t>Injektordüsen bei max 2 bar (90% Reduktion)</t>
  </si>
  <si>
    <t>Injektordüsen 95% Reduktion</t>
  </si>
  <si>
    <t>Gerätschaften</t>
  </si>
  <si>
    <t>Unterblattspritzung ab "Reihenschluss"</t>
  </si>
  <si>
    <t>Herbizid-Bandspritzung</t>
  </si>
  <si>
    <t>Parzelle</t>
  </si>
  <si>
    <t>Verfügter Abstand</t>
  </si>
  <si>
    <t>Notwendige Punktzahl</t>
  </si>
  <si>
    <t>Reduktion des Breite der unbehandelten Pufferzone auf …</t>
  </si>
  <si>
    <t>Risikominderungsmassnahmen betreffend Abschwemmung</t>
  </si>
  <si>
    <t>Massnahmen zwischen Parzelle und Gewässer</t>
  </si>
  <si>
    <t>6 m bewachsener Pufferstreifen</t>
  </si>
  <si>
    <t>Bodenbearbeitung</t>
  </si>
  <si>
    <t>- Direktsaat
- Streifensaat
- Mulchsaat</t>
  </si>
  <si>
    <t>Innerhalb der Parzelle</t>
  </si>
  <si>
    <t>- Querdämme in Dammkulturen
- Begrünte Fahrgassen
- Begrünte Streifen in der Parzelle wo Abschwemmung entsteht (min 3 m breit)
- Begrünung des Vorgewendes</t>
  </si>
  <si>
    <t>Unzusammenhängender Vegetationsstreifen von mind. 3 m Breite und mind. so hoch wie die Kultur.</t>
  </si>
  <si>
    <t>Spritzbalken mit Luftunterstützung</t>
  </si>
  <si>
    <t>1 Punkt: Behandlung auf weniger als 50% der Fläche (Bandsprizung)</t>
  </si>
  <si>
    <t>Substance active 1</t>
  </si>
  <si>
    <t>RAC</t>
  </si>
  <si>
    <t>Substance active 2</t>
  </si>
  <si>
    <t>Substance active 3</t>
  </si>
  <si>
    <t>Principio attivo 1</t>
  </si>
  <si>
    <t>Principio attivo 2</t>
  </si>
  <si>
    <t>Principio attivo 3</t>
  </si>
  <si>
    <t>Wirkstoff 1</t>
  </si>
  <si>
    <t>Wirkstoff 2</t>
  </si>
  <si>
    <t>Wirkstoff 3</t>
  </si>
  <si>
    <t>Topas</t>
  </si>
  <si>
    <t>penconazole</t>
  </si>
  <si>
    <t>Dosage</t>
  </si>
  <si>
    <t>risque important</t>
  </si>
  <si>
    <t>risque relatif (métabolites non pertinents)</t>
  </si>
  <si>
    <t>obligation légale</t>
  </si>
  <si>
    <t>zwingend</t>
  </si>
  <si>
    <t>grosses risiko</t>
  </si>
  <si>
    <t>mittleres Risiko (nicht relevante Metaboiliten)</t>
  </si>
  <si>
    <t>Ws 4</t>
  </si>
  <si>
    <t>PA4</t>
  </si>
  <si>
    <t xml:space="preserve">g/kg </t>
  </si>
  <si>
    <t>Araldo 0.4 l/ha</t>
  </si>
  <si>
    <t>Araldo 0.6 l/ha</t>
  </si>
  <si>
    <t>amisulbrom</t>
  </si>
  <si>
    <t>Avacco</t>
  </si>
  <si>
    <t>Topcorn</t>
  </si>
  <si>
    <t>Othello Star</t>
  </si>
  <si>
    <t>Visière</t>
  </si>
  <si>
    <t>port d'une visière à la préparation</t>
  </si>
  <si>
    <t>Visier tragen beim Anmischen</t>
  </si>
  <si>
    <t>En plus des gants et d'une tenue de protection, port d'une visière lors de la préparation de la bouillie</t>
  </si>
  <si>
    <t>V</t>
  </si>
  <si>
    <t>Dominator</t>
  </si>
  <si>
    <t>Loper</t>
  </si>
  <si>
    <t>Solanis</t>
  </si>
  <si>
    <t>Taifen</t>
  </si>
  <si>
    <t>Metafol Super</t>
  </si>
  <si>
    <t>Roundup PowerFlex</t>
  </si>
  <si>
    <t>Select (0.5 l/ha)</t>
  </si>
  <si>
    <t>Select (&gt;0.5 l/ha)</t>
  </si>
  <si>
    <t>Artist (0.5–0.9 kg/ha)</t>
  </si>
  <si>
    <t>Artist (1 kg/ha)</t>
  </si>
  <si>
    <t>Artist (1.5-2.5 kg/ha)</t>
  </si>
  <si>
    <t>Dual Gold (bett.)</t>
  </si>
  <si>
    <t>Gondor</t>
  </si>
  <si>
    <t>lécithine de soja</t>
  </si>
  <si>
    <t>Appl.</t>
  </si>
  <si>
    <t>1 SDHI</t>
  </si>
  <si>
    <t>1à2</t>
  </si>
  <si>
    <t>g/kg - l</t>
  </si>
  <si>
    <t>Apell 200</t>
  </si>
  <si>
    <t>2 CHLORANTRANILIPROLE /2ans</t>
  </si>
  <si>
    <t>Oxidia</t>
  </si>
  <si>
    <t>Oblix MT</t>
  </si>
  <si>
    <t>Galipan 3</t>
  </si>
  <si>
    <t>Constar</t>
  </si>
  <si>
    <t>Cleave</t>
  </si>
  <si>
    <t>Dicavel SL</t>
  </si>
  <si>
    <t>Dialen</t>
  </si>
  <si>
    <t>Gazelle 120 FL</t>
  </si>
  <si>
    <t>Rondo Sky</t>
  </si>
  <si>
    <t>Sugaro Gold</t>
  </si>
  <si>
    <t>Variano Xpro</t>
  </si>
  <si>
    <t>fluoxastrobine</t>
  </si>
  <si>
    <t>Herold Flex 1 l/ha</t>
  </si>
  <si>
    <t>Bengala</t>
  </si>
  <si>
    <t>Lontrel 100</t>
  </si>
  <si>
    <t>Venzar 500 SC</t>
  </si>
  <si>
    <t>Pendi</t>
  </si>
  <si>
    <t>Sh</t>
  </si>
  <si>
    <t>Sy, Sa</t>
  </si>
  <si>
    <t>Ba, Sa</t>
  </si>
  <si>
    <t>Om, Sa</t>
  </si>
  <si>
    <t>Temsa SC</t>
  </si>
  <si>
    <t>?</t>
  </si>
  <si>
    <t>S-métolachlore</t>
  </si>
  <si>
    <t>Substance</t>
  </si>
  <si>
    <t>Utilisation</t>
  </si>
  <si>
    <t>Risques</t>
  </si>
  <si>
    <t>Mentions abeilles</t>
  </si>
  <si>
    <t>Interdiction</t>
  </si>
  <si>
    <t>interdit sur plantes en fleur</t>
  </si>
  <si>
    <t>hors vol des abeilles</t>
  </si>
  <si>
    <t>en dehors du vol des abeilles</t>
  </si>
  <si>
    <t>vietato sulle piante da fiore</t>
  </si>
  <si>
    <t>am Abend nach dem Bienenflug</t>
  </si>
  <si>
    <t>verboten auf blühenden Pflanzen</t>
  </si>
  <si>
    <t>rischio moderato per le api</t>
  </si>
  <si>
    <t>pseudomonas</t>
  </si>
  <si>
    <t>Proradix</t>
  </si>
  <si>
    <t>Telmion</t>
  </si>
  <si>
    <t>Serenade ASO</t>
  </si>
  <si>
    <t>Genol Plant</t>
  </si>
  <si>
    <t>Protection utilisateur</t>
  </si>
  <si>
    <t>1-3</t>
  </si>
  <si>
    <t>Winsum</t>
  </si>
  <si>
    <t>Zofal D</t>
  </si>
  <si>
    <t>o</t>
  </si>
  <si>
    <t>n</t>
  </si>
  <si>
    <t>1-Decanol</t>
  </si>
  <si>
    <t>alpha-Cypermethrin</t>
  </si>
  <si>
    <t>mesotrione</t>
  </si>
  <si>
    <t>S-Métolachlore</t>
  </si>
  <si>
    <t>lenacile</t>
  </si>
  <si>
    <t>Flufénacet</t>
  </si>
  <si>
    <t>acibenzolar-S-methyl</t>
  </si>
  <si>
    <t>asulam</t>
  </si>
  <si>
    <t>azadirachtin A+B</t>
  </si>
  <si>
    <t>azoxystrobin</t>
  </si>
  <si>
    <t>boscalid</t>
  </si>
  <si>
    <t>carfentrazone-éthyl</t>
  </si>
  <si>
    <t>diflufenican</t>
  </si>
  <si>
    <t>pendimethaline</t>
  </si>
  <si>
    <t>dimethomorph</t>
  </si>
  <si>
    <t>emamectin benzoate</t>
  </si>
  <si>
    <t>propoxycarbazone-Sodium</t>
  </si>
  <si>
    <t>fluxapyroxad</t>
  </si>
  <si>
    <t>cyprosulfamid</t>
  </si>
  <si>
    <t>mesosulfuron-methyl</t>
  </si>
  <si>
    <t>mefenpyr-diethyl</t>
  </si>
  <si>
    <t>diméthenamide-P</t>
  </si>
  <si>
    <t>tribénuron-méthyl</t>
  </si>
  <si>
    <t>florasulam</t>
  </si>
  <si>
    <t>indoxacarb</t>
  </si>
  <si>
    <t>metribuzin</t>
  </si>
  <si>
    <t>fenpropidin</t>
  </si>
  <si>
    <t>difenoconazole</t>
  </si>
  <si>
    <t>ethofumesate</t>
  </si>
  <si>
    <t>metazachlor</t>
  </si>
  <si>
    <t>metamitron</t>
  </si>
  <si>
    <t>dimethachlore</t>
  </si>
  <si>
    <t>ethephon</t>
  </si>
  <si>
    <t>mepiquat</t>
  </si>
  <si>
    <t>métconazole</t>
  </si>
  <si>
    <t>mecoprop-P</t>
  </si>
  <si>
    <t>quizalofop-P-éthyle</t>
  </si>
  <si>
    <t>metalaxyl-M</t>
  </si>
  <si>
    <t>pyraflufen-éthyle</t>
  </si>
  <si>
    <t>cycloxydim</t>
  </si>
  <si>
    <t>fenoxaprop-P-éthyle</t>
  </si>
  <si>
    <t>fluazifop-P-butyl</t>
  </si>
  <si>
    <t>lambda-Cyhalothrin</t>
  </si>
  <si>
    <t>clodinafop-propargyl</t>
  </si>
  <si>
    <t>spirotetramat</t>
  </si>
  <si>
    <t>métobromuron</t>
  </si>
  <si>
    <t>clethodim</t>
  </si>
  <si>
    <t>cyazofamid</t>
  </si>
  <si>
    <t>cyperméthrine</t>
  </si>
  <si>
    <t>Eau</t>
  </si>
  <si>
    <t>chlortoluron</t>
  </si>
  <si>
    <t>W-6761-1</t>
  </si>
  <si>
    <t>Actirob B</t>
  </si>
  <si>
    <t>W-6132</t>
  </si>
  <si>
    <t>W-6736</t>
  </si>
  <si>
    <t>W-6748</t>
  </si>
  <si>
    <t>W-6969</t>
  </si>
  <si>
    <t>Agiliti</t>
  </si>
  <si>
    <t>W-7189-1</t>
  </si>
  <si>
    <t>W-7035</t>
  </si>
  <si>
    <t>W-7300-1</t>
  </si>
  <si>
    <t>W-7287</t>
  </si>
  <si>
    <t>W-5248</t>
  </si>
  <si>
    <t>W-6942</t>
  </si>
  <si>
    <t>Amilon 5</t>
  </si>
  <si>
    <t>W-7083</t>
  </si>
  <si>
    <t>W-6963</t>
  </si>
  <si>
    <t>W-6972</t>
  </si>
  <si>
    <t>W-7195-1</t>
  </si>
  <si>
    <t>W-6226-2</t>
  </si>
  <si>
    <t>W-6902</t>
  </si>
  <si>
    <t>W-6587-1</t>
  </si>
  <si>
    <t>W-6905</t>
  </si>
  <si>
    <t>W-7033</t>
  </si>
  <si>
    <t>W-6225</t>
  </si>
  <si>
    <t>W-6505</t>
  </si>
  <si>
    <t>W-5005</t>
  </si>
  <si>
    <t>Asulam LG</t>
  </si>
  <si>
    <t>W-6997-4</t>
  </si>
  <si>
    <t>Asulam S</t>
  </si>
  <si>
    <t>W-6997-3</t>
  </si>
  <si>
    <t>W-1698</t>
  </si>
  <si>
    <t>W-7189</t>
  </si>
  <si>
    <t>Atlantis Star</t>
  </si>
  <si>
    <t>W-7314</t>
  </si>
  <si>
    <t>W-6020</t>
  </si>
  <si>
    <t>W-7268-2</t>
  </si>
  <si>
    <t>W-7268-1</t>
  </si>
  <si>
    <t>W-6761</t>
  </si>
  <si>
    <t>W-7052</t>
  </si>
  <si>
    <t>W-6886</t>
  </si>
  <si>
    <t>W-7069</t>
  </si>
  <si>
    <t>W-6149</t>
  </si>
  <si>
    <t>Banvel M Omya</t>
  </si>
  <si>
    <t>W-7020</t>
  </si>
  <si>
    <t>W-6553-1</t>
  </si>
  <si>
    <t>W-5320</t>
  </si>
  <si>
    <t>W-7108-2</t>
  </si>
  <si>
    <t>W-6938-1</t>
  </si>
  <si>
    <t>Beetup Duo</t>
  </si>
  <si>
    <t>W-6932-3</t>
  </si>
  <si>
    <t>W-7079</t>
  </si>
  <si>
    <t>W-7328</t>
  </si>
  <si>
    <t>W-6875-1</t>
  </si>
  <si>
    <t>W-6932-1</t>
  </si>
  <si>
    <t>W-6926-1</t>
  </si>
  <si>
    <t>W-6938-2</t>
  </si>
  <si>
    <t>W-6201</t>
  </si>
  <si>
    <t>W-7148</t>
  </si>
  <si>
    <t>W-5370</t>
  </si>
  <si>
    <t>soufre</t>
  </si>
  <si>
    <t>W-7289-1</t>
  </si>
  <si>
    <t>W-5056-1</t>
  </si>
  <si>
    <t>W-6099</t>
  </si>
  <si>
    <t>W-2116-1</t>
  </si>
  <si>
    <t>Bouillie bordelaise</t>
  </si>
  <si>
    <t>W-7197</t>
  </si>
  <si>
    <t>W-6023</t>
  </si>
  <si>
    <t>W-6404</t>
  </si>
  <si>
    <t>W-6643</t>
  </si>
  <si>
    <t>W-2592</t>
  </si>
  <si>
    <t>W-5651-2</t>
  </si>
  <si>
    <t>W-6398</t>
  </si>
  <si>
    <t>W-6874</t>
  </si>
  <si>
    <t>Carakol 5</t>
  </si>
  <si>
    <t>W-7057-2</t>
  </si>
  <si>
    <t>W-7168</t>
  </si>
  <si>
    <t>W-6815</t>
  </si>
  <si>
    <t>W-6370-1</t>
  </si>
  <si>
    <t>W-7044</t>
  </si>
  <si>
    <t>W-7108</t>
  </si>
  <si>
    <t>W-6395</t>
  </si>
  <si>
    <t>W-7350-1</t>
  </si>
  <si>
    <t>Codacide</t>
  </si>
  <si>
    <t>W-7002</t>
  </si>
  <si>
    <t>W-6837</t>
  </si>
  <si>
    <t>W-6023-1</t>
  </si>
  <si>
    <t>W-6392-1</t>
  </si>
  <si>
    <t>W-7290</t>
  </si>
  <si>
    <t>W-6630-1</t>
  </si>
  <si>
    <t>W-7326-1</t>
  </si>
  <si>
    <t>W-7261</t>
  </si>
  <si>
    <t>W-7291</t>
  </si>
  <si>
    <t>W-7030-1</t>
  </si>
  <si>
    <t>W-6383-1</t>
  </si>
  <si>
    <t>Curenox 50 WG</t>
  </si>
  <si>
    <t>W-6556</t>
  </si>
  <si>
    <t>pencycuron</t>
  </si>
  <si>
    <t>W-7075</t>
  </si>
  <si>
    <t>W-6592</t>
  </si>
  <si>
    <t>Cymoxanil WG</t>
  </si>
  <si>
    <t>W-6693</t>
  </si>
  <si>
    <t>W-7108-1</t>
  </si>
  <si>
    <t>W-7341</t>
  </si>
  <si>
    <t>W-6151</t>
  </si>
  <si>
    <t>W-3064-1</t>
  </si>
  <si>
    <t>W-7138</t>
  </si>
  <si>
    <t>Debut</t>
  </si>
  <si>
    <t>W-7294</t>
  </si>
  <si>
    <t>Debut DuoActive</t>
  </si>
  <si>
    <t>W-7383</t>
  </si>
  <si>
    <t>W-6381</t>
  </si>
  <si>
    <t>Derux</t>
  </si>
  <si>
    <t>W-7268-3</t>
  </si>
  <si>
    <t>Devrinol FL</t>
  </si>
  <si>
    <t>W-2892</t>
  </si>
  <si>
    <t>W-2808</t>
  </si>
  <si>
    <t>W-5916</t>
  </si>
  <si>
    <t>W-4571-2</t>
  </si>
  <si>
    <t>W-7347</t>
  </si>
  <si>
    <t>Dicazin 4S</t>
  </si>
  <si>
    <t>W-7200</t>
  </si>
  <si>
    <t>Difcor 250 EC</t>
  </si>
  <si>
    <t>W-6452</t>
  </si>
  <si>
    <t>W-6372</t>
  </si>
  <si>
    <t>W-923</t>
  </si>
  <si>
    <t>W-7275-1</t>
  </si>
  <si>
    <t>W-5651</t>
  </si>
  <si>
    <t>W-5164</t>
  </si>
  <si>
    <t>Duroschneck Longlife</t>
  </si>
  <si>
    <t>W-7085</t>
  </si>
  <si>
    <t>Effican SG</t>
  </si>
  <si>
    <t>W-5320-2</t>
  </si>
  <si>
    <t>W-6737</t>
  </si>
  <si>
    <t>W-7245</t>
  </si>
  <si>
    <t xml:space="preserve">Eleto </t>
  </si>
  <si>
    <t>W-7205</t>
  </si>
  <si>
    <t>W-6770</t>
  </si>
  <si>
    <t>W-5487</t>
  </si>
  <si>
    <t>W-6222</t>
  </si>
  <si>
    <t>W-6811</t>
  </si>
  <si>
    <t>W-6458</t>
  </si>
  <si>
    <t>Ethephon</t>
  </si>
  <si>
    <t>W-3085</t>
  </si>
  <si>
    <t>Ethosan</t>
  </si>
  <si>
    <t xml:space="preserve">Exelor </t>
  </si>
  <si>
    <t>W-4220</t>
  </si>
  <si>
    <t xml:space="preserve">Express Max SX </t>
  </si>
  <si>
    <t>W-7296</t>
  </si>
  <si>
    <t>W-7297</t>
  </si>
  <si>
    <t>W-6797</t>
  </si>
  <si>
    <t>W-6589-2</t>
  </si>
  <si>
    <t>W-6921-1</t>
  </si>
  <si>
    <t>W-6137</t>
  </si>
  <si>
    <t>W-7340</t>
  </si>
  <si>
    <t>W-5994</t>
  </si>
  <si>
    <t xml:space="preserve">Flowbrix </t>
  </si>
  <si>
    <t>W-6383</t>
  </si>
  <si>
    <t>W-7217</t>
  </si>
  <si>
    <t>W-6746</t>
  </si>
  <si>
    <t>W-4700</t>
  </si>
  <si>
    <t>Forum</t>
  </si>
  <si>
    <t>W-6249</t>
  </si>
  <si>
    <t>W-6851</t>
  </si>
  <si>
    <t>W-5651-1</t>
  </si>
  <si>
    <t>Frontier X2</t>
  </si>
  <si>
    <t>W-6691</t>
  </si>
  <si>
    <t>W-6393</t>
  </si>
  <si>
    <t>W-6085</t>
  </si>
  <si>
    <t>W-6023-2</t>
  </si>
  <si>
    <t>W-6286</t>
  </si>
  <si>
    <t>W-5477</t>
  </si>
  <si>
    <t>W-7349</t>
  </si>
  <si>
    <t>W-6581</t>
  </si>
  <si>
    <t>W-5168</t>
  </si>
  <si>
    <t>Glifonex TF</t>
  </si>
  <si>
    <t>W-7129</t>
  </si>
  <si>
    <t>Globaztar SC</t>
  </si>
  <si>
    <t>W-7162</t>
  </si>
  <si>
    <t>W-7050</t>
  </si>
  <si>
    <t>W-5553</t>
  </si>
  <si>
    <t>W-6168-2</t>
  </si>
  <si>
    <t>W-6875</t>
  </si>
  <si>
    <t>W-6891-1</t>
  </si>
  <si>
    <t>W-6703-1</t>
  </si>
  <si>
    <t>W-7298</t>
  </si>
  <si>
    <t>W-6807</t>
  </si>
  <si>
    <t>Heliosol</t>
  </si>
  <si>
    <t>W-5683</t>
  </si>
  <si>
    <t>W-7212</t>
  </si>
  <si>
    <t>W-6259-1</t>
  </si>
  <si>
    <t>W-5468</t>
  </si>
  <si>
    <t>W-6397</t>
  </si>
  <si>
    <t>W-7219</t>
  </si>
  <si>
    <t>W-6450</t>
  </si>
  <si>
    <t>W-6601</t>
  </si>
  <si>
    <t>W-6706</t>
  </si>
  <si>
    <t>W-6392</t>
  </si>
  <si>
    <t>W-6436</t>
  </si>
  <si>
    <t>Itcan SL 270</t>
  </si>
  <si>
    <t>W-6933</t>
  </si>
  <si>
    <t>W-6098</t>
  </si>
  <si>
    <t>W-6613</t>
  </si>
  <si>
    <t>W-7010-1</t>
  </si>
  <si>
    <t>W-7102-1</t>
  </si>
  <si>
    <t>Korit 420 FS</t>
  </si>
  <si>
    <t>W-6679</t>
  </si>
  <si>
    <t>Kunshi</t>
  </si>
  <si>
    <t>W-7036</t>
  </si>
  <si>
    <t>Kusak SG</t>
  </si>
  <si>
    <t>W-5320-3</t>
  </si>
  <si>
    <t>Kyleo</t>
  </si>
  <si>
    <t>W-7370</t>
  </si>
  <si>
    <t>W-6553</t>
  </si>
  <si>
    <t>W-6844</t>
  </si>
  <si>
    <t>W-6935</t>
  </si>
  <si>
    <t>W-2485</t>
  </si>
  <si>
    <t>W-7339</t>
  </si>
  <si>
    <t>W-7057-1</t>
  </si>
  <si>
    <t>W-5530</t>
  </si>
  <si>
    <t>W-6075-2</t>
  </si>
  <si>
    <t>W-5929</t>
  </si>
  <si>
    <t>W-6021</t>
  </si>
  <si>
    <t>W-6157</t>
  </si>
  <si>
    <t>W-6723</t>
  </si>
  <si>
    <t>W-6867</t>
  </si>
  <si>
    <t>W-6782</t>
  </si>
  <si>
    <t>Maxim 100 FS</t>
  </si>
  <si>
    <t>W-6586</t>
  </si>
  <si>
    <t>W-4516-1</t>
  </si>
  <si>
    <t>MCPA Plus</t>
  </si>
  <si>
    <t>MCPB 400</t>
  </si>
  <si>
    <t>W-5165</t>
  </si>
  <si>
    <t>MCPB LG</t>
  </si>
  <si>
    <t>W-2070</t>
  </si>
  <si>
    <t>W-5987</t>
  </si>
  <si>
    <t>Medax</t>
  </si>
  <si>
    <t>W-6515-1</t>
  </si>
  <si>
    <t>W-6515</t>
  </si>
  <si>
    <t>Mentor Uno</t>
  </si>
  <si>
    <t>W-6938-4</t>
  </si>
  <si>
    <t>Mero</t>
  </si>
  <si>
    <t>W-6720</t>
  </si>
  <si>
    <t>W-7180-1</t>
  </si>
  <si>
    <t>Metamitron</t>
  </si>
  <si>
    <t>W-6199-1</t>
  </si>
  <si>
    <t>Metamitron flüssig</t>
  </si>
  <si>
    <t>W-6918-1</t>
  </si>
  <si>
    <t>W-7061-1</t>
  </si>
  <si>
    <t>Metarol Schneckenkorn</t>
  </si>
  <si>
    <t>W-6139-1</t>
  </si>
  <si>
    <t>W-6803</t>
  </si>
  <si>
    <t>Metro class</t>
  </si>
  <si>
    <t>W-3070-2</t>
  </si>
  <si>
    <t>W-7194</t>
  </si>
  <si>
    <t>W-6226-1</t>
  </si>
  <si>
    <t>W-7340-1</t>
  </si>
  <si>
    <t>W-6717-1</t>
  </si>
  <si>
    <t>W-5463</t>
  </si>
  <si>
    <t>W-6828</t>
  </si>
  <si>
    <t>W-6961</t>
  </si>
  <si>
    <t>W-6742</t>
  </si>
  <si>
    <t>W-7190</t>
  </si>
  <si>
    <t>W-4552</t>
  </si>
  <si>
    <t>W-7319</t>
  </si>
  <si>
    <t>W-5351</t>
  </si>
  <si>
    <t>W-6785-2</t>
  </si>
  <si>
    <t>W-2892-1</t>
  </si>
  <si>
    <t>Nospor Combi</t>
  </si>
  <si>
    <t>W-7024-1</t>
  </si>
  <si>
    <t>W-5925</t>
  </si>
  <si>
    <t>W-7180-2</t>
  </si>
  <si>
    <t>Omazon</t>
  </si>
  <si>
    <t>W-6866</t>
  </si>
  <si>
    <t>W-7275</t>
  </si>
  <si>
    <t>W-6581-3</t>
  </si>
  <si>
    <t>W-6471</t>
  </si>
  <si>
    <t>W-7313</t>
  </si>
  <si>
    <t>W-7369</t>
  </si>
  <si>
    <t>Oxykupfer 35</t>
  </si>
  <si>
    <t>W-7018-2</t>
  </si>
  <si>
    <t>W-6862</t>
  </si>
  <si>
    <t>Pandorra</t>
  </si>
  <si>
    <t>W-7152-1</t>
  </si>
  <si>
    <t>Pedian SG</t>
  </si>
  <si>
    <t>W-5320-1</t>
  </si>
  <si>
    <t>W-7242</t>
  </si>
  <si>
    <t>W-6938-3</t>
  </si>
  <si>
    <t>Pican</t>
  </si>
  <si>
    <t>W-6592-1</t>
  </si>
  <si>
    <t>W-6403</t>
  </si>
  <si>
    <t>W-4367</t>
  </si>
  <si>
    <t>W-4177</t>
  </si>
  <si>
    <t>Polyram DF</t>
  </si>
  <si>
    <t>W-2935</t>
  </si>
  <si>
    <t>métirame</t>
  </si>
  <si>
    <t>W-6463-1</t>
  </si>
  <si>
    <t>W-5778</t>
  </si>
  <si>
    <t>W-6645</t>
  </si>
  <si>
    <t>W-6461</t>
  </si>
  <si>
    <t>W-6339</t>
  </si>
  <si>
    <t>W-7256</t>
  </si>
  <si>
    <t>W-5935</t>
  </si>
  <si>
    <t>Propaq</t>
  </si>
  <si>
    <t>W-6870</t>
  </si>
  <si>
    <t>Proper Flo</t>
  </si>
  <si>
    <t>W-6703</t>
  </si>
  <si>
    <t>W-6825</t>
  </si>
  <si>
    <t>W-6929</t>
  </si>
  <si>
    <t>W-6262</t>
  </si>
  <si>
    <t>W-6505-1</t>
  </si>
  <si>
    <t>W-5381</t>
  </si>
  <si>
    <t>W-6889</t>
  </si>
  <si>
    <t>W-6800</t>
  </si>
  <si>
    <t>W-6748-2</t>
  </si>
  <si>
    <t>W-6349</t>
  </si>
  <si>
    <t>W-6382</t>
  </si>
  <si>
    <t>W-7303</t>
  </si>
  <si>
    <t>W-6509</t>
  </si>
  <si>
    <t>W-6927</t>
  </si>
  <si>
    <t>tolclofos-méthyl</t>
  </si>
  <si>
    <t>W-6837-1</t>
  </si>
  <si>
    <t>W-7134-1</t>
  </si>
  <si>
    <t>W-6646-3</t>
  </si>
  <si>
    <t>W-6646</t>
  </si>
  <si>
    <t>W-6707</t>
  </si>
  <si>
    <t>Rübex</t>
  </si>
  <si>
    <t>W-6932-2</t>
  </si>
  <si>
    <t>Ruman</t>
  </si>
  <si>
    <t>W-6997-1</t>
  </si>
  <si>
    <t>W-6497-2</t>
  </si>
  <si>
    <t>W-6365</t>
  </si>
  <si>
    <t>W-5510</t>
  </si>
  <si>
    <t>W-6010</t>
  </si>
  <si>
    <t>W-6630</t>
  </si>
  <si>
    <t>W-7134</t>
  </si>
  <si>
    <t>W-5056-3</t>
  </si>
  <si>
    <t>W-6994</t>
  </si>
  <si>
    <t>W-6406</t>
  </si>
  <si>
    <t>Siplant</t>
  </si>
  <si>
    <t>W-7282</t>
  </si>
  <si>
    <t>W-5365</t>
  </si>
  <si>
    <t>W-7204</t>
  </si>
  <si>
    <t>W-6695</t>
  </si>
  <si>
    <t>W-7320-1</t>
  </si>
  <si>
    <t>W-7256-1</t>
  </si>
  <si>
    <t>W-7198</t>
  </si>
  <si>
    <t>W-6075</t>
  </si>
  <si>
    <t>W-6696</t>
  </si>
  <si>
    <t>W-6067</t>
  </si>
  <si>
    <t>W-7031</t>
  </si>
  <si>
    <t>Stabilan 460 SL</t>
  </si>
  <si>
    <t>W-3072</t>
  </si>
  <si>
    <t>Stabilan S</t>
  </si>
  <si>
    <t>W-3072-1</t>
  </si>
  <si>
    <t>W-6285</t>
  </si>
  <si>
    <t>W-7062-1</t>
  </si>
  <si>
    <t>Sticker</t>
  </si>
  <si>
    <t>Latex synthétique</t>
  </si>
  <si>
    <t>W-6890-1</t>
  </si>
  <si>
    <t>W-6418</t>
  </si>
  <si>
    <t>W-6463</t>
  </si>
  <si>
    <t>Sugaro Duo</t>
  </si>
  <si>
    <t>W-6932-4</t>
  </si>
  <si>
    <t>W-7087-1</t>
  </si>
  <si>
    <t>W-7340-2</t>
  </si>
  <si>
    <t>W-6416</t>
  </si>
  <si>
    <t>W-7345</t>
  </si>
  <si>
    <t>W-7341-1</t>
  </si>
  <si>
    <t>TAK 50 EG</t>
  </si>
  <si>
    <t>W-6340</t>
  </si>
  <si>
    <t>W-7320</t>
  </si>
  <si>
    <t>W-6206</t>
  </si>
  <si>
    <t>W-7226</t>
  </si>
  <si>
    <t>W-4678</t>
  </si>
  <si>
    <t>W-7041</t>
  </si>
  <si>
    <t>W-6834</t>
  </si>
  <si>
    <t>W-4701</t>
  </si>
  <si>
    <t>W-6690</t>
  </si>
  <si>
    <t>W-7240-1</t>
  </si>
  <si>
    <t>W-7030</t>
  </si>
  <si>
    <t>Touchdown System 4</t>
  </si>
  <si>
    <t>W-6131</t>
  </si>
  <si>
    <t>W-934</t>
  </si>
  <si>
    <t>W-6997-2</t>
  </si>
  <si>
    <t>W-6832-1</t>
  </si>
  <si>
    <t>W-6854-1</t>
  </si>
  <si>
    <t>W-5028</t>
  </si>
  <si>
    <t>W-7055</t>
  </si>
  <si>
    <t>W-7306-1</t>
  </si>
  <si>
    <t>W-7210</t>
  </si>
  <si>
    <t>Vitigran 35</t>
  </si>
  <si>
    <t>W-7018</t>
  </si>
  <si>
    <t>W-2215</t>
  </si>
  <si>
    <t>W-7360</t>
  </si>
  <si>
    <t>W-6255-2</t>
  </si>
  <si>
    <t>W-6747</t>
  </si>
  <si>
    <t>W-1526</t>
  </si>
  <si>
    <t>W-2594</t>
  </si>
  <si>
    <t>Zwei-4D flüssig</t>
  </si>
  <si>
    <t>W-2594-1</t>
  </si>
  <si>
    <t>D-5161</t>
  </si>
  <si>
    <t>F-6067</t>
  </si>
  <si>
    <t>A-2249</t>
  </si>
  <si>
    <t>Diclopyr</t>
  </si>
  <si>
    <t>I-3242</t>
  </si>
  <si>
    <t>I-4822</t>
  </si>
  <si>
    <t>No homologation</t>
  </si>
  <si>
    <t>W-6226,D-5298</t>
  </si>
  <si>
    <t>Numero omologazione</t>
  </si>
  <si>
    <t>Zulassungsnummer</t>
  </si>
  <si>
    <t>W-6697, 6696-1</t>
  </si>
  <si>
    <t>LG, Om</t>
  </si>
  <si>
    <t>W-5481, -2, -4</t>
  </si>
  <si>
    <t>W-4034, 6997, 7104</t>
  </si>
  <si>
    <t>Bandur 2 l/ha</t>
  </si>
  <si>
    <t>Bandur 3 l/ha</t>
  </si>
  <si>
    <t>Bandur 1 l/ha</t>
  </si>
  <si>
    <t>Chanon 3 l/ha</t>
  </si>
  <si>
    <t>Chanon 2 l/ha</t>
  </si>
  <si>
    <t>Chanon 1 l/ha</t>
  </si>
  <si>
    <t>Dacthal SC 3 l/ha</t>
  </si>
  <si>
    <t>Dacthal SC 2 l/ha</t>
  </si>
  <si>
    <t>Dacthal SC 1 l/ha</t>
  </si>
  <si>
    <t>Baso 3 l/ha</t>
  </si>
  <si>
    <t>Baso 2 l/ha</t>
  </si>
  <si>
    <t>Baso 1 l/ha</t>
  </si>
  <si>
    <t>Laguna 3 l/ha</t>
  </si>
  <si>
    <t>Laguna 2 l/ha</t>
  </si>
  <si>
    <t>Laguna 1 l/ha</t>
  </si>
  <si>
    <t>W-4571, -1</t>
  </si>
  <si>
    <t>BF, LG</t>
  </si>
  <si>
    <t>Bordeau S</t>
  </si>
  <si>
    <t>bouillie bordelaise</t>
  </si>
  <si>
    <t>W-6168, -1</t>
  </si>
  <si>
    <t>Bredola &lt; 1.5 l/ha</t>
  </si>
  <si>
    <t>Bredola &gt; 1.5 l/ha</t>
  </si>
  <si>
    <t>W-6003, -2</t>
  </si>
  <si>
    <t>Butisan S &lt; 1.5 l/ha</t>
  </si>
  <si>
    <t>Rapsan 500 SC &lt;1.5 l/ha</t>
  </si>
  <si>
    <t>Rapsan 500 SC &gt;1.5 l/ha</t>
  </si>
  <si>
    <t>Comfort 1.25 l/ha</t>
  </si>
  <si>
    <t>Concert SX (lin)</t>
  </si>
  <si>
    <t>Comfort 0.75 l/ha et fusariose</t>
  </si>
  <si>
    <t>Input 0.75 l/ha et fusariose</t>
  </si>
  <si>
    <t>Pronto Plus (fusariose)</t>
  </si>
  <si>
    <t>Equip (2 l/ha)</t>
  </si>
  <si>
    <t>Equip Power (1-1.25 l/ha)</t>
  </si>
  <si>
    <t>Equip Power (1.5 l/ha)</t>
  </si>
  <si>
    <t>Firebird (défanage)</t>
  </si>
  <si>
    <t>Firebird (herbicide)</t>
  </si>
  <si>
    <t>Firebird Plus (défanage)</t>
  </si>
  <si>
    <t>Firebird Plus (herbicide)</t>
  </si>
  <si>
    <t>Mizuki (défanage)</t>
  </si>
  <si>
    <t>Mizuki (herbicide)</t>
  </si>
  <si>
    <t>Sunrise (défanage)</t>
  </si>
  <si>
    <t>Sunrise (herbicide)</t>
  </si>
  <si>
    <t>Harmony SX (maïs)</t>
  </si>
  <si>
    <t>Harmony SX (prairie)</t>
  </si>
  <si>
    <t>Priori Top (betteraves)</t>
  </si>
  <si>
    <t>Priori Top (tournesol)</t>
  </si>
  <si>
    <t>Input 1.25 l/ha</t>
  </si>
  <si>
    <t>Equip (1-1.5l/ha)</t>
  </si>
  <si>
    <t>0.75 kg TERBUTHYLAZINE/3 ans</t>
  </si>
  <si>
    <t>0.75 kg TERBUTHYLAZINE/3 ans et 1.5 kg METOLACHLORE/3ans</t>
  </si>
  <si>
    <t>Résidents</t>
  </si>
  <si>
    <t>Dritte</t>
  </si>
  <si>
    <t>Residenti</t>
  </si>
  <si>
    <t>Arbeitskleidung</t>
  </si>
  <si>
    <t>avec tenue de travail</t>
  </si>
  <si>
    <t>Abbigliamento da lavoro</t>
  </si>
  <si>
    <t>Prodax</t>
  </si>
  <si>
    <t>Attracap</t>
  </si>
  <si>
    <t>Metharisium brunneum</t>
  </si>
  <si>
    <t>W-7385</t>
  </si>
  <si>
    <t>acide caprique</t>
  </si>
  <si>
    <t>acide caprylique</t>
  </si>
  <si>
    <t>Délai utilisation</t>
  </si>
  <si>
    <t>Aufbrauchsfrist</t>
  </si>
  <si>
    <t>Periodo di utilizzo</t>
  </si>
  <si>
    <t>1à3</t>
  </si>
  <si>
    <t>!</t>
  </si>
  <si>
    <t>W-7106, 4343, 4491-1, 4491</t>
  </si>
  <si>
    <t>0.75 kg DIMETHACHLORE/3ans</t>
  </si>
  <si>
    <t>0.96 kg BENTAZONE/2 ans</t>
  </si>
  <si>
    <t>1 kg METAZACHLORE/3 ans</t>
  </si>
  <si>
    <t>1 THIFENSULFURON/3 ans</t>
  </si>
  <si>
    <t>Metarex INOV</t>
  </si>
  <si>
    <t>terpineol</t>
  </si>
  <si>
    <t>Cuproxat</t>
  </si>
  <si>
    <t>Naceto 0.4 l/ha</t>
  </si>
  <si>
    <t>Naceto 0.6 l/ha</t>
  </si>
  <si>
    <t>Zwei-4D dicopur</t>
  </si>
  <si>
    <t>Om, St, Sy</t>
  </si>
  <si>
    <t>BF, Sa</t>
  </si>
  <si>
    <t>St, Sy, Sa</t>
  </si>
  <si>
    <t>LG, Sy, Sa</t>
  </si>
  <si>
    <t>Ba, Sa, Sc</t>
  </si>
  <si>
    <t>Om, Sc</t>
  </si>
  <si>
    <t>LG, Sc</t>
  </si>
  <si>
    <t>St, Sc</t>
  </si>
  <si>
    <t>Ba, LG, Sa</t>
  </si>
  <si>
    <t>BF, Sy</t>
  </si>
  <si>
    <t xml:space="preserve">Stabilan Plus </t>
  </si>
  <si>
    <t>Glyphosate 360 TF</t>
  </si>
  <si>
    <t>Roudup Turbo</t>
  </si>
  <si>
    <t>Bentazone ces derniers 2 ans</t>
  </si>
  <si>
    <t>Bentazon 2 letzten Jahre</t>
  </si>
  <si>
    <t>Bentazone negli ultimi 2 anni</t>
  </si>
  <si>
    <t>Max 0.96 kg de Bentazone en 2 ans</t>
  </si>
  <si>
    <t>Max 0.96 kg Bentazon in 2 Jahre</t>
  </si>
  <si>
    <t>Max 0.96 kg/ha di bentazone in 2 anni</t>
  </si>
  <si>
    <t>Max 0.75 kg de Terbuthylazine en 3 ans</t>
  </si>
  <si>
    <t>Max 0.75 kg Terbuthylazine in 3 Jahre</t>
  </si>
  <si>
    <t>Max 0.75 kg/ha di terbuthylazine in 3 anni</t>
  </si>
  <si>
    <t>Thifensulfuron ces derniers 3 ans</t>
  </si>
  <si>
    <t>Thifensulfuron 3 letzten Jahre</t>
  </si>
  <si>
    <t>Thifensulfuron negli ultimi 3 anni</t>
  </si>
  <si>
    <t/>
  </si>
  <si>
    <t>Lo</t>
  </si>
  <si>
    <t>Schneckenkorn Carasint</t>
  </si>
  <si>
    <t>Lentilles antilimaces</t>
  </si>
  <si>
    <t>Clopyralide</t>
  </si>
  <si>
    <t>PER - Phytosanitaires : Liste et contraintes des produits utilisés durant la campagne</t>
  </si>
  <si>
    <t>Fiche facultative d’aide pour la gestion des contraintes liées aux produits phytosanitaires</t>
  </si>
  <si>
    <t>seront affichées</t>
  </si>
  <si>
    <t>Choisissez un produit dans la liste et les données</t>
  </si>
  <si>
    <t>Tenue de travail</t>
  </si>
  <si>
    <t>OLN: Liste der Pflanzenschutzmittel und ihre Einschränkungen</t>
  </si>
  <si>
    <t>Fakultative Liste um die Anforderungen an die Pflanzenschutzmittel besser zu kennen</t>
  </si>
  <si>
    <t>die Daten werden dann angezeigt</t>
  </si>
  <si>
    <t>faible</t>
  </si>
  <si>
    <t>moyen</t>
  </si>
  <si>
    <t>élevé</t>
  </si>
  <si>
    <t>très élevé</t>
  </si>
  <si>
    <t>schwach</t>
  </si>
  <si>
    <t>mittel</t>
  </si>
  <si>
    <t>stark</t>
  </si>
  <si>
    <t>sehr stark</t>
  </si>
  <si>
    <t>basso</t>
  </si>
  <si>
    <t>medio</t>
  </si>
  <si>
    <t>alto</t>
  </si>
  <si>
    <t>molto alto</t>
  </si>
  <si>
    <t>Anlagen</t>
  </si>
  <si>
    <t>Residenza</t>
  </si>
  <si>
    <t>Pericolo</t>
  </si>
  <si>
    <t>Eau de surface</t>
  </si>
  <si>
    <t>Oberflächengewässer</t>
  </si>
  <si>
    <t>Acqua superficiale</t>
  </si>
  <si>
    <t>Tofa</t>
  </si>
  <si>
    <t>Deluge (bett.)</t>
  </si>
  <si>
    <t>Deluge</t>
  </si>
  <si>
    <t>W-7466</t>
  </si>
  <si>
    <t>Pixxaro EC</t>
  </si>
  <si>
    <t>W-7389</t>
  </si>
  <si>
    <t>halauxifen-methyl</t>
  </si>
  <si>
    <t>Cerelex</t>
  </si>
  <si>
    <t>W-7388</t>
  </si>
  <si>
    <t>Saphire</t>
  </si>
  <si>
    <t>W-5361</t>
  </si>
  <si>
    <t>Om, Sy</t>
  </si>
  <si>
    <t>Pistol</t>
  </si>
  <si>
    <t>W-6581-4</t>
  </si>
  <si>
    <t>Elvis</t>
  </si>
  <si>
    <t>W-6020-2</t>
  </si>
  <si>
    <t>Ironmax Pro</t>
  </si>
  <si>
    <t>W-7393-1</t>
  </si>
  <si>
    <t>Atac</t>
  </si>
  <si>
    <t>W-6748-3</t>
  </si>
  <si>
    <t>Agroneem</t>
  </si>
  <si>
    <t>60g ISOXAFLUTOLE/3 ans</t>
  </si>
  <si>
    <t>1 SULFOSULFURON/2 ans</t>
  </si>
  <si>
    <t>Herbasan</t>
  </si>
  <si>
    <t>Bronco Top</t>
  </si>
  <si>
    <t>W-7339-1</t>
  </si>
  <si>
    <t>Sc, Om</t>
  </si>
  <si>
    <t>W-7031-1</t>
  </si>
  <si>
    <t>Grant</t>
  </si>
  <si>
    <t>W-7268-4</t>
  </si>
  <si>
    <t>Huntar</t>
  </si>
  <si>
    <t>W-7421-3</t>
  </si>
  <si>
    <t>W-7421-1,-2</t>
  </si>
  <si>
    <t>Hysan Aqua</t>
  </si>
  <si>
    <t>W-6880-3</t>
  </si>
  <si>
    <t>Metiram WG</t>
  </si>
  <si>
    <t>Aviso</t>
  </si>
  <si>
    <t>Ruga</t>
  </si>
  <si>
    <t>W-4700-1</t>
  </si>
  <si>
    <t>Zone non traitée de X m le long de zones résidentielles</t>
  </si>
  <si>
    <t>Unbehandelte Zone von X m entlang von Wohngebieten</t>
  </si>
  <si>
    <t>X m zona non trattata lungo le zone residenziali</t>
  </si>
  <si>
    <t>org. acquatici</t>
  </si>
  <si>
    <t>Retour dans la parcelle avec tenue de travail</t>
  </si>
  <si>
    <t>Wiedereintritt in die Parzelle mit Arbeitskleidung</t>
  </si>
  <si>
    <t>Ritorno alla trama con abiti da lavoro</t>
  </si>
  <si>
    <t>W-2892-2</t>
  </si>
  <si>
    <t>Aprex FL</t>
  </si>
  <si>
    <t>W-6075-3</t>
  </si>
  <si>
    <t>Cupric flow</t>
  </si>
  <si>
    <t>W-2710</t>
  </si>
  <si>
    <t>W-2710-4</t>
  </si>
  <si>
    <t>Cidely</t>
  </si>
  <si>
    <t>W-6592-2</t>
  </si>
  <si>
    <t>Dunovum (défanage)</t>
  </si>
  <si>
    <t>Dunovum (herbicide)</t>
  </si>
  <si>
    <t>W-7340-3</t>
  </si>
  <si>
    <t>Nizo S</t>
  </si>
  <si>
    <t>W-6703-3</t>
  </si>
  <si>
    <t>Nymeo</t>
  </si>
  <si>
    <t>W-6918-3</t>
  </si>
  <si>
    <t>Secure</t>
  </si>
  <si>
    <t>W-7435</t>
  </si>
  <si>
    <t>LG,Sc</t>
  </si>
  <si>
    <t>LG,Sy</t>
  </si>
  <si>
    <t>W-5351-7</t>
  </si>
  <si>
    <t>Om,Sa, Lg</t>
  </si>
  <si>
    <t>Om,LG</t>
  </si>
  <si>
    <t>Terpal</t>
  </si>
  <si>
    <t>W-7463</t>
  </si>
  <si>
    <t>W-7436</t>
  </si>
  <si>
    <t>Adexar®Top</t>
  </si>
  <si>
    <t>W-7410-2</t>
  </si>
  <si>
    <t>Antarion</t>
  </si>
  <si>
    <t>W-6695-1</t>
  </si>
  <si>
    <t>W-7430-1</t>
  </si>
  <si>
    <t>W-7448-1</t>
  </si>
  <si>
    <t>W-2935-2</t>
  </si>
  <si>
    <t>W-7420-1</t>
  </si>
  <si>
    <t>W-7410-1</t>
  </si>
  <si>
    <t>W-7410-3</t>
  </si>
  <si>
    <t>W-7438</t>
  </si>
  <si>
    <t>W-7431</t>
  </si>
  <si>
    <t>W-7432-1</t>
  </si>
  <si>
    <t>W-7405-1</t>
  </si>
  <si>
    <t>Mazil</t>
  </si>
  <si>
    <t>W-7437</t>
  </si>
  <si>
    <t>W-2935-1</t>
  </si>
  <si>
    <t>W-7433-1</t>
  </si>
  <si>
    <t>W-7427-1</t>
  </si>
  <si>
    <t>W-7439</t>
  </si>
  <si>
    <t>W-7434-1</t>
  </si>
  <si>
    <t>W-7465</t>
  </si>
  <si>
    <t>W-7428-1</t>
  </si>
  <si>
    <t>W-7449</t>
  </si>
  <si>
    <t>W-7134-2</t>
  </si>
  <si>
    <t>W-6147,W-6150</t>
  </si>
  <si>
    <t>W-6508, -1</t>
  </si>
  <si>
    <t>W-6130, W-6307</t>
  </si>
  <si>
    <t>Om, SC</t>
  </si>
  <si>
    <t>W-3070, -1</t>
  </si>
  <si>
    <t>Sy, LG</t>
  </si>
  <si>
    <t>W-1899, -1, W-5105</t>
  </si>
  <si>
    <t>Sy, St, LG</t>
  </si>
  <si>
    <t>Sy, St</t>
  </si>
  <si>
    <t>W-5056, -2</t>
  </si>
  <si>
    <t>W-6880, -2</t>
  </si>
  <si>
    <t>W-6555-1, 2</t>
  </si>
  <si>
    <t>Potentiel de risque</t>
  </si>
  <si>
    <t>Risikopotenzial</t>
  </si>
  <si>
    <t>Rischio potenziale</t>
  </si>
  <si>
    <t>Berechnetes Risikopotenzial für Wasserorganismen</t>
  </si>
  <si>
    <t>Potenziale di rischio calcolato per gli organismi acquatici</t>
  </si>
  <si>
    <t xml:space="preserve">Potentiel calculé de risque pour les organismes aquatiques </t>
  </si>
  <si>
    <t>Sa, Sc, Sy</t>
  </si>
  <si>
    <t>MCPP Combi</t>
  </si>
  <si>
    <t>Distanza dalle zone residenziali</t>
  </si>
  <si>
    <t>Abstand zu Wohngebieten</t>
  </si>
  <si>
    <t>Distance par rapport zones résidentielles</t>
  </si>
  <si>
    <t>Pente</t>
  </si>
  <si>
    <t>Distance biotope</t>
  </si>
  <si>
    <t>Dérive eau</t>
  </si>
  <si>
    <t>Dérive biotope</t>
  </si>
  <si>
    <t>Dérive riverains</t>
  </si>
  <si>
    <t>Ruissellement eau</t>
  </si>
  <si>
    <t>Ruissellement route</t>
  </si>
  <si>
    <t>Type de buses de pulvérisation</t>
  </si>
  <si>
    <t>Pente de la parcelle</t>
  </si>
  <si>
    <t>%</t>
  </si>
  <si>
    <t>Habitations ou zone publique</t>
  </si>
  <si>
    <t>Distance du bord de parcelle</t>
  </si>
  <si>
    <t>Travail du sol sans labour</t>
  </si>
  <si>
    <t>Diguettes transversales</t>
  </si>
  <si>
    <t>Enherbement des passages de tracteur</t>
  </si>
  <si>
    <t>Bandes enherbées à l'origine du ruissellement</t>
  </si>
  <si>
    <t>Enherbement des tournières</t>
  </si>
  <si>
    <t>Bordure tampon</t>
  </si>
  <si>
    <t>o/n</t>
  </si>
  <si>
    <t>Traitement en bandes</t>
  </si>
  <si>
    <t>Jet plat</t>
  </si>
  <si>
    <t>Dérive limitée</t>
  </si>
  <si>
    <t>Injection d'air max 3 bars</t>
  </si>
  <si>
    <t>Injection d'air max 2 bars</t>
  </si>
  <si>
    <t>Eau en contre-bas de la parcelle</t>
  </si>
  <si>
    <t>Eau en contre-bas</t>
  </si>
  <si>
    <t>Distance résidence</t>
  </si>
  <si>
    <t>Route drainée</t>
  </si>
  <si>
    <t>Aucune mesure nécessaire</t>
  </si>
  <si>
    <t>Prendre des mesures de ruissellement pour la parcelle</t>
  </si>
  <si>
    <t>Riverains</t>
  </si>
  <si>
    <t>Distance eau ruiss</t>
  </si>
  <si>
    <t>Distance eau derive</t>
  </si>
  <si>
    <t>&gt;=100 m</t>
  </si>
  <si>
    <t>ZNT 20</t>
  </si>
  <si>
    <t>ZNT 50</t>
  </si>
  <si>
    <t>ZNT 100</t>
  </si>
  <si>
    <t>Dérive PER</t>
  </si>
  <si>
    <t>ZNT 6</t>
  </si>
  <si>
    <t>ZNT 3</t>
  </si>
  <si>
    <t>6-19 m</t>
  </si>
  <si>
    <t>20-49 m</t>
  </si>
  <si>
    <t>50-99 m</t>
  </si>
  <si>
    <t>&gt;=20 m</t>
  </si>
  <si>
    <t>&gt;=50 m</t>
  </si>
  <si>
    <t>Points ruissellement</t>
  </si>
  <si>
    <t>Points de ruissellement</t>
  </si>
  <si>
    <t>Points de dérive</t>
  </si>
  <si>
    <t>Bande végétalisée</t>
  </si>
  <si>
    <t>Points dérive</t>
  </si>
  <si>
    <t>10-19 m</t>
  </si>
  <si>
    <t>&gt;= 20</t>
  </si>
  <si>
    <t>Sous total matériel</t>
  </si>
  <si>
    <t>Sous total mesures</t>
  </si>
  <si>
    <t>Appréciation du risque de dérive et de ruissellement pour les parcelles d'une exploitation</t>
  </si>
  <si>
    <t>Evacuation sur une route drainée en contre-bas</t>
  </si>
  <si>
    <t>en m</t>
  </si>
  <si>
    <t>Barrière verticale dépassant culture de 1m</t>
  </si>
  <si>
    <t>Barrière verticale</t>
  </si>
  <si>
    <t>Sous total parcelle</t>
  </si>
  <si>
    <t>&lt;6 m</t>
  </si>
  <si>
    <t>Enherbement entre parcelle et eau de surface</t>
  </si>
  <si>
    <t>Enherbement des passages de traitement</t>
  </si>
  <si>
    <t>Bande végétalisée (hauteur de la culture)</t>
  </si>
  <si>
    <t>Mesures de réduction à l'application ou à la parcelle</t>
  </si>
  <si>
    <t>dérive</t>
  </si>
  <si>
    <t>ruissellement</t>
  </si>
  <si>
    <t>Produit: prescription maximale tolérée</t>
  </si>
  <si>
    <t>Bordure tampon route</t>
  </si>
  <si>
    <t>Points de ruissellemeent route</t>
  </si>
  <si>
    <t>OK</t>
  </si>
  <si>
    <t>ZNT en m</t>
  </si>
  <si>
    <t>Auflage in m</t>
  </si>
  <si>
    <t>Nom d'exploitation</t>
  </si>
  <si>
    <t>Name</t>
  </si>
  <si>
    <t>Exemple 1</t>
  </si>
  <si>
    <t>Exemple 2</t>
  </si>
  <si>
    <t>3-6 m</t>
  </si>
  <si>
    <t>6-10 m</t>
  </si>
  <si>
    <t>o/n, max 1 pt ds groupe</t>
  </si>
  <si>
    <t>Beurteilung des Abdrift- und Abschwemmungsrisikos für die Parzellen eines Betriebs</t>
  </si>
  <si>
    <t>Reduktionsmaßnahmen Anwendung/Parzelle</t>
  </si>
  <si>
    <t>Abstand zum Rand der Parzelle</t>
  </si>
  <si>
    <t>Abdrift</t>
  </si>
  <si>
    <t>Hanglage</t>
  </si>
  <si>
    <t>Oberflächenwasser</t>
  </si>
  <si>
    <t>Wasser unterhalb der Parzelle</t>
  </si>
  <si>
    <t>Wohnhäuser oder öffentlicher Bereich</t>
  </si>
  <si>
    <t>Art der Sprühdüsen</t>
  </si>
  <si>
    <t>Abdrift OLN</t>
  </si>
  <si>
    <t>Abdrift Wasser</t>
  </si>
  <si>
    <t>Abdrift Biotope</t>
  </si>
  <si>
    <t>Abdrift Wohnhäuser</t>
  </si>
  <si>
    <t>Abschwemmung Wasser</t>
  </si>
  <si>
    <t>Abschwemmung Strasse</t>
  </si>
  <si>
    <t>Bandspritzung</t>
  </si>
  <si>
    <t>Unterblattspritzung</t>
  </si>
  <si>
    <t>Vertikale Barriere, die 1m über die Kultur hinausragt</t>
  </si>
  <si>
    <t>Begrünter Streifen (Höhe der Kultur)</t>
  </si>
  <si>
    <t>Ungepflügte Bodenbearbeitung</t>
  </si>
  <si>
    <t>Querdämme</t>
  </si>
  <si>
    <t>Begrünte Fahrgassen</t>
  </si>
  <si>
    <t>Begrünte Streifen wo Abschwemmung entsteht</t>
  </si>
  <si>
    <t>Begrünung des Vorgeewendes</t>
  </si>
  <si>
    <t>Begrünte Streifen zwichen Parzelle und Wasser</t>
  </si>
  <si>
    <t>davon am Strassenrand</t>
  </si>
  <si>
    <t>dont en bordure de route</t>
  </si>
  <si>
    <t>Abdriftpunkte</t>
  </si>
  <si>
    <t>Abschwemmungspunkte</t>
  </si>
  <si>
    <t>in m</t>
  </si>
  <si>
    <t>Produkt: maximale Anforderung</t>
  </si>
  <si>
    <t>o/n, max 1 pt in gruppe</t>
  </si>
  <si>
    <t>Evakuierung entwässerte Straße (tiefer)</t>
  </si>
  <si>
    <t>&lt;31.5.24</t>
  </si>
  <si>
    <t>Utilisation en PER</t>
  </si>
  <si>
    <t>Bewilligungen im OLN</t>
  </si>
  <si>
    <t>Remarques</t>
  </si>
  <si>
    <t>Retrait</t>
  </si>
  <si>
    <t>Retrait PER: plus d'utilisation en grandes cultures</t>
  </si>
  <si>
    <t>Uniquement application en maïs semence sur autorisation</t>
  </si>
  <si>
    <t>Uniquement application en présemis contre le souchet possible sur autorisation</t>
  </si>
  <si>
    <t>Sc, LG</t>
  </si>
  <si>
    <t>Cymbal WG</t>
  </si>
  <si>
    <t>Sporex</t>
  </si>
  <si>
    <t>Galipan</t>
  </si>
  <si>
    <t>W-7510</t>
  </si>
  <si>
    <t>Caravel</t>
  </si>
  <si>
    <t>W-7168-2</t>
  </si>
  <si>
    <t>Capone</t>
  </si>
  <si>
    <t>W-7168-1</t>
  </si>
  <si>
    <t>Azur Mais (1-1.5l/ha)</t>
  </si>
  <si>
    <t>Azur Mais (2 l/ha)</t>
  </si>
  <si>
    <t>W-6222-2</t>
  </si>
  <si>
    <t>Monsoon (1-1.5l/ha)</t>
  </si>
  <si>
    <t>Monsoon (2 l/ha)</t>
  </si>
  <si>
    <t>W-6222-1</t>
  </si>
  <si>
    <t>Costello</t>
  </si>
  <si>
    <t>Lumino</t>
  </si>
  <si>
    <t>W-7521</t>
  </si>
  <si>
    <t>Brasan Duo</t>
  </si>
  <si>
    <t>W-6837-3</t>
  </si>
  <si>
    <t>Prosaro Plus 0.75 l/ha et fusariose</t>
  </si>
  <si>
    <t>Prosaro Plus 1.25 l/ha</t>
  </si>
  <si>
    <t>W-6392-2</t>
  </si>
  <si>
    <t>Ally SX &gt;25g/ha</t>
  </si>
  <si>
    <t>Ally SX =&lt;25g/ha</t>
  </si>
  <si>
    <t>Gewässer</t>
  </si>
  <si>
    <t>Org. terrestres</t>
  </si>
  <si>
    <t>Org. aquatiques</t>
  </si>
  <si>
    <t>Terrestrische org.</t>
  </si>
  <si>
    <t>Dose</t>
  </si>
  <si>
    <t>Adengo S</t>
  </si>
  <si>
    <t>W-6736-1</t>
  </si>
  <si>
    <t>Escape</t>
  </si>
  <si>
    <t>W-6339-2</t>
  </si>
  <si>
    <t>&lt;31.10.26</t>
  </si>
  <si>
    <t>&lt;1.10.27</t>
  </si>
  <si>
    <t>Deltastar (&gt; 0.3 l/ha)</t>
  </si>
  <si>
    <t>Deltastar (max 0.3 l/ha)</t>
  </si>
  <si>
    <t>Rapper</t>
  </si>
  <si>
    <t>W-7492</t>
  </si>
  <si>
    <t>Sitradol Tec</t>
  </si>
  <si>
    <t>W-7204-2</t>
  </si>
  <si>
    <t>Sticker Bio</t>
  </si>
  <si>
    <t>W-7491</t>
  </si>
  <si>
    <t>Oligomères terpéniques</t>
  </si>
  <si>
    <t>Proman (tournesol, soja)</t>
  </si>
  <si>
    <t>Proman (pdt)</t>
  </si>
  <si>
    <t>Nufosate</t>
  </si>
  <si>
    <t>D-6582</t>
  </si>
  <si>
    <t>Clomastar</t>
  </si>
  <si>
    <t>F-6013</t>
  </si>
  <si>
    <t>Finy =&lt;25 g/ha</t>
  </si>
  <si>
    <t>Finy &gt;25 g/ha</t>
  </si>
  <si>
    <t xml:space="preserve">Cartographie disponible afin de préciser les contraintes liées à la parcelle. </t>
  </si>
  <si>
    <t>Geoplanet</t>
  </si>
  <si>
    <t>- Lacs et cours d’eau : rechercher « lacs et cours d’eau »</t>
  </si>
  <si>
    <t xml:space="preserve">- Zones de protection des eaux : rechercher « zones de protection » (également disponible sur ACORDA) </t>
  </si>
  <si>
    <t xml:space="preserve">Carte des surfaces sans ruissellement </t>
  </si>
  <si>
    <t>Carte des zones karstiques</t>
  </si>
  <si>
    <r>
      <rPr>
        <b/>
        <sz val="11"/>
        <color theme="1"/>
        <rFont val="Calibri"/>
        <family val="2"/>
        <scheme val="minor"/>
      </rPr>
      <t>Appréciation 1</t>
    </r>
    <r>
      <rPr>
        <sz val="11"/>
        <color theme="1"/>
        <rFont val="Calibri"/>
        <family val="2"/>
        <scheme val="minor"/>
      </rPr>
      <t xml:space="preserve">: contrainte maximale d'application des produits sur la parcelle. OK=exigence respectée; N=mesures supplémentaires (partie de droite)
</t>
    </r>
    <r>
      <rPr>
        <b/>
        <sz val="11"/>
        <color theme="1"/>
        <rFont val="Calibri"/>
        <family val="2"/>
        <scheme val="minor"/>
      </rPr>
      <t>Dérive PER</t>
    </r>
    <r>
      <rPr>
        <sz val="11"/>
        <color theme="1"/>
        <rFont val="Calibri"/>
        <family val="2"/>
        <scheme val="minor"/>
      </rPr>
      <t xml:space="preserve"> = 1 point pour toute application. </t>
    </r>
    <r>
      <rPr>
        <b/>
        <sz val="11"/>
        <color theme="1"/>
        <rFont val="Calibri"/>
        <family val="2"/>
        <scheme val="minor"/>
      </rPr>
      <t>Dérive eau (biotope, riverains):</t>
    </r>
    <r>
      <rPr>
        <sz val="11"/>
        <color theme="1"/>
        <rFont val="Calibri"/>
        <family val="2"/>
        <scheme val="minor"/>
      </rPr>
      <t xml:space="preserve"> les produits avec des ZNT plus faibles ou égales peuvent être appliqués.
</t>
    </r>
    <r>
      <rPr>
        <b/>
        <sz val="11"/>
        <color theme="1"/>
        <rFont val="Calibri"/>
        <family val="2"/>
        <scheme val="minor"/>
      </rPr>
      <t>Ruissellement eau</t>
    </r>
    <r>
      <rPr>
        <sz val="11"/>
        <color theme="1"/>
        <rFont val="Calibri"/>
        <family val="2"/>
        <scheme val="minor"/>
      </rPr>
      <t xml:space="preserve">: réduction du ruissellement pour les produits avec 1 à 4 points de ruissellement à proximité des cours d'eau.
</t>
    </r>
    <r>
      <rPr>
        <b/>
        <sz val="11"/>
        <color theme="1"/>
        <rFont val="Calibri"/>
        <family val="2"/>
        <scheme val="minor"/>
      </rPr>
      <t>Ruissellement route</t>
    </r>
    <r>
      <rPr>
        <sz val="11"/>
        <color theme="1"/>
        <rFont val="Calibri"/>
        <family val="2"/>
        <scheme val="minor"/>
      </rPr>
      <t xml:space="preserve">: 1 point de réduction du ruissellementexigé en bordure de route drainée.
</t>
    </r>
    <r>
      <rPr>
        <b/>
        <sz val="11"/>
        <color theme="1"/>
        <rFont val="Calibri"/>
        <family val="2"/>
        <scheme val="minor"/>
      </rPr>
      <t>Appréciation 2</t>
    </r>
    <r>
      <rPr>
        <sz val="11"/>
        <color theme="1"/>
        <rFont val="Calibri"/>
        <family val="2"/>
        <scheme val="minor"/>
      </rPr>
      <t>: Evaluation de la situation après mesures spécifiques (dérive et ruissellement) à la parcelle.</t>
    </r>
  </si>
  <si>
    <t>Appréciation 1</t>
  </si>
  <si>
    <t>Beurteilung 1</t>
  </si>
  <si>
    <t>Appréciation 2 (après mesures à la parcelle)</t>
  </si>
  <si>
    <t>Beurteilung 2 (nach Massnahmen auf Parzelle)</t>
  </si>
  <si>
    <t>Potentiel calculé de risque pour les organismes terrestres</t>
  </si>
  <si>
    <t>Berechnetes Risikopotenzial für terrestrische Organismen</t>
  </si>
  <si>
    <t>Neem Maag</t>
  </si>
  <si>
    <t>W-5351-6</t>
  </si>
  <si>
    <t>- Inventaires des biotopes : rechercher « biotopes »</t>
  </si>
  <si>
    <t>Conviso One (max 0.7l/ha)</t>
  </si>
  <si>
    <t>Conviso One (&gt; 0.7 l/ha)</t>
  </si>
  <si>
    <t>Dose appliquée</t>
  </si>
  <si>
    <t>Applizierte Dosierung</t>
  </si>
  <si>
    <t>g/l 1</t>
  </si>
  <si>
    <t>g/l 2</t>
  </si>
  <si>
    <t>g/l 3</t>
  </si>
  <si>
    <t>g/l 4</t>
  </si>
  <si>
    <t>SOA1</t>
  </si>
  <si>
    <t>SOA2</t>
  </si>
  <si>
    <t>SOA3</t>
  </si>
  <si>
    <t>SOA4</t>
  </si>
  <si>
    <t>SOT1</t>
  </si>
  <si>
    <t>SOT2</t>
  </si>
  <si>
    <t>SOT3</t>
  </si>
  <si>
    <t>SOT4</t>
  </si>
  <si>
    <t>SOA</t>
  </si>
  <si>
    <t>SOT</t>
  </si>
  <si>
    <t>Eau surface</t>
  </si>
  <si>
    <t>(e) Eau</t>
  </si>
  <si>
    <t>(b) Biotopes</t>
  </si>
  <si>
    <t>(p) Public</t>
  </si>
  <si>
    <t>(f) Fleurs</t>
  </si>
  <si>
    <t>Ruitor</t>
  </si>
  <si>
    <t>I-2694</t>
  </si>
  <si>
    <t>Elegant 05 EC</t>
  </si>
  <si>
    <t>I-4823</t>
  </si>
  <si>
    <t>Soja</t>
  </si>
  <si>
    <t>Féverole</t>
  </si>
  <si>
    <t>Lupin</t>
  </si>
  <si>
    <t>Soleto (soja, tournesol)</t>
  </si>
  <si>
    <t>Soleto (pdt)</t>
  </si>
  <si>
    <t>Public</t>
  </si>
  <si>
    <t>Kumulus WG</t>
  </si>
  <si>
    <t>W-4458</t>
  </si>
  <si>
    <t>M2</t>
  </si>
  <si>
    <t>W-7541</t>
  </si>
  <si>
    <t>W-7540-1</t>
  </si>
  <si>
    <t>W-7539-1</t>
  </si>
  <si>
    <t>Rimuron</t>
  </si>
  <si>
    <t>W-7565</t>
  </si>
  <si>
    <t>Sheriff</t>
  </si>
  <si>
    <t>W-7031-2</t>
  </si>
  <si>
    <t>Zeppelin</t>
  </si>
  <si>
    <t>W-7320-3</t>
  </si>
  <si>
    <t>Oikos</t>
  </si>
  <si>
    <t>Pacifica Plus (0.2 kg/ha)</t>
  </si>
  <si>
    <t>Pacifica Plus (&gt;0.2 kg/ha)</t>
  </si>
  <si>
    <t>Express SX (45g/ha)</t>
  </si>
  <si>
    <t>Express SX (&gt;45g/ha)</t>
  </si>
  <si>
    <t>Sicid Neem</t>
  </si>
  <si>
    <t>W-7490-1</t>
  </si>
  <si>
    <t>W-6085-3</t>
  </si>
  <si>
    <t>Xenturion</t>
  </si>
  <si>
    <t>Zofal R</t>
  </si>
  <si>
    <t>W-5168-3</t>
  </si>
  <si>
    <t>Aduka 0.4 l/ha</t>
  </si>
  <si>
    <t>Aduka 0.6 l/ha</t>
  </si>
  <si>
    <t>W-7190-1</t>
  </si>
  <si>
    <t>W-7490-2</t>
  </si>
  <si>
    <t>&lt;31.3.24</t>
  </si>
  <si>
    <t>W-6090, W-6574</t>
  </si>
  <si>
    <t>W-6965, -1</t>
  </si>
  <si>
    <t>&lt;30.4.24</t>
  </si>
  <si>
    <t>Cymbal 45</t>
  </si>
  <si>
    <t>W-7534</t>
  </si>
  <si>
    <t>Cymbal Flow</t>
  </si>
  <si>
    <t>W-7540</t>
  </si>
  <si>
    <t>W-7534-2</t>
  </si>
  <si>
    <t>W-6075-4</t>
  </si>
  <si>
    <t>Lentagran 600</t>
  </si>
  <si>
    <t>W-5162</t>
  </si>
  <si>
    <t>W-7539</t>
  </si>
  <si>
    <t>&lt;30.11.24</t>
  </si>
  <si>
    <t>W-7534-1</t>
  </si>
  <si>
    <t>Braudio</t>
  </si>
  <si>
    <t>W-7320-2</t>
  </si>
  <si>
    <t>W-7253</t>
  </si>
  <si>
    <t>bacillus amyloliquefaciens</t>
  </si>
  <si>
    <t>Am=Amreco, An=Andermatt; Ba=Bayer; BF=BASF; Fe=Fenaco; LG=Leu Gygax; Nu=Nufarm; Om=Omya; Sa=Sintagro; Sc=Schneiter; St=Stähler; Sy=Syngenta</t>
  </si>
  <si>
    <t>Carte des surfaces en connexion</t>
  </si>
  <si>
    <t>Homologué et utilisable dans programme non-recours PPh</t>
  </si>
  <si>
    <t>Bewilligt und in Programm verzicht auf PSM einsetzbar</t>
  </si>
  <si>
    <t>Approvato per l'utilizzo nel programma per la rinuncia a prodotti fitosanitari</t>
  </si>
  <si>
    <t>obbligo legale</t>
  </si>
  <si>
    <t>rischio significativo</t>
  </si>
  <si>
    <t>rischio relativo (metaboliti irrilevanti)</t>
  </si>
  <si>
    <t>api fuori volo</t>
  </si>
  <si>
    <t>PER - Fitosanitario: elenco e vincoli dei prodotti utilizzati durante la campagna</t>
  </si>
  <si>
    <t>Modulo opzionale per aiutare a gestire i vincoli legati ai prodotti fitosanitari</t>
  </si>
  <si>
    <t>Scegliere un prodotto dall'elenco e i dati</t>
  </si>
  <si>
    <t>verrà visualizzato</t>
  </si>
  <si>
    <t>Rischi</t>
  </si>
  <si>
    <t>Acque superficiali</t>
  </si>
  <si>
    <t>Org Terrestri</t>
  </si>
  <si>
    <t>ZNT in m</t>
  </si>
  <si>
    <t>Nome operativo</t>
  </si>
  <si>
    <t>Dose applicata</t>
  </si>
  <si>
    <t>Valutazione del rischio di deriva e di ruscellamento per gli appezzamenti di terreno di un'azienda agricola</t>
  </si>
  <si>
    <t>Misure di riduzione a livello di applicazione o di appezzamento</t>
  </si>
  <si>
    <t>Distanza dal bordo del tracciato</t>
  </si>
  <si>
    <t>Apprezzamento 1</t>
  </si>
  <si>
    <t>deriva</t>
  </si>
  <si>
    <t>ruscellamento</t>
  </si>
  <si>
    <t>Valutazione 2 (dopo le misurazioni a livello di parcella)</t>
  </si>
  <si>
    <t>Pendenza della trama</t>
  </si>
  <si>
    <t>Acqua sotto la trama</t>
  </si>
  <si>
    <t>Abitazioni o aree pubbliche</t>
  </si>
  <si>
    <t>Evacuazione su una strada drenata sottostante</t>
  </si>
  <si>
    <t>Tipo di ugelli spruzzatori</t>
  </si>
  <si>
    <t>Deriva PER</t>
  </si>
  <si>
    <t>Deriva d'acqua</t>
  </si>
  <si>
    <t>Deriva del biotopo</t>
  </si>
  <si>
    <t>Dérive zone publique</t>
  </si>
  <si>
    <t>Deriva in area pubblica</t>
  </si>
  <si>
    <t>Deflusso dell'acqua</t>
  </si>
  <si>
    <t>Deflusso stradale</t>
  </si>
  <si>
    <t>Lavorazione del nastro</t>
  </si>
  <si>
    <t>Irrorazione subfogliare</t>
  </si>
  <si>
    <t>Fascia vegetata (altezza del raccolto)</t>
  </si>
  <si>
    <t>Barriera verticale superiore a 1 m di raccolto</t>
  </si>
  <si>
    <t>Lavorazione del suolo di tipo conservativo</t>
  </si>
  <si>
    <t>Fossi trasversali nelle colture rincalzate</t>
  </si>
  <si>
    <t>Vie di passaggio inerbite</t>
  </si>
  <si>
    <t>Bande inerbite nella particella dove avviene il dilavamento</t>
  </si>
  <si>
    <t>Inerbimento delle testate dei campi</t>
  </si>
  <si>
    <t>Copertura erbosa tra l'appezzamento e l'acqua superficiale</t>
  </si>
  <si>
    <t>di cui sul ciglio della strada</t>
  </si>
  <si>
    <t>Punti di deriva</t>
  </si>
  <si>
    <t>Punti di gocciolamento</t>
  </si>
  <si>
    <t>Prodotto: prescrizione massima tollerata</t>
  </si>
  <si>
    <t>o/n, max 1 pt gruppo</t>
  </si>
  <si>
    <t>Ackerbohne</t>
  </si>
  <si>
    <t>Fava</t>
  </si>
  <si>
    <t>Lupinen</t>
  </si>
  <si>
    <t>Lupino</t>
  </si>
  <si>
    <t>sOA/g</t>
  </si>
  <si>
    <t>sOT/g</t>
  </si>
  <si>
    <t>sES/g</t>
  </si>
  <si>
    <t>Soufre</t>
  </si>
  <si>
    <t>Capri Twin</t>
  </si>
  <si>
    <t>D-7252</t>
  </si>
  <si>
    <t>Carmina 640</t>
  </si>
  <si>
    <t>D-4871</t>
  </si>
  <si>
    <t>Cyflodium</t>
  </si>
  <si>
    <t>F-6052</t>
  </si>
  <si>
    <t>Florasustar</t>
  </si>
  <si>
    <t>F-6050</t>
  </si>
  <si>
    <t>D-7054</t>
  </si>
  <si>
    <t>Lalstop Contans WG</t>
  </si>
  <si>
    <t>W-7498</t>
  </si>
  <si>
    <t>An, Fe</t>
  </si>
  <si>
    <t>Mesostar</t>
  </si>
  <si>
    <t>F-5546</t>
  </si>
  <si>
    <t>Parafol</t>
  </si>
  <si>
    <t>W-1454-2</t>
  </si>
  <si>
    <t>Pendimethalin SA-400 SC</t>
  </si>
  <si>
    <t>W-7097</t>
  </si>
  <si>
    <t>Dose indicative</t>
  </si>
  <si>
    <t>Richtdosis</t>
  </si>
  <si>
    <t>Dose indicativa</t>
  </si>
  <si>
    <t>Station de protection des plantes,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</si>
</sst>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6" formatCode="#,##0.0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color theme="9" tint="0.79998168889431442"/>
      <name val="Arial"/>
      <family val="2"/>
    </font>
    <font>
      <sz val="2"/>
      <color theme="0" tint="-0.14999847407452621"/>
      <name val="Arial"/>
      <family val="2"/>
    </font>
    <font>
      <sz val="11"/>
      <color rgb="FF454545"/>
      <name val="Arial"/>
      <family val="2"/>
    </font>
    <font>
      <sz val="8"/>
      <name val="Calibri"/>
      <family val="2"/>
      <scheme val="minor"/>
    </font>
    <font>
      <sz val="11"/>
      <color theme="1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auto="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6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8" fillId="0" borderId="0" xfId="1" applyProtection="1">
      <protection locked="0"/>
    </xf>
    <xf numFmtId="0" fontId="8" fillId="0" borderId="0" xfId="1" applyProtection="1"/>
    <xf numFmtId="0" fontId="0" fillId="0" borderId="0" xfId="0" applyProtection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/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0" xfId="0" applyFont="1" applyFill="1" applyAlignment="1">
      <alignment wrapText="1"/>
    </xf>
    <xf numFmtId="0" fontId="0" fillId="5" borderId="0" xfId="0" applyFill="1" applyBorder="1" applyAlignme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0" borderId="1" xfId="0" applyBorder="1"/>
    <xf numFmtId="0" fontId="0" fillId="5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5" borderId="0" xfId="0" applyFont="1" applyFill="1" applyBorder="1" applyAlignment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Border="1"/>
    <xf numFmtId="0" fontId="0" fillId="9" borderId="0" xfId="0" applyFill="1" applyBorder="1"/>
    <xf numFmtId="0" fontId="0" fillId="9" borderId="0" xfId="0" applyFont="1" applyFill="1" applyBorder="1" applyAlignment="1">
      <alignment wrapText="1"/>
    </xf>
    <xf numFmtId="0" fontId="0" fillId="9" borderId="0" xfId="0" applyFill="1" applyBorder="1" applyAlignment="1"/>
    <xf numFmtId="0" fontId="0" fillId="9" borderId="0" xfId="0" applyFill="1" applyBorder="1" applyAlignment="1">
      <alignment wrapText="1"/>
    </xf>
    <xf numFmtId="0" fontId="0" fillId="10" borderId="0" xfId="0" applyFill="1" applyBorder="1"/>
    <xf numFmtId="0" fontId="0" fillId="9" borderId="0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0" borderId="0" xfId="0" quotePrefix="1" applyBorder="1" applyAlignment="1">
      <alignment wrapText="1"/>
    </xf>
    <xf numFmtId="0" fontId="0" fillId="0" borderId="0" xfId="0" applyFont="1" applyFill="1" applyBorder="1" applyProtection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left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0" borderId="0" xfId="0"/>
    <xf numFmtId="0" fontId="0" fillId="0" borderId="0" xfId="0" applyFont="1" applyFill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9" fontId="1" fillId="0" borderId="1" xfId="2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1" fillId="0" borderId="8" xfId="0" applyNumberFormat="1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4" fontId="1" fillId="0" borderId="10" xfId="0" applyNumberFormat="1" applyFont="1" applyBorder="1"/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0" fillId="0" borderId="0" xfId="0"/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7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164" fontId="0" fillId="5" borderId="4" xfId="0" applyNumberFormat="1" applyFill="1" applyBorder="1" applyAlignment="1"/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5" fillId="0" borderId="1" xfId="0" applyFont="1" applyBorder="1" applyAlignment="1" applyProtection="1">
      <alignment horizontal="left"/>
      <protection locked="0"/>
    </xf>
    <xf numFmtId="0" fontId="16" fillId="0" borderId="1" xfId="0" quotePrefix="1" applyFont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/>
    <xf numFmtId="0" fontId="1" fillId="5" borderId="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0" xfId="0"/>
    <xf numFmtId="0" fontId="1" fillId="5" borderId="4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right"/>
    </xf>
    <xf numFmtId="1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9" borderId="0" xfId="0" applyFill="1"/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6" xfId="0" applyFont="1" applyBorder="1" applyAlignment="1"/>
    <xf numFmtId="0" fontId="1" fillId="13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1" xfId="0" applyNumberFormat="1" applyBorder="1" applyAlignment="1" applyProtection="1">
      <alignment horizontal="left" wrapText="1"/>
      <protection locked="0"/>
    </xf>
    <xf numFmtId="0" fontId="0" fillId="13" borderId="10" xfId="0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alignment horizontal="center" vertical="center"/>
      <protection locked="0"/>
    </xf>
    <xf numFmtId="0" fontId="0" fillId="13" borderId="30" xfId="0" applyFill="1" applyBorder="1" applyAlignment="1" applyProtection="1">
      <alignment horizontal="left" vertical="center"/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31" xfId="0" applyFill="1" applyBorder="1" applyAlignment="1" applyProtection="1">
      <alignment horizontal="left"/>
      <protection locked="0"/>
    </xf>
    <xf numFmtId="0" fontId="0" fillId="13" borderId="10" xfId="0" applyFill="1" applyBorder="1" applyAlignment="1" applyProtection="1">
      <alignment horizontal="center"/>
      <protection locked="0"/>
    </xf>
    <xf numFmtId="0" fontId="0" fillId="13" borderId="5" xfId="0" applyFill="1" applyBorder="1" applyAlignment="1" applyProtection="1">
      <alignment horizontal="center"/>
      <protection locked="0"/>
    </xf>
    <xf numFmtId="0" fontId="0" fillId="13" borderId="31" xfId="0" applyFill="1" applyBorder="1" applyAlignment="1" applyProtection="1">
      <alignment horizontal="center"/>
      <protection locked="0"/>
    </xf>
    <xf numFmtId="0" fontId="0" fillId="13" borderId="7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center" textRotation="90" wrapText="1"/>
      <protection hidden="1"/>
    </xf>
    <xf numFmtId="0" fontId="0" fillId="0" borderId="0" xfId="0" applyAlignment="1" applyProtection="1">
      <alignment horizontal="center" textRotation="90" wrapText="1"/>
      <protection hidden="1"/>
    </xf>
    <xf numFmtId="0" fontId="0" fillId="0" borderId="34" xfId="0" applyBorder="1" applyAlignment="1" applyProtection="1">
      <alignment horizontal="center" textRotation="90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0" fontId="0" fillId="0" borderId="0" xfId="0" quotePrefix="1" applyProtection="1">
      <protection hidden="1"/>
    </xf>
    <xf numFmtId="16" fontId="0" fillId="0" borderId="0" xfId="0" quotePrefix="1" applyNumberFormat="1" applyProtection="1">
      <protection hidden="1"/>
    </xf>
    <xf numFmtId="0" fontId="0" fillId="0" borderId="5" xfId="0" applyBorder="1" applyAlignment="1"/>
    <xf numFmtId="0" fontId="0" fillId="14" borderId="0" xfId="0" applyFill="1" applyProtection="1">
      <protection locked="0"/>
    </xf>
    <xf numFmtId="164" fontId="0" fillId="13" borderId="1" xfId="0" applyNumberFormat="1" applyFill="1" applyBorder="1" applyProtection="1">
      <protection locked="0"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7" fillId="0" borderId="0" xfId="0" applyFont="1" applyBorder="1"/>
    <xf numFmtId="0" fontId="1" fillId="5" borderId="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right" wrapText="1"/>
      <protection locked="0"/>
    </xf>
    <xf numFmtId="0" fontId="2" fillId="5" borderId="1" xfId="0" applyFont="1" applyFill="1" applyBorder="1"/>
    <xf numFmtId="0" fontId="0" fillId="0" borderId="3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0" fillId="0" borderId="32" xfId="0" applyBorder="1" applyProtection="1"/>
    <xf numFmtId="0" fontId="0" fillId="0" borderId="33" xfId="0" applyBorder="1" applyAlignment="1" applyProtection="1">
      <alignment horizontal="center" textRotation="90"/>
    </xf>
    <xf numFmtId="0" fontId="0" fillId="0" borderId="32" xfId="0" applyBorder="1" applyAlignment="1" applyProtection="1">
      <alignment horizontal="center" textRotation="90" wrapText="1"/>
    </xf>
    <xf numFmtId="0" fontId="0" fillId="0" borderId="37" xfId="0" applyBorder="1" applyAlignment="1" applyProtection="1">
      <alignment horizontal="center" textRotation="90" wrapText="1"/>
    </xf>
    <xf numFmtId="0" fontId="0" fillId="0" borderId="34" xfId="0" applyBorder="1" applyAlignment="1" applyProtection="1">
      <alignment horizontal="center" textRotation="90"/>
    </xf>
    <xf numFmtId="0" fontId="0" fillId="0" borderId="34" xfId="0" applyBorder="1" applyAlignment="1" applyProtection="1">
      <alignment horizontal="center" textRotation="90" wrapText="1"/>
    </xf>
    <xf numFmtId="0" fontId="0" fillId="0" borderId="35" xfId="0" applyBorder="1" applyAlignment="1" applyProtection="1">
      <alignment horizontal="center" textRotation="90" wrapText="1"/>
    </xf>
    <xf numFmtId="0" fontId="0" fillId="0" borderId="37" xfId="0" applyBorder="1" applyAlignment="1" applyProtection="1">
      <alignment horizontal="center" textRotation="90"/>
    </xf>
    <xf numFmtId="0" fontId="0" fillId="0" borderId="35" xfId="0" applyBorder="1" applyAlignment="1" applyProtection="1">
      <alignment horizontal="center" textRotation="90"/>
    </xf>
    <xf numFmtId="0" fontId="0" fillId="0" borderId="33" xfId="0" applyBorder="1" applyAlignment="1" applyProtection="1">
      <alignment horizontal="center" textRotation="90" wrapText="1"/>
    </xf>
    <xf numFmtId="0" fontId="0" fillId="0" borderId="32" xfId="0" applyBorder="1" applyAlignment="1" applyProtection="1">
      <alignment horizontal="center" textRotation="90"/>
    </xf>
    <xf numFmtId="0" fontId="0" fillId="0" borderId="34" xfId="0" applyBorder="1" applyAlignment="1" applyProtection="1">
      <alignment horizontal="left"/>
    </xf>
    <xf numFmtId="0" fontId="0" fillId="0" borderId="0" xfId="0" applyBorder="1" applyAlignment="1" applyProtection="1">
      <alignment horizontal="center" textRotation="90"/>
    </xf>
    <xf numFmtId="0" fontId="0" fillId="0" borderId="27" xfId="0" applyBorder="1" applyProtection="1"/>
    <xf numFmtId="0" fontId="0" fillId="0" borderId="36" xfId="0" applyBorder="1" applyAlignment="1" applyProtection="1">
      <alignment horizontal="center" textRotation="255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 textRotation="255"/>
    </xf>
    <xf numFmtId="0" fontId="0" fillId="0" borderId="3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13" borderId="0" xfId="0" applyFill="1" applyAlignment="1" applyProtection="1">
      <alignment vertical="center"/>
      <protection locked="0"/>
    </xf>
    <xf numFmtId="0" fontId="0" fillId="13" borderId="0" xfId="0" applyFill="1" applyProtection="1"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13" borderId="27" xfId="0" applyFill="1" applyBorder="1" applyAlignment="1" applyProtection="1">
      <alignment horizontal="center"/>
      <protection locked="0"/>
    </xf>
    <xf numFmtId="0" fontId="0" fillId="13" borderId="36" xfId="0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4" borderId="0" xfId="0" applyFill="1"/>
    <xf numFmtId="0" fontId="0" fillId="15" borderId="0" xfId="0" applyFill="1"/>
    <xf numFmtId="0" fontId="0" fillId="7" borderId="0" xfId="0" applyFill="1"/>
    <xf numFmtId="0" fontId="0" fillId="0" borderId="0" xfId="0" applyAlignment="1">
      <alignment horizontal="right"/>
    </xf>
    <xf numFmtId="0" fontId="1" fillId="0" borderId="9" xfId="0" applyFont="1" applyBorder="1"/>
    <xf numFmtId="9" fontId="1" fillId="0" borderId="1" xfId="2" applyFont="1" applyBorder="1" applyAlignment="1">
      <alignment horizontal="center"/>
    </xf>
    <xf numFmtId="0" fontId="8" fillId="0" borderId="0" xfId="1" quotePrefix="1" applyProtection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34" xfId="0" applyFill="1" applyBorder="1" applyAlignment="1" applyProtection="1">
      <alignment horizontal="center" textRotation="90" wrapText="1"/>
    </xf>
    <xf numFmtId="0" fontId="0" fillId="5" borderId="28" xfId="0" applyFill="1" applyBorder="1" applyAlignment="1" applyProtection="1">
      <alignment horizont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/>
    </xf>
    <xf numFmtId="0" fontId="19" fillId="0" borderId="0" xfId="0" applyFont="1" applyAlignment="1">
      <alignment horizontal="left" vertical="center" indent="1"/>
    </xf>
    <xf numFmtId="0" fontId="9" fillId="13" borderId="1" xfId="0" applyFont="1" applyFill="1" applyBorder="1" applyAlignment="1" applyProtection="1">
      <alignment horizontal="center" vertical="center"/>
      <protection locked="0"/>
    </xf>
    <xf numFmtId="0" fontId="1" fillId="0" borderId="47" xfId="0" applyFont="1" applyBorder="1"/>
    <xf numFmtId="0" fontId="3" fillId="13" borderId="1" xfId="0" applyFont="1" applyFill="1" applyBorder="1" applyProtection="1">
      <protection locked="0"/>
    </xf>
    <xf numFmtId="0" fontId="3" fillId="13" borderId="0" xfId="0" applyFont="1" applyFill="1" applyBorder="1" applyProtection="1"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13" borderId="0" xfId="0" applyNumberFormat="1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5" xfId="0" applyBorder="1" applyAlignment="1" applyProtection="1">
      <alignment horizontal="center" wrapText="1"/>
    </xf>
    <xf numFmtId="0" fontId="0" fillId="0" borderId="41" xfId="0" applyBorder="1" applyAlignment="1" applyProtection="1">
      <alignment horizontal="center" wrapText="1"/>
    </xf>
    <xf numFmtId="0" fontId="0" fillId="0" borderId="46" xfId="0" applyBorder="1" applyAlignment="1" applyProtection="1">
      <alignment horizontal="center" wrapText="1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5" borderId="15" xfId="0" applyFont="1" applyFill="1" applyBorder="1" applyAlignment="1">
      <alignment horizontal="center" vertical="center" textRotation="90" wrapText="1"/>
    </xf>
    <xf numFmtId="0" fontId="3" fillId="5" borderId="16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6" fontId="0" fillId="5" borderId="1" xfId="0" applyNumberFormat="1" applyFill="1" applyBorder="1" applyProtection="1">
      <protection locked="0"/>
    </xf>
    <xf numFmtId="166" fontId="0" fillId="13" borderId="1" xfId="0" applyNumberFormat="1" applyFill="1" applyBorder="1" applyProtection="1"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235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5" tint="0.40000610370189521"/>
          </stop>
          <stop position="1">
            <color rgb="FF92D050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5" tint="0.40000610370189521"/>
          </stop>
          <stop position="1">
            <color rgb="FF92D050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5" tint="0.40000610370189521"/>
          </stop>
          <stop position="1">
            <color rgb="FF92D050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theme="4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5" tint="0.40000610370189521"/>
          </stop>
          <stop position="1">
            <color rgb="FF92D050"/>
          </stop>
        </gradient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  <color rgb="FFF5F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828675</xdr:colOff>
      <xdr:row>0</xdr:row>
      <xdr:rowOff>910990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914525" cy="882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207814</xdr:colOff>
      <xdr:row>0</xdr:row>
      <xdr:rowOff>19051</xdr:rowOff>
    </xdr:from>
    <xdr:to>
      <xdr:col>8</xdr:col>
      <xdr:colOff>495945</xdr:colOff>
      <xdr:row>2</xdr:row>
      <xdr:rowOff>28576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6414" y="19051"/>
          <a:ext cx="1735931" cy="8001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 Zimmermann" id="{9EFCA4D2-192E-4FA4-BB24-FB35785703AC}" userId="S::andre.zimmermann@eduvaud.ch::7389c8f2-5cb8-4928-9765-6d858744c4ef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169" dT="2023-11-22T14:33:26.65" personId="{9EFCA4D2-192E-4FA4-BB24-FB35785703AC}" id="{369AE433-016C-49CA-AB53-C383FCF10CDC}">
    <text>A confirmer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L300" dT="2023-11-22T14:33:26.65" personId="{9EFCA4D2-192E-4FA4-BB24-FB35785703AC}" id="{45FA4B1E-0611-4F0C-B2A2-8D5B0FE34C12}">
    <text>A confirmer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map.geo.admin.ch/?lang=fr&amp;topic=ech&amp;bgLayer=ch.swisstopo.pixelkarte-farbe&amp;E=2533767.09&amp;N=1178613.57&amp;zoom=5&amp;layers_opacity=1,1,1,1,1,0.75&amp;layers=ch.swisstopo.zeitreihen,ch.bfs.gebaeude_wohnungs_register,ch.bav.haltestellen-oev,ch.swisstopo.swisstlm3d-wanderwege,ch.bafu.karst-quellen_schwinden,ch.bafu.karst-einzugsgebietseinheiten&amp;layers_visibility=false,false,false,false,false,true&amp;layers_timestamp=18641231,,,,,&amp;catalogNodes=532,614" TargetMode="External"/><Relationship Id="rId7" Type="http://schemas.openxmlformats.org/officeDocument/2006/relationships/hyperlink" Target="https://map.geo.admin.ch/?lang=fr&amp;topic=blw&amp;bgLayer=ch.swisstopo.pixelkarte-farbe&amp;layers_opacity=0.75,0.75&amp;catalogNodes=901&amp;layers=ch.blw.erosion-fliesswegkarte,ch.blw.gewaesseranschlusskarte-direkt&amp;layers_visibility=false,true&amp;E=2559107.62&amp;N=1181821.17&amp;zoom=6" TargetMode="External"/><Relationship Id="rId2" Type="http://schemas.openxmlformats.org/officeDocument/2006/relationships/hyperlink" Target="https://map.geo.admin.ch/?lang=fr&amp;topic=blw&amp;bgLayer=ch.swisstopo.pixelkarte-farbe&amp;layers_opacity=0.75&amp;catalogNodes=901,887&amp;layers=ch.blw.hanglagen-abschwemmung&amp;E=2531317.74&amp;N=1162610.21&amp;zoom=6" TargetMode="External"/><Relationship Id="rId1" Type="http://schemas.openxmlformats.org/officeDocument/2006/relationships/hyperlink" Target="https://www.geo.vd.ch/" TargetMode="External"/><Relationship Id="rId6" Type="http://schemas.openxmlformats.org/officeDocument/2006/relationships/hyperlink" Target="https://map.geo.admin.ch/?lang=fr&amp;zoom=6&amp;topic=bafu&amp;bgLayer=ch.swisstopo.pixelkarte-grau&amp;E=2537000.90&amp;N=1168197.63&amp;catalogNodes=2771,2838,2839&amp;layers=ch.bafu.vec25-seen,ch.bafu.typisierung-fliessgewaesser&amp;layers_opacity=1,0.75" TargetMode="External"/><Relationship Id="rId5" Type="http://schemas.openxmlformats.org/officeDocument/2006/relationships/hyperlink" Target="https://map.geo.admin.ch/?lang=de&amp;topic=ech&amp;bgLayer=ch.swisstopo.pixelkarte-grau&amp;layers=WMS%7C%7Cgewaesserschutzkarte%7C%7Chttps:%2F%2Fwfs.geodienste.ch%2Fplanerischer_gewaesserschutz_v1_1_1%2Fdeu%3F%7C%7Cgewaesserschutzkarte%7C%7C1.3.0&amp;E=2552858.68&amp;N=1168903.70&amp;zoom=4&amp;layers_opacity=0.75" TargetMode="External"/><Relationship Id="rId4" Type="http://schemas.openxmlformats.org/officeDocument/2006/relationships/hyperlink" Target="https://www.geo.vd.ch/?center=2530345,1156024&amp;scale=37795&amp;wkid=2056&amp;theme=hybride&amp;mapresources=GEOVD_DONNEESCADASTRALES,GEOVD_CONSTRUCTION,GEOVD_DONNEESBASE,GEOVD_ENVIRONNEMENT&amp;visiblelayers=%7b%22GEOVD_DONNEESCADASTRALES%22:%5b%22Bien-fonds%22,%22B&#226;timents%20%22,%22N&#176;%20bien-fonds%22,%22N&#176;%20de%20b&#226;timents%22,%22N&#176;%20entr&#233;e%22%5d,%22GEOVD_CONSTRUCTION%22:%5b%22B&#226;timents%20(EGID)%22%5d,%22GEOVD_DONNEESBASE%22:%5b%22Adresses%22,%22Canton%22%5d%7d&amp;visiblelayerindexes=%7b%22GEOVD_ENVIRONNEMENT%22:%5b10,11,12,13,14,15,16,17%5d%7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A43" sqref="A43"/>
    </sheetView>
  </sheetViews>
  <sheetFormatPr baseColWidth="10" defaultColWidth="11.42578125" defaultRowHeight="15" x14ac:dyDescent="0.25"/>
  <cols>
    <col min="1" max="1" width="17.140625" customWidth="1"/>
    <col min="2" max="2" width="15.28515625" customWidth="1"/>
    <col min="3" max="7" width="11.42578125" customWidth="1"/>
    <col min="8" max="8" width="8.85546875" customWidth="1"/>
  </cols>
  <sheetData>
    <row r="1" spans="1:8" ht="80.25" customHeight="1" x14ac:dyDescent="0.25">
      <c r="D1" s="194" t="s">
        <v>0</v>
      </c>
      <c r="E1" s="49" t="str">
        <f>+Textes!A2</f>
        <v>Sprachwahl</v>
      </c>
    </row>
    <row r="2" spans="1:8" ht="47.25" customHeight="1" x14ac:dyDescent="0.35">
      <c r="A2" s="273" t="str">
        <f>+Textes!A148</f>
        <v>Prescritions d'utilisation des produits phytosanitaires homologués dans les grandes cultures</v>
      </c>
      <c r="B2" s="273"/>
      <c r="C2" s="273"/>
      <c r="D2" s="273"/>
      <c r="E2" s="273"/>
      <c r="F2" s="273"/>
      <c r="G2" s="273"/>
      <c r="H2" s="273"/>
    </row>
    <row r="4" spans="1:8" ht="18.75" x14ac:dyDescent="0.3">
      <c r="A4" s="17" t="str">
        <f>+Textes!A149</f>
        <v>Précision des informations contenues dans les tableaux joints</v>
      </c>
    </row>
    <row r="5" spans="1:8" ht="30.75" customHeight="1" x14ac:dyDescent="0.25">
      <c r="A5" s="280" t="str">
        <f>+Textes!A150</f>
        <v>Les informations officielles se trouvent sur l'index de l'OFAG, se référer à cette source pour les produits manquants dans cette liste</v>
      </c>
      <c r="B5" s="280"/>
      <c r="C5" s="280"/>
      <c r="D5" s="280"/>
      <c r="E5" s="280"/>
      <c r="F5" s="280"/>
      <c r="G5" s="280"/>
      <c r="H5" s="280"/>
    </row>
    <row r="6" spans="1:8" ht="30.75" customHeight="1" x14ac:dyDescent="0.25">
      <c r="A6" s="280" t="str">
        <f>+Textes!A151</f>
        <v>Pour plus de précisions concernant l'efficacité et l'application des produits, consultez les FT Agridea Grandes cultures ou les documents des firmes commerciales.</v>
      </c>
      <c r="B6" s="280"/>
      <c r="C6" s="280"/>
      <c r="D6" s="280"/>
      <c r="E6" s="280"/>
      <c r="F6" s="280"/>
      <c r="G6" s="280"/>
      <c r="H6" s="280"/>
    </row>
    <row r="8" spans="1:8" x14ac:dyDescent="0.25">
      <c r="B8" s="18" t="str">
        <f>+Textes!A10</f>
        <v>Produit</v>
      </c>
      <c r="C8" s="270" t="str">
        <f>+Textes!A152</f>
        <v>Nom du produit commercial</v>
      </c>
      <c r="D8" s="271"/>
      <c r="E8" s="271"/>
      <c r="F8" s="271"/>
      <c r="G8" s="271"/>
      <c r="H8" s="272"/>
    </row>
    <row r="9" spans="1:8" hidden="1" x14ac:dyDescent="0.25">
      <c r="A9" s="10"/>
      <c r="B9" s="18" t="s">
        <v>1</v>
      </c>
      <c r="C9" s="270" t="s">
        <v>2</v>
      </c>
      <c r="D9" s="271"/>
      <c r="E9" s="271"/>
      <c r="F9" s="271"/>
      <c r="G9" s="271"/>
      <c r="H9" s="272"/>
    </row>
    <row r="10" spans="1:8" ht="43.5" customHeight="1" x14ac:dyDescent="0.25">
      <c r="B10" s="78" t="str">
        <f>+Textes!A13</f>
        <v>Firme</v>
      </c>
      <c r="C10" s="274" t="str">
        <f>+Textes!A154</f>
        <v>Am=Amreco, An=Andermatt; Ba=Bayer; BF=BASF; Fe=Fenaco; LG=Leu Gygax; Nu=Nufarm; Om=Omya; Sa=Sintagro; Sc=Schneiter; St=Stähler; Sy=Syngenta</v>
      </c>
      <c r="D10" s="275"/>
      <c r="E10" s="275"/>
      <c r="F10" s="275"/>
      <c r="G10" s="275"/>
      <c r="H10" s="276"/>
    </row>
    <row r="11" spans="1:8" x14ac:dyDescent="0.25">
      <c r="A11" s="277" t="str">
        <f>+Textes!A4</f>
        <v>Groupes de résistance RAC</v>
      </c>
      <c r="B11" s="18" t="str">
        <f>+Textes!A14</f>
        <v>SA 1</v>
      </c>
      <c r="C11" s="270" t="str">
        <f>+Textes!A68</f>
        <v>Substance active 1</v>
      </c>
      <c r="D11" s="271"/>
      <c r="E11" s="271"/>
      <c r="F11" s="271"/>
      <c r="G11" s="271"/>
      <c r="H11" s="272"/>
    </row>
    <row r="12" spans="1:8" x14ac:dyDescent="0.25">
      <c r="A12" s="278"/>
      <c r="B12" s="18" t="str">
        <f>+Textes!A15</f>
        <v>SA 2</v>
      </c>
      <c r="C12" s="270" t="str">
        <f>+Textes!A69</f>
        <v>Substance active 2</v>
      </c>
      <c r="D12" s="271"/>
      <c r="E12" s="271"/>
      <c r="F12" s="271"/>
      <c r="G12" s="271"/>
      <c r="H12" s="272"/>
    </row>
    <row r="13" spans="1:8" x14ac:dyDescent="0.25">
      <c r="A13" s="279"/>
      <c r="B13" s="18" t="str">
        <f>+Textes!A16</f>
        <v>SA3</v>
      </c>
      <c r="C13" s="270" t="str">
        <f>+Textes!A70</f>
        <v>Substance active 3</v>
      </c>
      <c r="D13" s="271"/>
      <c r="E13" s="271"/>
      <c r="F13" s="271"/>
      <c r="G13" s="271"/>
      <c r="H13" s="272"/>
    </row>
    <row r="14" spans="1:8" ht="15" customHeight="1" x14ac:dyDescent="0.25">
      <c r="A14" s="277" t="str">
        <f>+Textes!A5</f>
        <v>Distance en m sans traitement</v>
      </c>
      <c r="B14" s="18" t="str">
        <f>+Textes!A19</f>
        <v>Eau surface</v>
      </c>
      <c r="C14" s="270" t="str">
        <f>+Textes!A77</f>
        <v>Zone non traitée de X m le long des eaux de surface</v>
      </c>
      <c r="D14" s="271"/>
      <c r="E14" s="271"/>
      <c r="F14" s="271"/>
      <c r="G14" s="271"/>
      <c r="H14" s="272"/>
    </row>
    <row r="15" spans="1:8" x14ac:dyDescent="0.25">
      <c r="A15" s="278"/>
      <c r="B15" s="18" t="str">
        <f>+Textes!A20</f>
        <v>Ruissellement</v>
      </c>
      <c r="C15" s="270" t="str">
        <f>+Textes!A78</f>
        <v>Réduction du risque de ruissellement de X points</v>
      </c>
      <c r="D15" s="271"/>
      <c r="E15" s="271"/>
      <c r="F15" s="271"/>
      <c r="G15" s="271"/>
      <c r="H15" s="272"/>
    </row>
    <row r="16" spans="1:8" x14ac:dyDescent="0.25">
      <c r="A16" s="278"/>
      <c r="B16" s="18" t="str">
        <f>+Textes!A21</f>
        <v>Biotopes</v>
      </c>
      <c r="C16" s="270" t="str">
        <f>+Textes!A79</f>
        <v>Zone non traitée de X m le long des biotopes</v>
      </c>
      <c r="D16" s="271"/>
      <c r="E16" s="271"/>
      <c r="F16" s="271"/>
      <c r="G16" s="271"/>
      <c r="H16" s="272"/>
    </row>
    <row r="17" spans="1:8" s="163" customFormat="1" x14ac:dyDescent="0.25">
      <c r="A17" s="279"/>
      <c r="B17" s="18" t="str">
        <f>+Textes!A22</f>
        <v>Public</v>
      </c>
      <c r="C17" s="270" t="str">
        <f>+Textes!A80</f>
        <v>Zone non traitée de X m le long de zones résidentielles</v>
      </c>
      <c r="D17" s="271"/>
      <c r="E17" s="271"/>
      <c r="F17" s="271"/>
      <c r="G17" s="271"/>
      <c r="H17" s="272"/>
    </row>
    <row r="18" spans="1:8" x14ac:dyDescent="0.25">
      <c r="A18" s="284" t="str">
        <f>+Textes!A6</f>
        <v>Réduction d'utilisation</v>
      </c>
      <c r="B18" s="18" t="str">
        <f>+Textes!A23</f>
        <v>S2</v>
      </c>
      <c r="C18" s="270" t="str">
        <f>+Textes!A155</f>
        <v>Application du produit interdite en zone S2</v>
      </c>
      <c r="D18" s="271"/>
      <c r="E18" s="271"/>
      <c r="F18" s="271"/>
      <c r="G18" s="271"/>
      <c r="H18" s="272"/>
    </row>
    <row r="19" spans="1:8" x14ac:dyDescent="0.25">
      <c r="A19" s="285"/>
      <c r="B19" s="18" t="str">
        <f>+Textes!A24</f>
        <v>K</v>
      </c>
      <c r="C19" s="270" t="str">
        <f>+Textes!A156</f>
        <v>Application du produit interdite en zone karstique</v>
      </c>
      <c r="D19" s="271"/>
      <c r="E19" s="271"/>
      <c r="F19" s="271"/>
      <c r="G19" s="271"/>
      <c r="H19" s="272"/>
    </row>
    <row r="20" spans="1:8" ht="30.75" customHeight="1" x14ac:dyDescent="0.25">
      <c r="A20" s="285"/>
      <c r="B20" s="18" t="str">
        <f>+Textes!A26</f>
        <v>Fréquence</v>
      </c>
      <c r="C20" s="274" t="str">
        <f>+Textes!A157</f>
        <v>Réduction de l'utilisation dans la rotation afin de protéger les eaux souterraines</v>
      </c>
      <c r="D20" s="275"/>
      <c r="E20" s="275"/>
      <c r="F20" s="275"/>
      <c r="G20" s="275"/>
      <c r="H20" s="276"/>
    </row>
    <row r="21" spans="1:8" ht="30.75" customHeight="1" x14ac:dyDescent="0.25">
      <c r="A21" s="283"/>
      <c r="B21" s="18" t="str">
        <f>+Textes!A27</f>
        <v>PAP</v>
      </c>
      <c r="C21" s="274" t="str">
        <f>+Textes!A158</f>
        <v>Prévision de réduction de l'utilisation dans le cadre du plan d'action de la Confédération</v>
      </c>
      <c r="D21" s="275"/>
      <c r="E21" s="275"/>
      <c r="F21" s="275"/>
      <c r="G21" s="275"/>
      <c r="H21" s="276"/>
    </row>
    <row r="22" spans="1:8" x14ac:dyDescent="0.25">
      <c r="A22" s="281" t="str">
        <f>+Textes!A7</f>
        <v>Risques</v>
      </c>
      <c r="B22" s="18" t="str">
        <f>+Textes!A29</f>
        <v>Poisson</v>
      </c>
      <c r="C22" s="270" t="str">
        <f>+Textes!A159</f>
        <v>Dangereux pour le milieu aquatique</v>
      </c>
      <c r="D22" s="271"/>
      <c r="E22" s="271"/>
      <c r="F22" s="271"/>
      <c r="G22" s="271"/>
      <c r="H22" s="272"/>
    </row>
    <row r="23" spans="1:8" x14ac:dyDescent="0.25">
      <c r="A23" s="282"/>
      <c r="B23" s="18" t="str">
        <f>+Textes!A89</f>
        <v>Org. aquatiques</v>
      </c>
      <c r="C23" s="270" t="str">
        <f>+Textes!A160</f>
        <v xml:space="preserve">Potentiel calculé de risque pour les organismes aquatiques </v>
      </c>
      <c r="D23" s="271"/>
      <c r="E23" s="271"/>
      <c r="F23" s="271"/>
      <c r="G23" s="271"/>
      <c r="H23" s="272"/>
    </row>
    <row r="24" spans="1:8" s="163" customFormat="1" x14ac:dyDescent="0.25">
      <c r="A24" s="282"/>
      <c r="B24" s="18" t="str">
        <f>+Textes!A215</f>
        <v>Org. terrestres</v>
      </c>
      <c r="C24" s="270" t="str">
        <f>+Textes!A161</f>
        <v>Potentiel calculé de risque pour les organismes terrestres</v>
      </c>
      <c r="D24" s="271"/>
      <c r="E24" s="271"/>
      <c r="F24" s="271"/>
      <c r="G24" s="271"/>
      <c r="H24" s="272"/>
    </row>
    <row r="25" spans="1:8" x14ac:dyDescent="0.25">
      <c r="A25" s="283"/>
      <c r="B25" s="18" t="str">
        <f>+Textes!A30</f>
        <v>Abeille</v>
      </c>
      <c r="C25" s="270" t="str">
        <f>+Textes!A162</f>
        <v xml:space="preserve">Dangereux pour les abeilles </v>
      </c>
      <c r="D25" s="271"/>
      <c r="E25" s="271"/>
      <c r="F25" s="271"/>
      <c r="G25" s="271"/>
      <c r="H25" s="272"/>
    </row>
    <row r="26" spans="1:8" ht="15" customHeight="1" x14ac:dyDescent="0.25">
      <c r="A26" s="277" t="str">
        <f>+Textes!A8</f>
        <v>Protection utilisateur</v>
      </c>
      <c r="B26" s="18" t="str">
        <f>+Textes!A31</f>
        <v>Visière</v>
      </c>
      <c r="C26" s="270" t="str">
        <f>+Textes!A163</f>
        <v>En plus des gants et d'une tenue de protection, port d'une visière lors de la préparation de la bouillie</v>
      </c>
      <c r="D26" s="271"/>
      <c r="E26" s="271"/>
      <c r="F26" s="271"/>
      <c r="G26" s="271"/>
      <c r="H26" s="272"/>
    </row>
    <row r="27" spans="1:8" ht="15" customHeight="1" x14ac:dyDescent="0.25">
      <c r="A27" s="278"/>
      <c r="B27" s="18" t="str">
        <f>+Textes!A32</f>
        <v>Masque</v>
      </c>
      <c r="C27" s="270" t="str">
        <f>+Textes!A164</f>
        <v>En plus des gants et d'une tenue de protection, port d'un masque lors de la préparation de la bouillie</v>
      </c>
      <c r="D27" s="271"/>
      <c r="E27" s="271"/>
      <c r="F27" s="271"/>
      <c r="G27" s="271"/>
      <c r="H27" s="272"/>
    </row>
    <row r="28" spans="1:8" x14ac:dyDescent="0.25">
      <c r="A28" s="278"/>
      <c r="B28" s="18" t="str">
        <f>+Textes!A33</f>
        <v>Application</v>
      </c>
      <c r="C28" s="270" t="str">
        <f>+Textes!A165</f>
        <v>Prendre des mesures de précaution lors de l'application de la bouillie</v>
      </c>
      <c r="D28" s="271"/>
      <c r="E28" s="271"/>
      <c r="F28" s="271"/>
      <c r="G28" s="271"/>
      <c r="H28" s="272"/>
    </row>
    <row r="29" spans="1:8" x14ac:dyDescent="0.25">
      <c r="A29" s="279"/>
      <c r="B29" s="18" t="str">
        <f>+Textes!A34</f>
        <v>Réentrée</v>
      </c>
      <c r="C29" s="270" t="str">
        <f>+Textes!A166</f>
        <v>Temps d'attente avant le retour au champs sans protection</v>
      </c>
      <c r="D29" s="271"/>
      <c r="E29" s="271"/>
      <c r="F29" s="271"/>
      <c r="G29" s="271"/>
      <c r="H29" s="272"/>
    </row>
    <row r="30" spans="1:8" x14ac:dyDescent="0.25">
      <c r="A30" s="281" t="str">
        <f>+Textes!A9</f>
        <v>Utilisation en PER</v>
      </c>
      <c r="B30" s="18" t="str">
        <f>+Textes!A36</f>
        <v>Céréales</v>
      </c>
      <c r="C30" s="270" t="str">
        <f>+Textes!A167</f>
        <v>Homologation dans les céréales</v>
      </c>
      <c r="D30" s="271"/>
      <c r="E30" s="271"/>
      <c r="F30" s="271"/>
      <c r="G30" s="271"/>
      <c r="H30" s="272"/>
    </row>
    <row r="31" spans="1:8" x14ac:dyDescent="0.25">
      <c r="A31" s="282"/>
      <c r="B31" s="18" t="str">
        <f>+Textes!A37</f>
        <v>Betteraves</v>
      </c>
      <c r="C31" s="270" t="str">
        <f>+Textes!A168</f>
        <v>Homologation dans les betteraves</v>
      </c>
      <c r="D31" s="271"/>
      <c r="E31" s="271"/>
      <c r="F31" s="271"/>
      <c r="G31" s="271"/>
      <c r="H31" s="272"/>
    </row>
    <row r="32" spans="1:8" x14ac:dyDescent="0.25">
      <c r="A32" s="282"/>
      <c r="B32" s="18" t="str">
        <f>+Textes!A38</f>
        <v>Pdt</v>
      </c>
      <c r="C32" s="270" t="str">
        <f>+Textes!A169</f>
        <v>Homologation dans les pommes de terre</v>
      </c>
      <c r="D32" s="271"/>
      <c r="E32" s="271"/>
      <c r="F32" s="271"/>
      <c r="G32" s="271"/>
      <c r="H32" s="272"/>
    </row>
    <row r="33" spans="1:8" x14ac:dyDescent="0.25">
      <c r="A33" s="282"/>
      <c r="B33" s="18" t="str">
        <f>+Textes!A39</f>
        <v>Maïs</v>
      </c>
      <c r="C33" s="270" t="str">
        <f>+Textes!A170</f>
        <v>Homologation dans le maïs</v>
      </c>
      <c r="D33" s="271"/>
      <c r="E33" s="271"/>
      <c r="F33" s="271"/>
      <c r="G33" s="271"/>
      <c r="H33" s="272"/>
    </row>
    <row r="34" spans="1:8" x14ac:dyDescent="0.25">
      <c r="A34" s="282"/>
      <c r="B34" s="18" t="str">
        <f>+Textes!A40</f>
        <v>Colza</v>
      </c>
      <c r="C34" s="270" t="str">
        <f>+Textes!A171</f>
        <v>Homologation dans le colza</v>
      </c>
      <c r="D34" s="271"/>
      <c r="E34" s="271"/>
      <c r="F34" s="271"/>
      <c r="G34" s="271"/>
      <c r="H34" s="272"/>
    </row>
    <row r="35" spans="1:8" x14ac:dyDescent="0.25">
      <c r="A35" s="282"/>
      <c r="B35" s="18" t="str">
        <f>+Textes!A41</f>
        <v>Tournesol</v>
      </c>
      <c r="C35" s="270" t="str">
        <f>+Textes!A172</f>
        <v>Homologation dans le tournesol</v>
      </c>
      <c r="D35" s="271"/>
      <c r="E35" s="271"/>
      <c r="F35" s="271"/>
      <c r="G35" s="271"/>
      <c r="H35" s="272"/>
    </row>
    <row r="36" spans="1:8" x14ac:dyDescent="0.25">
      <c r="A36" s="282"/>
      <c r="B36" s="18" t="str">
        <f>+Textes!A42</f>
        <v>Pois</v>
      </c>
      <c r="C36" s="270" t="str">
        <f>+Textes!A173</f>
        <v>Homologation dans les pois protéagineux</v>
      </c>
      <c r="D36" s="271"/>
      <c r="E36" s="271"/>
      <c r="F36" s="271"/>
      <c r="G36" s="271"/>
      <c r="H36" s="272"/>
    </row>
    <row r="37" spans="1:8" x14ac:dyDescent="0.25">
      <c r="A37" s="282"/>
      <c r="B37" s="18" t="str">
        <f>+Textes!A43</f>
        <v>Soja</v>
      </c>
      <c r="C37" s="270" t="str">
        <f>+Textes!A174</f>
        <v>Homologation dans la féverole, le lupin ou le soja</v>
      </c>
      <c r="D37" s="271"/>
      <c r="E37" s="271"/>
      <c r="F37" s="271"/>
      <c r="G37" s="271"/>
      <c r="H37" s="272"/>
    </row>
    <row r="38" spans="1:8" x14ac:dyDescent="0.25">
      <c r="A38" s="282"/>
      <c r="B38" s="18" t="str">
        <f>+Textes!A46</f>
        <v>Tabac</v>
      </c>
      <c r="C38" s="270" t="str">
        <f>+Textes!A175</f>
        <v>Homologation dans le tabac</v>
      </c>
      <c r="D38" s="271"/>
      <c r="E38" s="271"/>
      <c r="F38" s="271"/>
      <c r="G38" s="271"/>
      <c r="H38" s="272"/>
    </row>
    <row r="39" spans="1:8" x14ac:dyDescent="0.25">
      <c r="A39" s="283"/>
      <c r="B39" s="18" t="str">
        <f>+Textes!A47</f>
        <v>Prairie</v>
      </c>
      <c r="C39" s="270" t="str">
        <f>+Textes!A176</f>
        <v>Homologation dans les prairies</v>
      </c>
      <c r="D39" s="271"/>
      <c r="E39" s="271"/>
      <c r="F39" s="271"/>
      <c r="G39" s="271"/>
      <c r="H39" s="272"/>
    </row>
    <row r="40" spans="1:8" x14ac:dyDescent="0.25">
      <c r="A40" s="166"/>
      <c r="B40" s="18" t="str">
        <f>+Textes!A48</f>
        <v>Etat</v>
      </c>
      <c r="C40" s="270" t="str">
        <f>+Textes!A177</f>
        <v>Version de l'index phytosanitaire de l'OFAG</v>
      </c>
      <c r="D40" s="271"/>
      <c r="E40" s="271"/>
      <c r="F40" s="271"/>
      <c r="G40" s="271"/>
      <c r="H40" s="272"/>
    </row>
    <row r="42" spans="1:8" x14ac:dyDescent="0.25">
      <c r="A42" t="s">
        <v>2056</v>
      </c>
    </row>
  </sheetData>
  <sheetProtection algorithmName="SHA-512" hashValue="KbHuqVaRe5ZwXK1zmpviNoTielZFLwYH76mwGh5uoKQHMyE5tKaNelnwXXjLIDf8YiTaNccSL+FJSsEpCg1OTA==" saltValue="KkzGIX0flC+Ebd+QqkZ5Kg==" spinCount="100000" sheet="1" objects="1" scenarios="1"/>
  <mergeCells count="42">
    <mergeCell ref="A26:A29"/>
    <mergeCell ref="A30:A39"/>
    <mergeCell ref="A14:A17"/>
    <mergeCell ref="C17:H17"/>
    <mergeCell ref="A22:A25"/>
    <mergeCell ref="C23:H23"/>
    <mergeCell ref="C19:H19"/>
    <mergeCell ref="A18:A21"/>
    <mergeCell ref="C21:H21"/>
    <mergeCell ref="C22:H22"/>
    <mergeCell ref="C25:H25"/>
    <mergeCell ref="C26:H26"/>
    <mergeCell ref="C28:H28"/>
    <mergeCell ref="C20:H20"/>
    <mergeCell ref="C14:H14"/>
    <mergeCell ref="C40:H40"/>
    <mergeCell ref="A5:H5"/>
    <mergeCell ref="A6:H6"/>
    <mergeCell ref="C34:H34"/>
    <mergeCell ref="C35:H35"/>
    <mergeCell ref="C36:H36"/>
    <mergeCell ref="C37:H37"/>
    <mergeCell ref="C38:H38"/>
    <mergeCell ref="C39:H39"/>
    <mergeCell ref="C27:H27"/>
    <mergeCell ref="C29:H29"/>
    <mergeCell ref="C30:H30"/>
    <mergeCell ref="C31:H31"/>
    <mergeCell ref="C32:H32"/>
    <mergeCell ref="C33:H33"/>
    <mergeCell ref="C24:H24"/>
    <mergeCell ref="C12:H12"/>
    <mergeCell ref="C16:H16"/>
    <mergeCell ref="C18:H18"/>
    <mergeCell ref="A2:H2"/>
    <mergeCell ref="C8:H8"/>
    <mergeCell ref="C9:H9"/>
    <mergeCell ref="C10:H10"/>
    <mergeCell ref="C11:H11"/>
    <mergeCell ref="A11:A13"/>
    <mergeCell ref="C13:H13"/>
    <mergeCell ref="C15:H15"/>
  </mergeCells>
  <conditionalFormatting sqref="B15">
    <cfRule type="cellIs" dxfId="2358" priority="9" operator="equal">
      <formula>50</formula>
    </cfRule>
    <cfRule type="cellIs" dxfId="2357" priority="10" operator="equal">
      <formula>20</formula>
    </cfRule>
    <cfRule type="cellIs" dxfId="2356" priority="11" operator="equal">
      <formula>6</formula>
    </cfRule>
  </conditionalFormatting>
  <conditionalFormatting sqref="B16:B17">
    <cfRule type="cellIs" dxfId="2355" priority="5" operator="equal">
      <formula>100</formula>
    </cfRule>
    <cfRule type="cellIs" dxfId="2354" priority="6" operator="equal">
      <formula>50</formula>
    </cfRule>
    <cfRule type="cellIs" dxfId="2353" priority="7" operator="equal">
      <formula>20</formula>
    </cfRule>
    <cfRule type="cellIs" dxfId="2352" priority="8" operator="equal">
      <formula>6</formula>
    </cfRule>
  </conditionalFormatting>
  <conditionalFormatting sqref="B18">
    <cfRule type="cellIs" dxfId="2351" priority="4" operator="equal">
      <formula>"oui"</formula>
    </cfRule>
  </conditionalFormatting>
  <conditionalFormatting sqref="B19">
    <cfRule type="cellIs" dxfId="2350" priority="3" operator="equal">
      <formula>"oui"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&amp;LSPP-DGAV&amp;RWWW.vd.ch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Textes!$H$1:$H$3</xm:f>
          </x14:formula1>
          <xm:sqref>D1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7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27.140625" style="121" bestFit="1" customWidth="1"/>
    <col min="2" max="2" width="13.5703125" style="10" bestFit="1" customWidth="1"/>
    <col min="3" max="4" width="11.5703125" style="10" bestFit="1" customWidth="1"/>
  </cols>
  <sheetData>
    <row r="1" spans="1:4" x14ac:dyDescent="0.25">
      <c r="A1" s="80">
        <v>0</v>
      </c>
      <c r="B1" s="258"/>
      <c r="C1" s="258"/>
      <c r="D1" s="258"/>
    </row>
    <row r="2" spans="1:4" x14ac:dyDescent="0.25">
      <c r="A2" s="80" t="s">
        <v>964</v>
      </c>
      <c r="B2" s="258" t="s">
        <v>2031</v>
      </c>
      <c r="C2" s="258" t="s">
        <v>2032</v>
      </c>
      <c r="D2" s="258" t="s">
        <v>2033</v>
      </c>
    </row>
    <row r="3" spans="1:4" x14ac:dyDescent="0.25">
      <c r="A3" s="80" t="s">
        <v>987</v>
      </c>
      <c r="B3" s="259">
        <v>6.1229866125357985E-3</v>
      </c>
      <c r="C3" s="259">
        <v>1.2617913832199507E-3</v>
      </c>
      <c r="D3" s="259" t="e">
        <v>#VALUE!</v>
      </c>
    </row>
    <row r="4" spans="1:4" x14ac:dyDescent="0.25">
      <c r="A4" s="80" t="s">
        <v>112</v>
      </c>
      <c r="B4" s="259">
        <v>6.1903422779014941E-3</v>
      </c>
      <c r="C4" s="259">
        <v>0.26755263157894743</v>
      </c>
      <c r="D4" s="259">
        <v>0</v>
      </c>
    </row>
    <row r="5" spans="1:4" x14ac:dyDescent="0.25">
      <c r="A5" s="80" t="s">
        <v>331</v>
      </c>
      <c r="B5" s="259">
        <v>0.45723341242763194</v>
      </c>
      <c r="C5" s="259">
        <v>17.389062499999994</v>
      </c>
      <c r="D5" s="259">
        <v>1.1770833333333334E-3</v>
      </c>
    </row>
    <row r="6" spans="1:4" x14ac:dyDescent="0.25">
      <c r="A6" s="80" t="s">
        <v>993</v>
      </c>
      <c r="B6" s="259">
        <v>3.4608164860660427E-3</v>
      </c>
      <c r="C6" s="259">
        <v>1.7389062499999997E-4</v>
      </c>
      <c r="D6" s="259">
        <v>5.5555555555555714E-5</v>
      </c>
    </row>
    <row r="7" spans="1:4" x14ac:dyDescent="0.25">
      <c r="A7" s="80" t="s">
        <v>1512</v>
      </c>
      <c r="B7" s="264">
        <v>0</v>
      </c>
      <c r="C7" s="264">
        <v>0</v>
      </c>
      <c r="D7" s="264">
        <v>0</v>
      </c>
    </row>
    <row r="8" spans="1:4" x14ac:dyDescent="0.25">
      <c r="A8" s="80" t="s">
        <v>1513</v>
      </c>
      <c r="B8" s="264">
        <v>0</v>
      </c>
      <c r="C8" s="264">
        <v>0</v>
      </c>
      <c r="D8" s="264">
        <v>0</v>
      </c>
    </row>
    <row r="9" spans="1:4" x14ac:dyDescent="0.25">
      <c r="A9" s="80" t="s">
        <v>264</v>
      </c>
      <c r="B9" s="259">
        <v>7.7145989974937497E-5</v>
      </c>
      <c r="C9" s="259">
        <v>6.0017709563164124E-3</v>
      </c>
      <c r="D9" s="259" t="e">
        <v>#VALUE!</v>
      </c>
    </row>
    <row r="10" spans="1:4" x14ac:dyDescent="0.25">
      <c r="A10" s="80" t="s">
        <v>155</v>
      </c>
      <c r="B10" s="259">
        <v>1.1090567741360656E-2</v>
      </c>
      <c r="C10" s="259">
        <v>0.61618181818181961</v>
      </c>
      <c r="D10" s="259" t="e">
        <v>#VALUE!</v>
      </c>
    </row>
    <row r="11" spans="1:4" x14ac:dyDescent="0.25">
      <c r="A11" s="80" t="s">
        <v>988</v>
      </c>
      <c r="B11" s="259">
        <v>3320.9898737204849</v>
      </c>
      <c r="C11" s="259">
        <v>81.233576642335919</v>
      </c>
      <c r="D11" s="259">
        <v>0</v>
      </c>
    </row>
    <row r="12" spans="1:4" x14ac:dyDescent="0.25">
      <c r="A12" s="80" t="s">
        <v>666</v>
      </c>
      <c r="B12" s="259">
        <v>1.4613686901709865E-3</v>
      </c>
      <c r="C12" s="259">
        <v>1.9962331838565045E-4</v>
      </c>
      <c r="D12" s="259">
        <v>4.3582460500621374E-2</v>
      </c>
    </row>
    <row r="13" spans="1:4" x14ac:dyDescent="0.25">
      <c r="A13" s="80" t="s">
        <v>185</v>
      </c>
      <c r="B13" s="259">
        <v>7.4167421427742799E-3</v>
      </c>
      <c r="C13" s="259">
        <v>7.5873134328358086E-2</v>
      </c>
      <c r="D13" s="259">
        <v>7.6399999999999996E-2</v>
      </c>
    </row>
    <row r="14" spans="1:4" x14ac:dyDescent="0.25">
      <c r="A14" s="80" t="s">
        <v>287</v>
      </c>
      <c r="B14" s="259">
        <v>7.039185462503492E-4</v>
      </c>
      <c r="C14" s="259">
        <v>0.5134848484848491</v>
      </c>
      <c r="D14" s="259" t="e">
        <v>#VALUE!</v>
      </c>
    </row>
    <row r="15" spans="1:4" x14ac:dyDescent="0.25">
      <c r="A15" s="80" t="s">
        <v>911</v>
      </c>
      <c r="B15" s="259">
        <v>3.9745478645455988E-2</v>
      </c>
      <c r="C15" s="259">
        <v>2.2258000000000008E-4</v>
      </c>
      <c r="D15" s="259">
        <v>0</v>
      </c>
    </row>
    <row r="16" spans="1:4" x14ac:dyDescent="0.25">
      <c r="A16" s="80" t="s">
        <v>994</v>
      </c>
      <c r="B16" s="259">
        <v>4.3206182017977243E-4</v>
      </c>
      <c r="C16" s="259">
        <v>0.46213636363636501</v>
      </c>
      <c r="D16" s="259">
        <v>0</v>
      </c>
    </row>
    <row r="17" spans="1:4" x14ac:dyDescent="0.25">
      <c r="A17" s="80" t="s">
        <v>995</v>
      </c>
      <c r="B17" s="259">
        <v>2.9610064584239839E-2</v>
      </c>
      <c r="C17" s="259">
        <v>1.8846740050804435E-3</v>
      </c>
      <c r="D17" s="259">
        <v>1.6129032258064516E-3</v>
      </c>
    </row>
    <row r="18" spans="1:4" x14ac:dyDescent="0.25">
      <c r="A18" s="80" t="s">
        <v>996</v>
      </c>
      <c r="B18" s="259">
        <v>1.0222864887489363E-2</v>
      </c>
      <c r="C18" s="259">
        <v>1.1128999999999986E-4</v>
      </c>
      <c r="D18" s="259">
        <v>1.1269177126917699E-2</v>
      </c>
    </row>
    <row r="19" spans="1:4" x14ac:dyDescent="0.25">
      <c r="A19" s="80" t="s">
        <v>341</v>
      </c>
      <c r="B19" s="264">
        <v>0</v>
      </c>
      <c r="C19" s="264">
        <v>0</v>
      </c>
      <c r="D19" s="264">
        <v>0</v>
      </c>
    </row>
    <row r="20" spans="1:4" x14ac:dyDescent="0.25">
      <c r="A20" s="80" t="s">
        <v>161</v>
      </c>
      <c r="B20" s="259">
        <v>1.1456183811480161E-5</v>
      </c>
      <c r="C20" s="259">
        <v>7.820769230769252E-2</v>
      </c>
      <c r="D20" s="259">
        <v>2.8109028960817717E-5</v>
      </c>
    </row>
    <row r="21" spans="1:4" x14ac:dyDescent="0.25">
      <c r="A21" s="80" t="s">
        <v>56</v>
      </c>
      <c r="B21" s="259">
        <v>0.26794588639623201</v>
      </c>
      <c r="C21" s="259">
        <v>3.9394690265486761E-2</v>
      </c>
      <c r="D21" s="259">
        <v>1.3533333333333333E-3</v>
      </c>
    </row>
    <row r="22" spans="1:4" x14ac:dyDescent="0.25">
      <c r="A22" s="80" t="s">
        <v>16</v>
      </c>
      <c r="B22" s="259">
        <v>2.0448156590477357E-2</v>
      </c>
      <c r="C22" s="259">
        <v>4.4515999999999979E-2</v>
      </c>
      <c r="D22" s="259" t="e">
        <v>#VALUE!</v>
      </c>
    </row>
    <row r="23" spans="1:4" x14ac:dyDescent="0.25">
      <c r="A23" s="80" t="s">
        <v>997</v>
      </c>
      <c r="B23" s="259">
        <v>8.3039250006019833E-4</v>
      </c>
      <c r="C23" s="259">
        <v>1.1129000000000005E-4</v>
      </c>
      <c r="D23" s="259">
        <v>1.6463768115942028E-3</v>
      </c>
    </row>
    <row r="24" spans="1:4" x14ac:dyDescent="0.25">
      <c r="A24" s="80" t="s">
        <v>1470</v>
      </c>
      <c r="B24" s="259">
        <v>5.2097271781297048E-2</v>
      </c>
      <c r="C24" s="259">
        <v>2.5160774602803768E-4</v>
      </c>
      <c r="D24" s="259" t="e">
        <v>#VALUE!</v>
      </c>
    </row>
    <row r="25" spans="1:4" x14ac:dyDescent="0.25">
      <c r="A25" s="80" t="s">
        <v>998</v>
      </c>
      <c r="B25" s="259">
        <v>7.4665501337855119E-3</v>
      </c>
      <c r="C25" s="259">
        <v>3.2378980891719773</v>
      </c>
      <c r="D25" s="259">
        <v>0.26738333333333331</v>
      </c>
    </row>
    <row r="26" spans="1:4" x14ac:dyDescent="0.25">
      <c r="A26" s="80" t="s">
        <v>324</v>
      </c>
      <c r="B26" s="259">
        <v>0.10382046637581249</v>
      </c>
      <c r="C26" s="259">
        <v>0.24193478260869558</v>
      </c>
      <c r="D26" s="259">
        <v>1.1250000000000001E-2</v>
      </c>
    </row>
    <row r="27" spans="1:4" x14ac:dyDescent="0.25">
      <c r="A27" s="80" t="s">
        <v>362</v>
      </c>
      <c r="B27" s="259">
        <v>3.42336277365587E-5</v>
      </c>
      <c r="C27" s="259">
        <v>2.4731111111111088E-4</v>
      </c>
      <c r="D27" s="259" t="e">
        <v>#VALUE!</v>
      </c>
    </row>
    <row r="28" spans="1:4" x14ac:dyDescent="0.25">
      <c r="A28" s="80" t="s">
        <v>1037</v>
      </c>
      <c r="B28" s="259">
        <v>3.112068514200074E-3</v>
      </c>
      <c r="C28" s="259">
        <v>0.12708750000000005</v>
      </c>
      <c r="D28" s="259">
        <v>1.4716703458425313E-6</v>
      </c>
    </row>
    <row r="29" spans="1:4" x14ac:dyDescent="0.25">
      <c r="A29" s="80" t="s">
        <v>1033</v>
      </c>
      <c r="B29" s="259">
        <v>3.0988421675994519E-5</v>
      </c>
      <c r="C29" s="259">
        <v>1.4951470588235334</v>
      </c>
      <c r="D29" s="259">
        <v>2.3566878980891721E-2</v>
      </c>
    </row>
    <row r="30" spans="1:4" x14ac:dyDescent="0.25">
      <c r="A30" s="80" t="s">
        <v>1030</v>
      </c>
      <c r="B30" s="259">
        <v>2.4773242630385483E-3</v>
      </c>
      <c r="C30" s="259">
        <v>0.34842357779300942</v>
      </c>
      <c r="D30" s="259">
        <v>2.8985507246376814E-5</v>
      </c>
    </row>
    <row r="31" spans="1:4" x14ac:dyDescent="0.25">
      <c r="A31" s="80" t="s">
        <v>178</v>
      </c>
      <c r="B31" s="259">
        <v>3.8246486037649054E-4</v>
      </c>
      <c r="C31" s="259">
        <v>1.1296666666666662</v>
      </c>
      <c r="D31" s="259">
        <v>3.0952380952380953E-5</v>
      </c>
    </row>
    <row r="32" spans="1:4" x14ac:dyDescent="0.25">
      <c r="A32" s="80" t="s">
        <v>126</v>
      </c>
      <c r="B32" s="259">
        <v>4.1009097903092002E-6</v>
      </c>
      <c r="C32" s="259">
        <v>0.23372413793103508</v>
      </c>
      <c r="D32" s="259" t="e">
        <v>#VALUE!</v>
      </c>
    </row>
    <row r="33" spans="1:4" x14ac:dyDescent="0.25">
      <c r="A33" s="80" t="s">
        <v>300</v>
      </c>
      <c r="B33" s="259">
        <v>5.7653379310146943E-5</v>
      </c>
      <c r="C33" s="259">
        <v>2.2257999999999981E-4</v>
      </c>
      <c r="D33" s="259" t="e">
        <v>#VALUE!</v>
      </c>
    </row>
    <row r="34" spans="1:4" x14ac:dyDescent="0.25">
      <c r="A34" s="80" t="s">
        <v>45</v>
      </c>
      <c r="B34" s="264">
        <v>0</v>
      </c>
      <c r="C34" s="264">
        <v>0</v>
      </c>
      <c r="D34" s="264">
        <v>0</v>
      </c>
    </row>
    <row r="35" spans="1:4" x14ac:dyDescent="0.25">
      <c r="A35" s="80" t="s">
        <v>1034</v>
      </c>
      <c r="B35" s="259">
        <v>3.1898537692165003E-3</v>
      </c>
      <c r="C35" s="259">
        <v>4.3472656249999991E-3</v>
      </c>
      <c r="D35" s="259">
        <v>1.2048192771084337E-5</v>
      </c>
    </row>
    <row r="36" spans="1:4" x14ac:dyDescent="0.25">
      <c r="A36" s="80" t="s">
        <v>1026</v>
      </c>
      <c r="B36" s="259">
        <v>7.1755527709164422E-6</v>
      </c>
      <c r="C36" s="259">
        <v>0.52407216494845354</v>
      </c>
      <c r="D36" s="259">
        <v>2.8313253012048192E-4</v>
      </c>
    </row>
    <row r="37" spans="1:4" x14ac:dyDescent="0.25">
      <c r="A37" s="80" t="s">
        <v>52</v>
      </c>
      <c r="B37" s="259">
        <v>3.8792396542138997E-3</v>
      </c>
      <c r="C37" s="259">
        <v>2.2257999999999965E-4</v>
      </c>
      <c r="D37" s="259">
        <v>0.12614705882352939</v>
      </c>
    </row>
    <row r="38" spans="1:4" x14ac:dyDescent="0.25">
      <c r="A38" s="80" t="s">
        <v>30</v>
      </c>
      <c r="B38" s="259">
        <v>1.6415364039476304E-3</v>
      </c>
      <c r="C38" s="259">
        <v>4.4075247524752482E-2</v>
      </c>
      <c r="D38" s="259">
        <v>2.6434426229508199E-4</v>
      </c>
    </row>
    <row r="39" spans="1:4" x14ac:dyDescent="0.25">
      <c r="A39" s="80" t="s">
        <v>1035</v>
      </c>
      <c r="B39" s="259">
        <v>3262.2665349157237</v>
      </c>
      <c r="C39" s="259">
        <v>191.87931034482719</v>
      </c>
      <c r="D39" s="259">
        <v>0</v>
      </c>
    </row>
    <row r="40" spans="1:4" x14ac:dyDescent="0.25">
      <c r="A40" s="80" t="s">
        <v>18</v>
      </c>
      <c r="B40" s="259">
        <v>4.865463873335767E-3</v>
      </c>
      <c r="C40" s="259">
        <v>2.1821568627450966E-2</v>
      </c>
      <c r="D40" s="259">
        <v>5.308641975308642E-4</v>
      </c>
    </row>
    <row r="41" spans="1:4" x14ac:dyDescent="0.25">
      <c r="A41" s="80" t="s">
        <v>104</v>
      </c>
      <c r="B41" s="259">
        <v>2.8137716101112476E-2</v>
      </c>
      <c r="C41" s="259">
        <v>1.2365555555555537E-3</v>
      </c>
      <c r="D41" s="259">
        <v>0</v>
      </c>
    </row>
    <row r="42" spans="1:4" x14ac:dyDescent="0.25">
      <c r="A42" s="80" t="s">
        <v>1005</v>
      </c>
      <c r="B42" s="264">
        <v>0</v>
      </c>
      <c r="C42" s="264">
        <v>0</v>
      </c>
      <c r="D42" s="264">
        <v>0</v>
      </c>
    </row>
    <row r="43" spans="1:4" x14ac:dyDescent="0.25">
      <c r="A43" s="80" t="s">
        <v>316</v>
      </c>
      <c r="B43" s="259">
        <v>11273.446673207216</v>
      </c>
      <c r="C43" s="259">
        <v>14.838666666666592</v>
      </c>
      <c r="D43" s="259">
        <v>0</v>
      </c>
    </row>
    <row r="44" spans="1:4" x14ac:dyDescent="0.25">
      <c r="A44" s="80" t="s">
        <v>142</v>
      </c>
      <c r="B44" s="259">
        <v>1.2748114634746652E-4</v>
      </c>
      <c r="C44" s="259">
        <v>0.21181249999999952</v>
      </c>
      <c r="D44" s="259">
        <v>0</v>
      </c>
    </row>
    <row r="45" spans="1:4" x14ac:dyDescent="0.25">
      <c r="A45" s="80" t="s">
        <v>1014</v>
      </c>
      <c r="B45" s="259">
        <v>1.6728241343612518E-2</v>
      </c>
      <c r="C45" s="259">
        <v>5.5784461152882318E-2</v>
      </c>
      <c r="D45" s="259">
        <v>0</v>
      </c>
    </row>
    <row r="46" spans="1:4" x14ac:dyDescent="0.25">
      <c r="A46" s="80" t="s">
        <v>999</v>
      </c>
      <c r="B46" s="259">
        <v>0.13681417456995462</v>
      </c>
      <c r="C46" s="259">
        <v>1.7651041666666645</v>
      </c>
      <c r="D46" s="259">
        <v>4.8912087912087905E-2</v>
      </c>
    </row>
    <row r="47" spans="1:4" x14ac:dyDescent="0.25">
      <c r="A47" s="80" t="s">
        <v>1018</v>
      </c>
      <c r="B47" s="259">
        <v>7.4594852181814409E-3</v>
      </c>
      <c r="C47" s="259">
        <v>0.12103571428571425</v>
      </c>
      <c r="D47" s="259">
        <v>0.16976976976976932</v>
      </c>
    </row>
    <row r="48" spans="1:4" x14ac:dyDescent="0.25">
      <c r="A48" s="80" t="s">
        <v>1008</v>
      </c>
      <c r="B48" s="259">
        <v>7.9907045034994031E-3</v>
      </c>
      <c r="C48" s="259">
        <v>0.25215773809523817</v>
      </c>
      <c r="D48" s="259">
        <v>2.7615134099616894E-2</v>
      </c>
    </row>
    <row r="49" spans="1:4" x14ac:dyDescent="0.25">
      <c r="A49" s="80" t="s">
        <v>1001</v>
      </c>
      <c r="B49" s="259">
        <v>1.9883998521853445E-3</v>
      </c>
      <c r="C49" s="259">
        <v>6.8697530864197487E-4</v>
      </c>
      <c r="D49" s="259" t="e">
        <v>#VALUE!</v>
      </c>
    </row>
    <row r="50" spans="1:4" x14ac:dyDescent="0.25">
      <c r="A50" s="80" t="s">
        <v>1002</v>
      </c>
      <c r="B50" s="259">
        <v>1.3588291330209139</v>
      </c>
      <c r="C50" s="259">
        <v>20.84082397003742</v>
      </c>
      <c r="D50" s="259">
        <v>0</v>
      </c>
    </row>
    <row r="51" spans="1:4" x14ac:dyDescent="0.25">
      <c r="A51" s="80" t="s">
        <v>1019</v>
      </c>
      <c r="B51" s="259">
        <v>2.5996788771122261E-6</v>
      </c>
      <c r="C51" s="259">
        <v>3.8113013698630191E-3</v>
      </c>
      <c r="D51" s="259" t="e">
        <v>#VALUE!</v>
      </c>
    </row>
    <row r="52" spans="1:4" x14ac:dyDescent="0.25">
      <c r="A52" s="80" t="s">
        <v>1015</v>
      </c>
      <c r="B52" s="259">
        <v>7.6832447944254016E-4</v>
      </c>
      <c r="C52" s="259">
        <v>0.10269696969696973</v>
      </c>
      <c r="D52" s="259">
        <v>0</v>
      </c>
    </row>
    <row r="53" spans="1:4" x14ac:dyDescent="0.25">
      <c r="A53" s="80" t="s">
        <v>322</v>
      </c>
      <c r="B53" s="259">
        <v>5.4521741909058852</v>
      </c>
      <c r="C53" s="259">
        <v>1.4838666666666633</v>
      </c>
      <c r="D53" s="259">
        <v>0</v>
      </c>
    </row>
    <row r="54" spans="1:4" x14ac:dyDescent="0.25">
      <c r="A54" s="80" t="s">
        <v>1027</v>
      </c>
      <c r="B54" s="259">
        <v>1.1583149775919246E-2</v>
      </c>
      <c r="C54" s="259">
        <v>0.81728295819935737</v>
      </c>
      <c r="D54" s="259">
        <v>0</v>
      </c>
    </row>
    <row r="55" spans="1:4" x14ac:dyDescent="0.25">
      <c r="A55" s="80" t="s">
        <v>1013</v>
      </c>
      <c r="B55" s="259">
        <v>9.5208009262880908E-2</v>
      </c>
      <c r="C55" s="259">
        <v>4.8386956521739144E-4</v>
      </c>
      <c r="D55" s="259">
        <v>9.0163934426229505E-5</v>
      </c>
    </row>
    <row r="56" spans="1:4" x14ac:dyDescent="0.25">
      <c r="A56" s="80" t="s">
        <v>668</v>
      </c>
      <c r="B56" s="259">
        <v>1.4206739117370473E-5</v>
      </c>
      <c r="C56" s="259">
        <v>2.2257999999999986E-4</v>
      </c>
      <c r="D56" s="259">
        <v>0</v>
      </c>
    </row>
    <row r="57" spans="1:4" x14ac:dyDescent="0.25">
      <c r="A57" s="80" t="s">
        <v>1010</v>
      </c>
      <c r="B57" s="259">
        <v>4.7340326591888637E-2</v>
      </c>
      <c r="C57" s="259">
        <v>22.898648648648638</v>
      </c>
      <c r="D57" s="259">
        <v>0.12296</v>
      </c>
    </row>
    <row r="58" spans="1:4" x14ac:dyDescent="0.25">
      <c r="A58" s="80" t="s">
        <v>1028</v>
      </c>
      <c r="B58" s="259">
        <v>8.4349611313851429E-4</v>
      </c>
      <c r="C58" s="259">
        <v>0.55862637362637269</v>
      </c>
      <c r="D58" s="259">
        <v>2.0013944223107569E-2</v>
      </c>
    </row>
    <row r="59" spans="1:4" x14ac:dyDescent="0.25">
      <c r="A59" s="80" t="s">
        <v>60</v>
      </c>
      <c r="B59" s="259">
        <v>3.2301534912762518E-2</v>
      </c>
      <c r="C59" s="259">
        <v>0.11556593977154699</v>
      </c>
      <c r="D59" s="259">
        <v>0</v>
      </c>
    </row>
    <row r="60" spans="1:4" x14ac:dyDescent="0.25">
      <c r="A60" s="80" t="s">
        <v>82</v>
      </c>
      <c r="B60" s="259">
        <v>1.0614517934628928E-2</v>
      </c>
      <c r="C60" s="259">
        <v>2.2037623762376262E-4</v>
      </c>
      <c r="D60" s="259">
        <v>3.0082987551867217E-3</v>
      </c>
    </row>
    <row r="61" spans="1:4" x14ac:dyDescent="0.25">
      <c r="A61" s="80" t="s">
        <v>143</v>
      </c>
      <c r="B61" s="259">
        <v>3.5046636651031575E-2</v>
      </c>
      <c r="C61" s="259">
        <v>0.48414285714285726</v>
      </c>
      <c r="D61" s="259">
        <v>2.346521739130435E-2</v>
      </c>
    </row>
    <row r="62" spans="1:4" x14ac:dyDescent="0.25">
      <c r="A62" s="80" t="s">
        <v>74</v>
      </c>
      <c r="B62" s="259">
        <v>1.7334096583036045E-3</v>
      </c>
      <c r="C62" s="259">
        <v>4.4515999999999974E-3</v>
      </c>
      <c r="D62" s="259">
        <v>1.9134613392986614E-2</v>
      </c>
    </row>
    <row r="63" spans="1:4" x14ac:dyDescent="0.25">
      <c r="A63" s="80" t="s">
        <v>92</v>
      </c>
      <c r="B63" s="259">
        <v>8.3454317711699878E-4</v>
      </c>
      <c r="C63" s="259">
        <v>2.1757575757575741E-4</v>
      </c>
      <c r="D63" s="259">
        <v>5.2147239263803683E-5</v>
      </c>
    </row>
    <row r="64" spans="1:4" x14ac:dyDescent="0.25">
      <c r="A64" s="80" t="s">
        <v>951</v>
      </c>
      <c r="B64" s="259">
        <v>1.6390752546734038E-2</v>
      </c>
      <c r="C64" s="259">
        <v>0.32636363636363636</v>
      </c>
      <c r="D64" s="259">
        <v>2.0054945054945053E-2</v>
      </c>
    </row>
    <row r="65" spans="1:4" x14ac:dyDescent="0.25">
      <c r="A65" s="80" t="s">
        <v>215</v>
      </c>
      <c r="B65" s="259">
        <v>2.3786869174074908E-3</v>
      </c>
      <c r="C65" s="259">
        <v>1.0417008196721365</v>
      </c>
      <c r="D65" s="259">
        <v>1.7307692307692309E-5</v>
      </c>
    </row>
    <row r="66" spans="1:4" x14ac:dyDescent="0.25">
      <c r="A66" s="80" t="s">
        <v>67</v>
      </c>
      <c r="B66" s="259">
        <v>4.4586848099864888E-4</v>
      </c>
      <c r="C66" s="259">
        <v>1.0665069477719212E-4</v>
      </c>
      <c r="D66" s="259" t="e">
        <v>#VALUE!</v>
      </c>
    </row>
    <row r="67" spans="1:4" x14ac:dyDescent="0.25">
      <c r="A67" s="80" t="s">
        <v>1004</v>
      </c>
      <c r="B67" s="259">
        <v>3.5901894023779488E-3</v>
      </c>
      <c r="C67" s="259">
        <v>1.0991604938271568E-2</v>
      </c>
      <c r="D67" s="259">
        <v>4.7285581395348837E-2</v>
      </c>
    </row>
    <row r="68" spans="1:4" x14ac:dyDescent="0.25">
      <c r="A68" s="80" t="s">
        <v>195</v>
      </c>
      <c r="B68" s="259">
        <v>0.10026205234913933</v>
      </c>
      <c r="C68" s="259">
        <v>5.4079787234042476</v>
      </c>
      <c r="D68" s="259">
        <v>0</v>
      </c>
    </row>
    <row r="69" spans="1:4" x14ac:dyDescent="0.25">
      <c r="A69" s="80" t="s">
        <v>228</v>
      </c>
      <c r="B69" s="259">
        <v>1.0736152698919687E-4</v>
      </c>
      <c r="C69" s="259">
        <v>0.46146514161220092</v>
      </c>
      <c r="D69" s="259">
        <v>0</v>
      </c>
    </row>
    <row r="70" spans="1:4" x14ac:dyDescent="0.25">
      <c r="A70" s="80" t="s">
        <v>1592</v>
      </c>
      <c r="B70" s="264">
        <v>0</v>
      </c>
      <c r="C70" s="264">
        <v>0</v>
      </c>
      <c r="D70" s="264">
        <v>0</v>
      </c>
    </row>
    <row r="71" spans="1:4" x14ac:dyDescent="0.25">
      <c r="A71" s="80" t="s">
        <v>332</v>
      </c>
      <c r="B71" s="259">
        <v>2.410712470214823E-4</v>
      </c>
      <c r="C71" s="259">
        <v>2.1006040015100064E-4</v>
      </c>
      <c r="D71" s="259" t="e">
        <v>#VALUE!</v>
      </c>
    </row>
    <row r="72" spans="1:4" x14ac:dyDescent="0.25">
      <c r="A72" s="80" t="s">
        <v>334</v>
      </c>
      <c r="B72" s="259">
        <v>1.0693930988686516E-3</v>
      </c>
      <c r="C72" s="259">
        <v>1.038152985074624E-4</v>
      </c>
      <c r="D72" s="259" t="e">
        <v>#VALUE!</v>
      </c>
    </row>
    <row r="73" spans="1:4" x14ac:dyDescent="0.25">
      <c r="A73" s="80" t="s">
        <v>368</v>
      </c>
      <c r="B73" s="259">
        <v>9.5994355868998213E-5</v>
      </c>
      <c r="C73" s="259">
        <v>5.5645000000000009E-3</v>
      </c>
      <c r="D73" s="259" t="e">
        <v>#VALUE!</v>
      </c>
    </row>
    <row r="74" spans="1:4" x14ac:dyDescent="0.25">
      <c r="A74" s="80" t="s">
        <v>69</v>
      </c>
      <c r="B74" s="259">
        <v>5.2097271781297062E-2</v>
      </c>
      <c r="C74" s="259">
        <v>5.0062977957714909E-4</v>
      </c>
      <c r="D74" s="259" t="e">
        <v>#VALUE!</v>
      </c>
    </row>
    <row r="75" spans="1:4" x14ac:dyDescent="0.25">
      <c r="A75" s="80" t="s">
        <v>165</v>
      </c>
      <c r="B75" s="259">
        <v>6.2192281089244678E-3</v>
      </c>
      <c r="C75" s="259">
        <v>10.167000000000007</v>
      </c>
      <c r="D75" s="259">
        <v>2.2268292682926832E-2</v>
      </c>
    </row>
    <row r="76" spans="1:4" x14ac:dyDescent="0.25">
      <c r="A76" s="80" t="s">
        <v>1011</v>
      </c>
      <c r="B76" s="259">
        <v>3.1995500945508622E-3</v>
      </c>
      <c r="C76" s="259">
        <v>0.32636363636363569</v>
      </c>
      <c r="D76" s="259">
        <v>1.6666666666666667E-5</v>
      </c>
    </row>
    <row r="77" spans="1:4" x14ac:dyDescent="0.25">
      <c r="A77" s="80" t="s">
        <v>133</v>
      </c>
      <c r="B77" s="259">
        <v>9.6945260423631316E-2</v>
      </c>
      <c r="C77" s="259">
        <v>141.20833333333326</v>
      </c>
      <c r="D77" s="259">
        <v>5.2428571428571429E-2</v>
      </c>
    </row>
    <row r="78" spans="1:4" x14ac:dyDescent="0.25">
      <c r="A78" s="80" t="s">
        <v>211</v>
      </c>
      <c r="B78" s="259">
        <v>3.2980161622438667E-3</v>
      </c>
      <c r="C78" s="259">
        <v>1.2365555555555532E-2</v>
      </c>
      <c r="D78" s="259" t="e">
        <v>#VALUE!</v>
      </c>
    </row>
    <row r="79" spans="1:4" x14ac:dyDescent="0.25">
      <c r="A79" s="80" t="s">
        <v>115</v>
      </c>
      <c r="B79" s="259">
        <v>1.6333616467812329E-2</v>
      </c>
      <c r="C79" s="259">
        <v>1.0758730158730165</v>
      </c>
      <c r="D79" s="259">
        <v>6.1913793103448279E-2</v>
      </c>
    </row>
    <row r="80" spans="1:4" x14ac:dyDescent="0.25">
      <c r="A80" s="80" t="s">
        <v>667</v>
      </c>
      <c r="B80" s="264">
        <v>0</v>
      </c>
      <c r="C80" s="264">
        <v>0</v>
      </c>
      <c r="D80" s="264">
        <v>0</v>
      </c>
    </row>
    <row r="81" spans="1:4" x14ac:dyDescent="0.25">
      <c r="A81" s="80" t="s">
        <v>1029</v>
      </c>
      <c r="B81" s="259">
        <v>6206.0239675347784</v>
      </c>
      <c r="C81" s="259">
        <v>654.64705882352837</v>
      </c>
      <c r="D81" s="259">
        <v>3.3500000000000001E-3</v>
      </c>
    </row>
    <row r="82" spans="1:4" x14ac:dyDescent="0.25">
      <c r="A82" s="80" t="s">
        <v>76</v>
      </c>
      <c r="B82" s="259">
        <v>1.40368962843349E-5</v>
      </c>
      <c r="C82" s="259">
        <v>1.4051767676767648E-3</v>
      </c>
      <c r="D82" s="259" t="e">
        <v>#VALUE!</v>
      </c>
    </row>
    <row r="83" spans="1:4" x14ac:dyDescent="0.25">
      <c r="A83" s="80" t="s">
        <v>933</v>
      </c>
      <c r="B83" s="264">
        <v>0</v>
      </c>
      <c r="C83" s="259">
        <v>2.2258000000000003E-4</v>
      </c>
      <c r="D83" s="259" t="e">
        <v>#VALUE!</v>
      </c>
    </row>
    <row r="84" spans="1:4" x14ac:dyDescent="0.25">
      <c r="A84" s="80" t="s">
        <v>991</v>
      </c>
      <c r="B84" s="259">
        <v>1.586331304119646E-2</v>
      </c>
      <c r="C84" s="259">
        <v>2.8687923250564382E-2</v>
      </c>
      <c r="D84" s="259">
        <v>4.6712802768166092E-5</v>
      </c>
    </row>
    <row r="85" spans="1:4" x14ac:dyDescent="0.25">
      <c r="A85" s="80" t="s">
        <v>97</v>
      </c>
      <c r="B85" s="259">
        <v>1.35233242790124E-3</v>
      </c>
      <c r="C85" s="259">
        <v>1.1128999999999992E-4</v>
      </c>
      <c r="D85" s="259">
        <v>0</v>
      </c>
    </row>
    <row r="86" spans="1:4" x14ac:dyDescent="0.25">
      <c r="A86" s="80" t="s">
        <v>157</v>
      </c>
      <c r="B86" s="259">
        <v>1.5028820489843011E-3</v>
      </c>
      <c r="C86" s="259">
        <v>1.016699999999996E-4</v>
      </c>
      <c r="D86" s="259" t="e">
        <v>#VALUE!</v>
      </c>
    </row>
    <row r="87" spans="1:4" x14ac:dyDescent="0.25">
      <c r="A87" s="80" t="s">
        <v>205</v>
      </c>
      <c r="B87" s="259">
        <v>2.4597085237533582E-4</v>
      </c>
      <c r="C87" s="259">
        <v>2.0333999999999961E-4</v>
      </c>
      <c r="D87" s="259" t="e">
        <v>#VALUE!</v>
      </c>
    </row>
    <row r="88" spans="1:4" x14ac:dyDescent="0.25">
      <c r="A88" s="80" t="s">
        <v>1022</v>
      </c>
      <c r="B88" s="259">
        <v>6.2749339054908056E-5</v>
      </c>
      <c r="C88" s="259">
        <v>0.26476562500000017</v>
      </c>
      <c r="D88" s="259" t="e">
        <v>#VALUE!</v>
      </c>
    </row>
    <row r="89" spans="1:4" x14ac:dyDescent="0.25">
      <c r="A89" s="80" t="s">
        <v>1007</v>
      </c>
      <c r="B89" s="259">
        <v>7.8027178907194388E-4</v>
      </c>
      <c r="C89" s="259">
        <v>2.2593333333333265E-5</v>
      </c>
      <c r="D89" s="259" t="e">
        <v>#VALUE!</v>
      </c>
    </row>
    <row r="90" spans="1:4" x14ac:dyDescent="0.25">
      <c r="A90" s="80" t="s">
        <v>1020</v>
      </c>
      <c r="B90" s="259">
        <v>3.6072923078846903E-5</v>
      </c>
      <c r="C90" s="259">
        <v>3.375492872308154E-3</v>
      </c>
      <c r="D90" s="259" t="e">
        <v>#VALUE!</v>
      </c>
    </row>
    <row r="91" spans="1:4" x14ac:dyDescent="0.25">
      <c r="A91" s="80" t="s">
        <v>1006</v>
      </c>
      <c r="B91" s="259">
        <v>7.8102386676850835E-2</v>
      </c>
      <c r="C91" s="259">
        <v>18.827777777777754</v>
      </c>
      <c r="D91" s="259">
        <v>0.12344444444444444</v>
      </c>
    </row>
    <row r="92" spans="1:4" x14ac:dyDescent="0.25">
      <c r="A92" s="80" t="s">
        <v>989</v>
      </c>
      <c r="B92" s="259">
        <v>2.9979222467685718E-3</v>
      </c>
      <c r="C92" s="259">
        <v>29.384393063583676</v>
      </c>
      <c r="D92" s="259">
        <v>9.6453900709219862E-4</v>
      </c>
    </row>
    <row r="93" spans="1:4" x14ac:dyDescent="0.25">
      <c r="A93" s="80" t="s">
        <v>1024</v>
      </c>
      <c r="B93" s="259">
        <v>9.7444866162668171E-5</v>
      </c>
      <c r="C93" s="259">
        <v>3.6203643461288366E-3</v>
      </c>
      <c r="D93" s="259">
        <v>0.10246607669616549</v>
      </c>
    </row>
    <row r="94" spans="1:4" x14ac:dyDescent="0.25">
      <c r="A94" s="80" t="s">
        <v>356</v>
      </c>
      <c r="B94" s="259">
        <v>1.1100146356915025E-5</v>
      </c>
      <c r="C94" s="259">
        <v>1.9697345132743384E-4</v>
      </c>
      <c r="D94" s="259" t="e">
        <v>#VALUE!</v>
      </c>
    </row>
    <row r="95" spans="1:4" x14ac:dyDescent="0.25">
      <c r="A95" s="80" t="s">
        <v>1017</v>
      </c>
      <c r="B95" s="259">
        <v>1.8314210538937712E-4</v>
      </c>
      <c r="C95" s="259">
        <v>0.19255681818181769</v>
      </c>
      <c r="D95" s="259">
        <v>5.8280922431865833E-5</v>
      </c>
    </row>
    <row r="96" spans="1:4" x14ac:dyDescent="0.25">
      <c r="A96" s="80" t="s">
        <v>1016</v>
      </c>
      <c r="B96" s="259">
        <v>1.5950623457647934E-2</v>
      </c>
      <c r="C96" s="259">
        <v>0.28965811965811972</v>
      </c>
      <c r="D96" s="259">
        <v>0.19012640091071406</v>
      </c>
    </row>
    <row r="97" spans="1:4" x14ac:dyDescent="0.25">
      <c r="A97" s="80" t="s">
        <v>1021</v>
      </c>
      <c r="B97" s="259">
        <v>3.2187931250636466E-2</v>
      </c>
      <c r="C97" s="259">
        <v>6.6244047619047591E-2</v>
      </c>
      <c r="D97" s="259">
        <v>7.59493670886076E-5</v>
      </c>
    </row>
    <row r="98" spans="1:4" x14ac:dyDescent="0.25">
      <c r="A98" s="80" t="s">
        <v>1510</v>
      </c>
      <c r="B98" s="264">
        <v>0</v>
      </c>
      <c r="C98" s="264">
        <v>0</v>
      </c>
      <c r="D98" s="264">
        <v>0</v>
      </c>
    </row>
    <row r="99" spans="1:4" x14ac:dyDescent="0.25">
      <c r="A99" s="80" t="s">
        <v>1332</v>
      </c>
      <c r="B99" s="259">
        <v>3.0766947223010981E-2</v>
      </c>
      <c r="C99" s="259">
        <v>7.0885350318471351E-3</v>
      </c>
      <c r="D99" s="259">
        <v>0</v>
      </c>
    </row>
    <row r="100" spans="1:4" x14ac:dyDescent="0.25">
      <c r="A100" s="80" t="s">
        <v>1032</v>
      </c>
      <c r="B100" s="259">
        <v>3.7987331002063403E-4</v>
      </c>
      <c r="C100" s="259">
        <v>9.2849315068493116E-2</v>
      </c>
      <c r="D100" s="259">
        <v>0</v>
      </c>
    </row>
    <row r="101" spans="1:4" x14ac:dyDescent="0.25">
      <c r="A101" s="80" t="s">
        <v>1012</v>
      </c>
      <c r="B101" s="259">
        <v>1.0078174670739671E-2</v>
      </c>
      <c r="C101" s="259">
        <v>1.1003246753246736</v>
      </c>
      <c r="D101" s="259">
        <v>3.5738007380073801E-2</v>
      </c>
    </row>
    <row r="102" spans="1:4" x14ac:dyDescent="0.25">
      <c r="A102" s="80" t="s">
        <v>123</v>
      </c>
      <c r="B102" s="259">
        <v>0.2306441674055941</v>
      </c>
      <c r="C102" s="259">
        <v>94.138888888888943</v>
      </c>
      <c r="D102" s="259">
        <v>5.9340000000000004E-2</v>
      </c>
    </row>
    <row r="103" spans="1:4" x14ac:dyDescent="0.25">
      <c r="A103" s="80" t="s">
        <v>177</v>
      </c>
      <c r="B103" s="259">
        <v>4.0638707502016702E-4</v>
      </c>
      <c r="C103" s="259">
        <v>1.6398387096774211E-2</v>
      </c>
      <c r="D103" s="259">
        <v>1.9798234552332915E-3</v>
      </c>
    </row>
    <row r="104" spans="1:4" x14ac:dyDescent="0.25">
      <c r="A104" s="80" t="s">
        <v>137</v>
      </c>
      <c r="B104" s="259">
        <v>3.6454031867045697E-2</v>
      </c>
      <c r="C104" s="259">
        <v>21.269874476987454</v>
      </c>
      <c r="D104" s="259">
        <v>0.10792307692307693</v>
      </c>
    </row>
    <row r="105" spans="1:4" x14ac:dyDescent="0.25">
      <c r="A105" s="80" t="s">
        <v>49</v>
      </c>
      <c r="B105" s="259">
        <v>5.2097271781297035E-2</v>
      </c>
      <c r="C105" s="259">
        <v>1.2297237569060826E-3</v>
      </c>
      <c r="D105" s="259" t="e">
        <v>#VALUE!</v>
      </c>
    </row>
    <row r="106" spans="1:4" x14ac:dyDescent="0.25">
      <c r="A106" s="80" t="s">
        <v>47</v>
      </c>
      <c r="B106" s="259">
        <v>1.3585114105012949E-2</v>
      </c>
      <c r="C106" s="259">
        <v>9.5445969125214386E-2</v>
      </c>
      <c r="D106" s="259">
        <v>1.5873015873015873E-4</v>
      </c>
    </row>
    <row r="107" spans="1:4" x14ac:dyDescent="0.25">
      <c r="A107" s="80" t="s">
        <v>898</v>
      </c>
      <c r="B107" s="259">
        <v>2.9077091143716108E-3</v>
      </c>
      <c r="C107" s="259">
        <v>0.11592708333333376</v>
      </c>
      <c r="D107" s="259">
        <v>2.3321839080459757E-2</v>
      </c>
    </row>
    <row r="108" spans="1:4" x14ac:dyDescent="0.25">
      <c r="A108" s="80" t="s">
        <v>1134</v>
      </c>
      <c r="B108" s="259">
        <v>3.3188184149890144E-3</v>
      </c>
      <c r="C108" s="259">
        <v>8.1233576642335758E-4</v>
      </c>
      <c r="D108" s="259" t="e">
        <v>#N/A</v>
      </c>
    </row>
    <row r="109" spans="1:4" x14ac:dyDescent="0.25">
      <c r="A109" s="80" t="s">
        <v>1000</v>
      </c>
      <c r="B109" s="259">
        <v>1.7510994528097033E-2</v>
      </c>
      <c r="C109" s="259">
        <v>1.2645522388059665E-2</v>
      </c>
      <c r="D109" s="259">
        <v>5.034324942791762E-5</v>
      </c>
    </row>
    <row r="110" spans="1:4" x14ac:dyDescent="0.25">
      <c r="A110" s="80" t="s">
        <v>214</v>
      </c>
      <c r="B110" s="259">
        <v>3.0257148058855154E-2</v>
      </c>
      <c r="C110" s="259">
        <v>0.81991935483870726</v>
      </c>
      <c r="D110" s="259">
        <v>8.3585858585858333E-2</v>
      </c>
    </row>
    <row r="111" spans="1:4" x14ac:dyDescent="0.25">
      <c r="A111" s="80" t="s">
        <v>190</v>
      </c>
      <c r="B111" s="259">
        <v>2.6128357396167343E-2</v>
      </c>
      <c r="C111" s="259">
        <v>1.9703488372092931E-2</v>
      </c>
      <c r="D111" s="259">
        <v>4.173488773747841E-2</v>
      </c>
    </row>
    <row r="112" spans="1:4" x14ac:dyDescent="0.25">
      <c r="A112" s="80" t="s">
        <v>163</v>
      </c>
      <c r="B112" s="259">
        <v>1.8424930088662261E-2</v>
      </c>
      <c r="C112" s="259">
        <v>1.1767361111111142E-2</v>
      </c>
      <c r="D112" s="259">
        <v>9.1911764705882355E-7</v>
      </c>
    </row>
    <row r="113" spans="1:4" x14ac:dyDescent="0.25">
      <c r="A113" s="80" t="s">
        <v>816</v>
      </c>
      <c r="B113" s="259">
        <v>7.3854369958160622E-4</v>
      </c>
      <c r="C113" s="259">
        <v>2.0252957233848936E-4</v>
      </c>
      <c r="D113" s="259" t="e">
        <v>#VALUE!</v>
      </c>
    </row>
    <row r="114" spans="1:4" x14ac:dyDescent="0.25">
      <c r="A114" s="80" t="s">
        <v>209</v>
      </c>
      <c r="B114" s="259">
        <v>1.260305513468678E-4</v>
      </c>
      <c r="C114" s="259">
        <v>0.98664674029074362</v>
      </c>
      <c r="D114" s="259" t="e">
        <v>#VALUE!</v>
      </c>
    </row>
    <row r="115" spans="1:4" x14ac:dyDescent="0.25">
      <c r="A115" s="80" t="s">
        <v>151</v>
      </c>
      <c r="B115" s="259">
        <v>6.2754785910812858E-5</v>
      </c>
      <c r="C115" s="259">
        <v>0.55496724890829696</v>
      </c>
      <c r="D115" s="259">
        <v>0.11161224489795919</v>
      </c>
    </row>
    <row r="116" spans="1:4" x14ac:dyDescent="0.25">
      <c r="A116" s="80" t="s">
        <v>344</v>
      </c>
      <c r="B116" s="259">
        <v>0.1244157632107747</v>
      </c>
      <c r="C116" s="259">
        <v>1.7949999999999959E-2</v>
      </c>
      <c r="D116" s="259">
        <v>2.2624434389140271E-5</v>
      </c>
    </row>
    <row r="117" spans="1:4" x14ac:dyDescent="0.25">
      <c r="A117" s="80" t="s">
        <v>417</v>
      </c>
      <c r="B117" s="264">
        <v>0</v>
      </c>
      <c r="C117" s="264">
        <v>0</v>
      </c>
      <c r="D117" s="264">
        <v>0</v>
      </c>
    </row>
    <row r="118" spans="1:4" x14ac:dyDescent="0.25">
      <c r="A118" s="80" t="s">
        <v>420</v>
      </c>
      <c r="B118" s="264">
        <v>0</v>
      </c>
      <c r="C118" s="264">
        <v>0</v>
      </c>
      <c r="D118" s="264">
        <v>0</v>
      </c>
    </row>
    <row r="119" spans="1:4" x14ac:dyDescent="0.25">
      <c r="A119" s="80" t="s">
        <v>415</v>
      </c>
      <c r="B119" s="264">
        <v>0</v>
      </c>
      <c r="C119" s="264">
        <v>0</v>
      </c>
      <c r="D119" s="264">
        <v>0</v>
      </c>
    </row>
    <row r="120" spans="1:4" x14ac:dyDescent="0.25">
      <c r="A120" s="80" t="s">
        <v>83</v>
      </c>
      <c r="B120" s="259">
        <v>4.6896623741260295E-3</v>
      </c>
      <c r="C120" s="259">
        <v>1.5754530011325048E-4</v>
      </c>
      <c r="D120" s="259">
        <v>0</v>
      </c>
    </row>
    <row r="121" spans="1:4" x14ac:dyDescent="0.25">
      <c r="A121" s="80" t="s">
        <v>371</v>
      </c>
      <c r="B121" s="259">
        <v>6.6534945295136083E-5</v>
      </c>
      <c r="C121" s="259">
        <v>1.4643421052631547E-2</v>
      </c>
      <c r="D121" s="259" t="e">
        <v>#VALUE!</v>
      </c>
    </row>
    <row r="122" spans="1:4" x14ac:dyDescent="0.25">
      <c r="A122" s="80" t="s">
        <v>31</v>
      </c>
      <c r="B122" s="259">
        <v>1.9512886071131055E-5</v>
      </c>
      <c r="C122" s="259">
        <v>2.2257999999999951E-4</v>
      </c>
      <c r="D122" s="259">
        <v>0</v>
      </c>
    </row>
    <row r="123" spans="1:4" x14ac:dyDescent="0.25">
      <c r="A123" s="80" t="s">
        <v>665</v>
      </c>
      <c r="B123" s="259">
        <v>3.311403508771927E-3</v>
      </c>
      <c r="C123" s="259">
        <v>6.7779999999999882E-2</v>
      </c>
      <c r="D123" s="259">
        <v>3.6458333333333336E-5</v>
      </c>
    </row>
    <row r="124" spans="1:4" x14ac:dyDescent="0.25">
      <c r="A124" s="80" t="s">
        <v>1003</v>
      </c>
      <c r="B124" s="259">
        <v>1.7941390287852022E-2</v>
      </c>
      <c r="C124" s="259">
        <v>3.2796774193548388</v>
      </c>
      <c r="D124" s="259">
        <v>8.4961904761904447E-2</v>
      </c>
    </row>
    <row r="125" spans="1:4" x14ac:dyDescent="0.25">
      <c r="A125" s="80" t="s">
        <v>234</v>
      </c>
      <c r="B125" s="259">
        <v>3.7344613093353678E-3</v>
      </c>
      <c r="C125" s="259">
        <v>0.25103703703703784</v>
      </c>
      <c r="D125" s="259">
        <v>2.2982131854590265E-3</v>
      </c>
    </row>
    <row r="126" spans="1:4" x14ac:dyDescent="0.25">
      <c r="A126" s="80" t="s">
        <v>106</v>
      </c>
      <c r="B126" s="259">
        <v>6.1455327531426303E-2</v>
      </c>
      <c r="C126" s="259">
        <v>1.1592708333333373E-2</v>
      </c>
      <c r="D126" s="259">
        <v>0</v>
      </c>
    </row>
    <row r="127" spans="1:4" x14ac:dyDescent="0.25">
      <c r="A127" s="80" t="s">
        <v>131</v>
      </c>
      <c r="B127" s="259">
        <v>1.8872875876322806E-3</v>
      </c>
      <c r="C127" s="259">
        <v>1.5163310961968731E-2</v>
      </c>
      <c r="D127" s="259">
        <v>0</v>
      </c>
    </row>
    <row r="128" spans="1:4" x14ac:dyDescent="0.25">
      <c r="A128" s="80" t="s">
        <v>15</v>
      </c>
      <c r="B128" s="259">
        <v>4.7236261690960396E-4</v>
      </c>
      <c r="C128" s="259">
        <v>2.4731111111111139E-3</v>
      </c>
      <c r="D128" s="259">
        <v>0</v>
      </c>
    </row>
    <row r="129" spans="1:4" x14ac:dyDescent="0.25">
      <c r="A129" s="80" t="s">
        <v>976</v>
      </c>
      <c r="B129" s="264">
        <v>0</v>
      </c>
      <c r="C129" s="264">
        <v>0</v>
      </c>
      <c r="D129" s="264">
        <v>0</v>
      </c>
    </row>
    <row r="130" spans="1:4" x14ac:dyDescent="0.25">
      <c r="A130" s="80" t="s">
        <v>86</v>
      </c>
      <c r="B130" s="259">
        <v>0.16511585123974709</v>
      </c>
      <c r="C130" s="259">
        <v>2.271224489795914E-3</v>
      </c>
      <c r="D130" s="259">
        <v>0</v>
      </c>
    </row>
    <row r="131" spans="1:4" x14ac:dyDescent="0.25">
      <c r="A131" s="80" t="s">
        <v>1025</v>
      </c>
      <c r="B131" s="259">
        <v>0.38929669205621492</v>
      </c>
      <c r="C131" s="259">
        <v>36.310714285714283</v>
      </c>
      <c r="D131" s="259">
        <v>0</v>
      </c>
    </row>
    <row r="132" spans="1:4" x14ac:dyDescent="0.25">
      <c r="A132" s="80" t="s">
        <v>249</v>
      </c>
      <c r="B132" s="259">
        <v>1.9264910824109372E-3</v>
      </c>
      <c r="C132" s="259">
        <v>0.10248991935483844</v>
      </c>
      <c r="D132" s="259">
        <v>1.3872832369942197E-5</v>
      </c>
    </row>
    <row r="133" spans="1:4" x14ac:dyDescent="0.25">
      <c r="A133" s="80" t="s">
        <v>153</v>
      </c>
      <c r="B133" s="259">
        <v>3.0991921650259865E-2</v>
      </c>
      <c r="C133" s="259">
        <v>4.5797297297297304</v>
      </c>
      <c r="D133" s="259">
        <v>5.0944444444444445E-2</v>
      </c>
    </row>
    <row r="134" spans="1:4" x14ac:dyDescent="0.25">
      <c r="A134" s="80" t="s">
        <v>303</v>
      </c>
      <c r="B134" s="259">
        <v>2.4616475441662156E-4</v>
      </c>
      <c r="C134" s="259">
        <v>0.10066336633663364</v>
      </c>
      <c r="D134" s="259">
        <v>5.0249452639890835E-2</v>
      </c>
    </row>
    <row r="135" spans="1:4" x14ac:dyDescent="0.25">
      <c r="A135" s="80" t="s">
        <v>1023</v>
      </c>
      <c r="B135" s="259">
        <v>3.8174887868742224E-3</v>
      </c>
      <c r="C135" s="259">
        <v>0.93104395604395673</v>
      </c>
      <c r="D135" s="259">
        <v>1.0126582278481013E-3</v>
      </c>
    </row>
    <row r="136" spans="1:4" x14ac:dyDescent="0.25">
      <c r="A136" s="80" t="s">
        <v>138</v>
      </c>
      <c r="B136" s="259">
        <v>0.19835475161625682</v>
      </c>
      <c r="C136" s="259">
        <v>54.661290322580697</v>
      </c>
      <c r="D136" s="259">
        <v>5.1866666666666603E-2</v>
      </c>
    </row>
    <row r="137" spans="1:4" x14ac:dyDescent="0.25">
      <c r="A137" s="80" t="s">
        <v>990</v>
      </c>
      <c r="B137" s="259">
        <v>1.9252192589073985E-3</v>
      </c>
      <c r="C137" s="259">
        <v>6.1320868516284696E-2</v>
      </c>
      <c r="D137" s="259">
        <v>0.14401703335699076</v>
      </c>
    </row>
    <row r="138" spans="1:4" s="163" customFormat="1" x14ac:dyDescent="0.25">
      <c r="A138" s="80" t="s">
        <v>2034</v>
      </c>
      <c r="B138" s="259">
        <v>9.6754009287867823E-6</v>
      </c>
      <c r="C138" s="259">
        <v>9.4731018045624785E-4</v>
      </c>
      <c r="D138" s="259" t="e">
        <v>#VALUE!</v>
      </c>
    </row>
    <row r="139" spans="1:4" x14ac:dyDescent="0.25">
      <c r="A139" s="80" t="s">
        <v>318</v>
      </c>
      <c r="B139" s="259">
        <v>0.11605678674869621</v>
      </c>
      <c r="C139" s="259">
        <v>6.1827777777777833</v>
      </c>
      <c r="D139" s="259">
        <v>0</v>
      </c>
    </row>
    <row r="140" spans="1:4" x14ac:dyDescent="0.25">
      <c r="A140" s="80" t="s">
        <v>1031</v>
      </c>
      <c r="B140" s="259">
        <v>4.2782738095238057E-4</v>
      </c>
      <c r="C140" s="259">
        <v>0.70081863979848713</v>
      </c>
      <c r="D140" s="259">
        <v>3.3967391304347825E-4</v>
      </c>
    </row>
    <row r="141" spans="1:4" x14ac:dyDescent="0.25">
      <c r="A141" s="80" t="s">
        <v>42</v>
      </c>
      <c r="B141" s="259">
        <v>4.6639288158039104E-2</v>
      </c>
      <c r="C141" s="259">
        <v>5.6780612244897895E-3</v>
      </c>
      <c r="D141" s="259">
        <v>0</v>
      </c>
    </row>
    <row r="142" spans="1:4" x14ac:dyDescent="0.25">
      <c r="A142" s="80" t="s">
        <v>261</v>
      </c>
      <c r="B142" s="259">
        <v>7.6118861361411508E-2</v>
      </c>
      <c r="C142" s="259">
        <v>14.120833333333346</v>
      </c>
      <c r="D142" s="259">
        <v>7.5149999999999995E-2</v>
      </c>
    </row>
    <row r="143" spans="1:4" x14ac:dyDescent="0.25">
      <c r="A143" s="80" t="s">
        <v>41</v>
      </c>
      <c r="B143" s="259">
        <v>1.0288848792346246E-2</v>
      </c>
      <c r="C143" s="259">
        <v>3.0241847826086941E-2</v>
      </c>
      <c r="D143" s="259">
        <v>2.4867724867724865E-4</v>
      </c>
    </row>
    <row r="144" spans="1:4" x14ac:dyDescent="0.25">
      <c r="A144" s="80" t="s">
        <v>159</v>
      </c>
      <c r="B144" s="259">
        <v>9.8635760431846319E-3</v>
      </c>
      <c r="C144" s="259">
        <v>1.8878119429589977</v>
      </c>
      <c r="D144" s="259">
        <v>8.5252525252525243E-3</v>
      </c>
    </row>
    <row r="145" spans="1:4" x14ac:dyDescent="0.25">
      <c r="A145" s="80" t="s">
        <v>121</v>
      </c>
      <c r="B145" s="259">
        <v>3.890770463594798E-3</v>
      </c>
      <c r="C145" s="259">
        <v>0.63345794392523402</v>
      </c>
      <c r="D145" s="259">
        <v>8.4384219554030873E-2</v>
      </c>
    </row>
    <row r="146" spans="1:4" x14ac:dyDescent="0.25">
      <c r="A146" s="80" t="s">
        <v>1525</v>
      </c>
      <c r="B146" s="264">
        <v>0</v>
      </c>
      <c r="C146" s="264">
        <v>0</v>
      </c>
      <c r="D146" s="264">
        <v>0</v>
      </c>
    </row>
    <row r="147" spans="1:4" x14ac:dyDescent="0.25">
      <c r="A147" s="80" t="s">
        <v>116</v>
      </c>
      <c r="B147" s="259">
        <v>0.1051559508499309</v>
      </c>
      <c r="C147" s="259">
        <v>3.8954022988505623</v>
      </c>
      <c r="D147" s="259">
        <v>0.12695000000000001</v>
      </c>
    </row>
    <row r="148" spans="1:4" x14ac:dyDescent="0.25">
      <c r="A148" s="80" t="s">
        <v>193</v>
      </c>
      <c r="B148" s="259">
        <v>0.27641992277306304</v>
      </c>
      <c r="C148" s="259">
        <v>35.799295774647938</v>
      </c>
      <c r="D148" s="259">
        <v>0.17478787878787877</v>
      </c>
    </row>
    <row r="149" spans="1:4" x14ac:dyDescent="0.25">
      <c r="A149" s="80" t="s">
        <v>1357</v>
      </c>
      <c r="B149" s="264">
        <v>0</v>
      </c>
      <c r="C149" s="264">
        <v>0</v>
      </c>
      <c r="D149" s="264">
        <v>0</v>
      </c>
    </row>
    <row r="150" spans="1:4" x14ac:dyDescent="0.25">
      <c r="A150" s="80" t="s">
        <v>1009</v>
      </c>
      <c r="B150" s="259">
        <v>1.7078684386086802E-2</v>
      </c>
      <c r="C150" s="259">
        <v>39.714843750000014</v>
      </c>
      <c r="D150" s="259">
        <v>0.12333333333333334</v>
      </c>
    </row>
    <row r="151" spans="1:4" x14ac:dyDescent="0.25">
      <c r="A151" s="80" t="s">
        <v>224</v>
      </c>
      <c r="B151" s="259">
        <v>3.7980919811312131E-3</v>
      </c>
      <c r="C151" s="259">
        <v>0.1412083333333331</v>
      </c>
      <c r="D151" s="259">
        <v>4.2105263157894739E-4</v>
      </c>
    </row>
    <row r="152" spans="1:4" x14ac:dyDescent="0.25">
      <c r="A152" s="80" t="s">
        <v>22</v>
      </c>
      <c r="B152" s="259">
        <v>7.0348719742811566E-2</v>
      </c>
      <c r="C152" s="259">
        <v>4.7559829059829105E-2</v>
      </c>
      <c r="D152" s="259">
        <v>6.3186565447434784E-2</v>
      </c>
    </row>
    <row r="153" spans="1:4" x14ac:dyDescent="0.25">
      <c r="A153" s="80" t="s">
        <v>198</v>
      </c>
      <c r="B153" s="259">
        <v>7.7174328759195998E-2</v>
      </c>
      <c r="C153" s="259">
        <v>2.6755263157894729</v>
      </c>
      <c r="D153" s="259">
        <v>0.2858</v>
      </c>
    </row>
    <row r="154" spans="1:4" x14ac:dyDescent="0.25">
      <c r="A154" s="80" t="s">
        <v>372</v>
      </c>
      <c r="B154" s="259">
        <v>4.3591730123483473E-4</v>
      </c>
      <c r="C154" s="259">
        <v>6.5081871345029092E-3</v>
      </c>
      <c r="D154" s="259">
        <v>0</v>
      </c>
    </row>
    <row r="155" spans="1:4" x14ac:dyDescent="0.25">
      <c r="A155" s="80" t="s">
        <v>141</v>
      </c>
      <c r="B155" s="259">
        <v>1.7802410742126325E-3</v>
      </c>
      <c r="C155" s="259">
        <v>1.2490171990171997</v>
      </c>
      <c r="D155" s="259">
        <v>0.20879999999999999</v>
      </c>
    </row>
    <row r="156" spans="1:4" x14ac:dyDescent="0.25">
      <c r="A156" s="80" t="s">
        <v>418</v>
      </c>
      <c r="B156" s="259">
        <v>0.32646048109965553</v>
      </c>
      <c r="C156" s="259">
        <v>7.2079015544041392E-4</v>
      </c>
      <c r="D156" s="259" t="e">
        <v>#N/A</v>
      </c>
    </row>
    <row r="157" spans="1:4" x14ac:dyDescent="0.25">
      <c r="A157" s="80" t="s">
        <v>57</v>
      </c>
      <c r="B157" s="259">
        <v>2.1230891537185752E-2</v>
      </c>
      <c r="C157" s="259">
        <v>2.225800000000006E-4</v>
      </c>
      <c r="D157" s="259">
        <v>7.4229729729729729E-3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778C-96DB-42BB-8A14-91CE9417B56C}">
  <dimension ref="A1:AS60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6" sqref="A16"/>
    </sheetView>
  </sheetViews>
  <sheetFormatPr baseColWidth="10" defaultColWidth="0" defaultRowHeight="15" x14ac:dyDescent="0.25"/>
  <cols>
    <col min="1" max="1" width="20.28515625" customWidth="1"/>
    <col min="2" max="2" width="6.28515625" style="163" customWidth="1"/>
    <col min="3" max="3" width="6.140625" bestFit="1" customWidth="1"/>
    <col min="4" max="4" width="14.7109375" customWidth="1"/>
    <col min="5" max="5" width="5.140625" customWidth="1"/>
    <col min="6" max="9" width="4.140625" customWidth="1"/>
    <col min="10" max="10" width="4.28515625" bestFit="1" customWidth="1"/>
    <col min="11" max="11" width="3.7109375" bestFit="1" customWidth="1"/>
    <col min="12" max="12" width="25" customWidth="1"/>
    <col min="13" max="13" width="9.5703125" style="163" bestFit="1" customWidth="1"/>
    <col min="14" max="14" width="6.42578125" style="163" bestFit="1" customWidth="1"/>
    <col min="15" max="21" width="2.85546875" customWidth="1"/>
    <col min="22" max="22" width="2.85546875" hidden="1" customWidth="1"/>
    <col min="23" max="24" width="2.85546875" customWidth="1"/>
    <col min="25" max="25" width="2.7109375" customWidth="1"/>
    <col min="26" max="26" width="11.42578125" customWidth="1"/>
    <col min="27" max="40" width="11.42578125" hidden="1" customWidth="1"/>
    <col min="41" max="41" width="12" hidden="1" customWidth="1"/>
    <col min="42" max="42" width="11.42578125" hidden="1" customWidth="1"/>
    <col min="43" max="43" width="11.42578125" style="163" hidden="1" customWidth="1"/>
    <col min="44" max="16384" width="11.42578125" hidden="1"/>
  </cols>
  <sheetData>
    <row r="1" spans="1:45" ht="23.25" x14ac:dyDescent="0.35">
      <c r="A1" s="143" t="str">
        <f>+Textes!A209</f>
        <v>PER - Phytosanitaires : Liste et contraintes des produits utilisés durant la campagne</v>
      </c>
      <c r="B1" s="143"/>
    </row>
    <row r="2" spans="1:45" x14ac:dyDescent="0.25">
      <c r="A2" s="20" t="str">
        <f>+Textes!A210</f>
        <v>Fiche facultative d’aide pour la gestion des contraintes liées aux produits phytosanitaires</v>
      </c>
      <c r="B2" s="20"/>
    </row>
    <row r="3" spans="1:45" s="140" customFormat="1" x14ac:dyDescent="0.25">
      <c r="A3" s="20"/>
      <c r="B3" s="20"/>
      <c r="K3"/>
      <c r="L3"/>
      <c r="M3" s="163"/>
      <c r="N3" s="163"/>
      <c r="Q3" s="254" t="str">
        <f>+Textes!A62</f>
        <v>Homologué</v>
      </c>
      <c r="S3" s="251">
        <v>1</v>
      </c>
      <c r="AQ3" s="163"/>
    </row>
    <row r="4" spans="1:45" s="140" customFormat="1" x14ac:dyDescent="0.25">
      <c r="A4" s="268"/>
      <c r="B4" s="269"/>
      <c r="C4" s="140" t="str">
        <f>+Textes!A211</f>
        <v>Choisissez un produit dans la liste et les données</v>
      </c>
      <c r="K4"/>
      <c r="M4" s="163"/>
      <c r="N4" s="163"/>
      <c r="Q4" s="254" t="str">
        <f>+Textes!A63</f>
        <v>Homologué et utilisable dans programme non-recours PPh</v>
      </c>
      <c r="S4" s="252">
        <v>2</v>
      </c>
      <c r="AQ4" s="163"/>
    </row>
    <row r="5" spans="1:45" s="140" customFormat="1" x14ac:dyDescent="0.25">
      <c r="A5" s="20"/>
      <c r="B5" s="20"/>
      <c r="C5" s="140" t="str">
        <f>+Textes!A212</f>
        <v>seront affichées</v>
      </c>
      <c r="K5"/>
      <c r="M5" s="163"/>
      <c r="N5" s="163"/>
      <c r="Q5" s="254" t="str">
        <f>+Textes!A64</f>
        <v>Homologué mais soumis à autorisation</v>
      </c>
      <c r="S5" s="253">
        <v>3</v>
      </c>
      <c r="AQ5" s="163"/>
    </row>
    <row r="6" spans="1:45" s="163" customFormat="1" ht="5.25" customHeight="1" x14ac:dyDescent="0.25">
      <c r="A6" s="20"/>
      <c r="B6" s="20"/>
    </row>
    <row r="7" spans="1:45" s="163" customFormat="1" x14ac:dyDescent="0.25">
      <c r="A7" s="20" t="str">
        <f>+Textes!A217</f>
        <v>Nom d'exploitation</v>
      </c>
      <c r="B7" s="20"/>
      <c r="C7" s="289"/>
      <c r="D7" s="290"/>
      <c r="E7" s="290"/>
      <c r="F7" s="290"/>
      <c r="G7" s="290"/>
      <c r="J7" s="196" t="s">
        <v>767</v>
      </c>
      <c r="L7" s="244"/>
      <c r="M7" s="244"/>
      <c r="N7" s="244"/>
    </row>
    <row r="8" spans="1:45" ht="6" customHeight="1" x14ac:dyDescent="0.25"/>
    <row r="9" spans="1:45" x14ac:dyDescent="0.25">
      <c r="A9" s="22"/>
      <c r="B9" s="22"/>
      <c r="C9" s="22"/>
      <c r="D9" s="22"/>
      <c r="E9" s="22"/>
      <c r="F9" s="22"/>
      <c r="G9" s="22"/>
      <c r="H9" s="287" t="str">
        <f>+Textes!A216</f>
        <v>ZNT en m</v>
      </c>
      <c r="I9" s="288"/>
      <c r="J9" s="288"/>
      <c r="K9" s="193"/>
      <c r="L9" s="23"/>
      <c r="M9" s="287" t="str">
        <f>+Textes!A213</f>
        <v>Risques</v>
      </c>
      <c r="N9" s="291"/>
      <c r="O9" s="286" t="str">
        <f>+Textes!A9</f>
        <v>Utilisation en PER</v>
      </c>
      <c r="P9" s="286"/>
      <c r="Q9" s="286"/>
      <c r="R9" s="286"/>
      <c r="S9" s="286"/>
      <c r="T9" s="286"/>
      <c r="U9" s="286"/>
      <c r="V9" s="286"/>
      <c r="W9" s="286"/>
      <c r="X9" s="286"/>
      <c r="Y9" s="163"/>
    </row>
    <row r="10" spans="1:45" ht="85.5" customHeight="1" x14ac:dyDescent="0.25">
      <c r="A10" s="59" t="str">
        <f>+Textes!A10</f>
        <v>Produit</v>
      </c>
      <c r="B10" s="142" t="str">
        <f>+Textes!A218</f>
        <v>Dose indicative</v>
      </c>
      <c r="C10" s="142" t="str">
        <f>+Textes!A219</f>
        <v>Dose appliquée</v>
      </c>
      <c r="D10" s="141" t="str">
        <f>+Textes!A11</f>
        <v>No homologation</v>
      </c>
      <c r="E10" s="139" t="str">
        <f>+Textes!A12</f>
        <v>Type</v>
      </c>
      <c r="F10" s="142" t="str">
        <f>+Textes!A109</f>
        <v>Zone de source S2</v>
      </c>
      <c r="G10" s="142" t="str">
        <f>+Textes!A110</f>
        <v>Zone karstique</v>
      </c>
      <c r="H10" s="142" t="str">
        <f>+Textes!A19</f>
        <v>Eau surface</v>
      </c>
      <c r="I10" s="142" t="str">
        <f>+Textes!A21</f>
        <v>Biotopes</v>
      </c>
      <c r="J10" s="142" t="str">
        <f>+Textes!A22</f>
        <v>Public</v>
      </c>
      <c r="K10" s="142" t="str">
        <f>+Textes!A20</f>
        <v>Ruissellement</v>
      </c>
      <c r="L10" s="11" t="str">
        <f>+Textes!A26</f>
        <v>Fréquence</v>
      </c>
      <c r="M10" s="91" t="str">
        <f>+Textes!A89</f>
        <v>Org. aquatiques</v>
      </c>
      <c r="N10" s="151" t="str">
        <f>+Textes!A215</f>
        <v>Org. terrestres</v>
      </c>
      <c r="O10" s="142" t="str">
        <f>+Textes!A36</f>
        <v>Céréales</v>
      </c>
      <c r="P10" s="142" t="str">
        <f>+Textes!A37</f>
        <v>Betteraves</v>
      </c>
      <c r="Q10" s="142" t="str">
        <f>+Textes!A38</f>
        <v>Pdt</v>
      </c>
      <c r="R10" s="142" t="str">
        <f>+Textes!A39</f>
        <v>Maïs</v>
      </c>
      <c r="S10" s="142" t="str">
        <f>+Textes!A40</f>
        <v>Colza</v>
      </c>
      <c r="T10" s="142" t="str">
        <f>+Textes!A41</f>
        <v>Tournesol</v>
      </c>
      <c r="U10" s="142" t="str">
        <f>+Textes!A42</f>
        <v>Pois</v>
      </c>
      <c r="V10" s="142" t="str">
        <f>+Textes!A43</f>
        <v>Soja</v>
      </c>
      <c r="W10" s="142" t="str">
        <f>+Textes!A46</f>
        <v>Tabac</v>
      </c>
      <c r="X10" s="142" t="str">
        <f>+Textes!A47</f>
        <v>Prairie</v>
      </c>
      <c r="AA10" t="s">
        <v>8</v>
      </c>
      <c r="AB10" t="s">
        <v>9</v>
      </c>
      <c r="AC10" t="s">
        <v>10</v>
      </c>
      <c r="AD10" t="s">
        <v>11</v>
      </c>
      <c r="AE10" t="s">
        <v>1899</v>
      </c>
      <c r="AF10" s="163" t="s">
        <v>1900</v>
      </c>
      <c r="AG10" s="163" t="s">
        <v>1901</v>
      </c>
      <c r="AH10" s="163" t="s">
        <v>1902</v>
      </c>
      <c r="AI10" t="s">
        <v>1903</v>
      </c>
      <c r="AJ10" s="163" t="s">
        <v>1904</v>
      </c>
      <c r="AK10" s="163" t="s">
        <v>1905</v>
      </c>
      <c r="AL10" s="163" t="s">
        <v>1906</v>
      </c>
      <c r="AM10" t="s">
        <v>1907</v>
      </c>
      <c r="AN10" s="163" t="s">
        <v>1908</v>
      </c>
      <c r="AO10" s="163" t="s">
        <v>1909</v>
      </c>
      <c r="AP10" s="163" t="s">
        <v>1910</v>
      </c>
      <c r="AQ10" s="163" t="s">
        <v>1855</v>
      </c>
      <c r="AR10" t="s">
        <v>1911</v>
      </c>
      <c r="AS10" t="s">
        <v>1912</v>
      </c>
    </row>
    <row r="11" spans="1:45" x14ac:dyDescent="0.25">
      <c r="A11" s="195" t="s">
        <v>1657</v>
      </c>
      <c r="B11" s="351">
        <f>IF(A11&lt;&gt;0,VLOOKUP(A11,Total!$B$5:$AZ$512,51,FALSE),"")</f>
        <v>2</v>
      </c>
      <c r="C11" s="352"/>
      <c r="D11" s="144" t="str">
        <f>IF(A11&lt;&gt;"",(VLOOKUP(A11,Total!$B$5:$AL$512,2,FALSE)),"")</f>
        <v>W-7339</v>
      </c>
      <c r="E11" s="145" t="str">
        <f>IF(A11&lt;&gt;"",(VLOOKUP(A11,Total!$B$5:$AL$512,3,FALSE)),"")</f>
        <v>F</v>
      </c>
      <c r="F11" s="145">
        <f>IF(A11&lt;&gt;"",(VLOOKUP(A11,Total!$B$5:$AL$512,12,FALSE)),"")</f>
        <v>0</v>
      </c>
      <c r="G11" s="145">
        <f>IF(A11&lt;&gt;"",(VLOOKUP(A11,Total!$B$5:$AL$512,14,FALSE)),"")</f>
        <v>0</v>
      </c>
      <c r="H11" s="145">
        <f>IF(A11&lt;&gt;"",(VLOOKUP(A11,Total!$B$5:$AL$512,8,FALSE)),"")</f>
        <v>6</v>
      </c>
      <c r="I11" s="145">
        <f>IF(A11&lt;&gt;"",(VLOOKUP(A11,Total!$B$5:$AL$512,9,FALSE)),"")</f>
        <v>0</v>
      </c>
      <c r="J11" s="145">
        <f>IF(A11&lt;&gt;"",(VLOOKUP(A11,Total!$B$5:$AL$512,10,FALSE)),"")</f>
        <v>0</v>
      </c>
      <c r="K11" s="145" t="str">
        <f>IF(A11&lt;&gt;"",(VLOOKUP(A11,Total!$B$5:$AL$512,11,FALSE)),"")</f>
        <v>1 pt</v>
      </c>
      <c r="L11" s="175">
        <f>IF(A11&lt;&gt;"",(VLOOKUP(A11,Total!$B$5:$AL$512,15,FALSE)),"")</f>
        <v>0</v>
      </c>
      <c r="M11" s="202">
        <f t="shared" ref="M11:M60" si="0">+AR11</f>
        <v>3.3456874878545255</v>
      </c>
      <c r="N11" s="202">
        <f>+AS11</f>
        <v>7.3359149029982298</v>
      </c>
      <c r="O11" s="145">
        <f>IF(A11&lt;&gt;"",(VLOOKUP(A11,Total!$B$5:$AL$512,26,FALSE)),"")</f>
        <v>1</v>
      </c>
      <c r="P11" s="145">
        <f>IF(A11&lt;&gt;"",(VLOOKUP(A11,Total!$B$5:$AL$512,27,FALSE)),"")</f>
        <v>0</v>
      </c>
      <c r="Q11" s="145">
        <f>IF(A11&lt;&gt;"",(VLOOKUP(A11,Total!$B$5:$AL$512,28,FALSE)),"")</f>
        <v>0</v>
      </c>
      <c r="R11" s="145">
        <f>IF(A11&lt;&gt;"",(VLOOKUP(A11,Total!$B$5:$AL$512,29,FALSE)),"")</f>
        <v>0</v>
      </c>
      <c r="S11" s="145">
        <f>IF(A11&lt;&gt;"",(VLOOKUP(A11,Total!$B$5:$AL$512,30,FALSE)),"")</f>
        <v>0</v>
      </c>
      <c r="T11" s="145">
        <f>IF(A11&lt;&gt;"",(VLOOKUP(A11,Total!$B$5:$AL$512,31,FALSE)),"")</f>
        <v>0</v>
      </c>
      <c r="U11" s="145">
        <f>IF(A11&lt;&gt;"",(VLOOKUP(A11,Total!$B$5:$AL$512,32,FALSE)),"")</f>
        <v>0</v>
      </c>
      <c r="V11" s="145">
        <f>IF(A11&lt;&gt;"",(VLOOKUP(A11,Total!$B$5:$AL$512,33,FALSE)),"")</f>
        <v>0</v>
      </c>
      <c r="W11" s="145">
        <f>IF(A11&lt;&gt;"",(VLOOKUP(A11,Total!$B$5:$AL$512,36,FALSE)),"")</f>
        <v>0</v>
      </c>
      <c r="X11" s="145">
        <f>IF(A11&lt;&gt;"",(VLOOKUP(A11,Total!$B$5:$AM$512,37,FALSE)),"")</f>
        <v>0</v>
      </c>
      <c r="AA11" s="163" t="str">
        <f>IF(A11&lt;&gt;"",(VLOOKUP(A11,Total!$B$5:$AV$512,40,FALSE)),"")</f>
        <v>métconazole</v>
      </c>
      <c r="AB11" s="163" t="str">
        <f>IF(A11&lt;&gt;"",(VLOOKUP(A11,Total!$B$5:$AV$512,41,FALSE)),"")</f>
        <v>fluxapyroxad</v>
      </c>
      <c r="AC11" s="163">
        <f>IF(A11&lt;&gt;"",(VLOOKUP(A11,Total!$B$5:$AV$512,42,FALSE)),"")</f>
        <v>0</v>
      </c>
      <c r="AD11" s="163">
        <f>IF(A11&lt;&gt;"",(VLOOKUP(A11,Total!$B$5:$AV$512,43,FALSE)),"")</f>
        <v>0</v>
      </c>
      <c r="AE11" s="163">
        <f>IF(A11&lt;&gt;"",(VLOOKUP(A11,Total!$B$5:$AV$512,44,FALSE)),"")</f>
        <v>45</v>
      </c>
      <c r="AF11" s="163">
        <f>IF(A11&lt;&gt;"",(VLOOKUP(A11,Total!$B$5:$AV$512,45,FALSE)),"")</f>
        <v>62.5</v>
      </c>
      <c r="AG11" s="163">
        <f>IF(A11&lt;&gt;"",(VLOOKUP(A11,Total!$B$5:$AV$512,46,FALSE)),"")</f>
        <v>0</v>
      </c>
      <c r="AH11" s="163">
        <f>IF(A11&lt;&gt;"",(VLOOKUP(A11,Total!$B$5:$AV$512,47,FALSE)),"")</f>
        <v>0</v>
      </c>
      <c r="AI11">
        <f>VLOOKUP(AA11,Scores!$A$1:$D$157,2,FALSE)</f>
        <v>3.2187931250636466E-2</v>
      </c>
      <c r="AJ11" s="163">
        <f>VLOOKUP(AB11,Scores!$A$1:$D$157,2,FALSE)</f>
        <v>3.5901894023779488E-3</v>
      </c>
      <c r="AK11" s="163">
        <f>VLOOKUP(AC11,Scores!$A$1:$D$157,2,FALSE)</f>
        <v>0</v>
      </c>
      <c r="AL11" s="163">
        <f>VLOOKUP(AD11,Scores!$A$1:$D$157,2,FALSE)</f>
        <v>0</v>
      </c>
      <c r="AM11" s="163">
        <f>VLOOKUP(AA11,Scores!$A$1:$D$157,3,FALSE)</f>
        <v>6.6244047619047591E-2</v>
      </c>
      <c r="AN11" s="163">
        <f>VLOOKUP(AB11,Scores!$A$1:$D$157,3,FALSE)</f>
        <v>1.0991604938271568E-2</v>
      </c>
      <c r="AO11" s="163">
        <f>VLOOKUP(AC11,Scores!$A$1:$D$157,3,FALSE)</f>
        <v>0</v>
      </c>
      <c r="AP11" s="163">
        <f>VLOOKUP(AD11,Scores!$A$1:$D$157,3,FALSE)</f>
        <v>0</v>
      </c>
      <c r="AQ11" s="163">
        <f>IF(C11&lt;&gt;"",C11,B11)</f>
        <v>2</v>
      </c>
      <c r="AR11">
        <f>IF(AQ11&lt;&gt;"",AQ11*AE11*AI11+AQ11*AF11*AJ11+AQ11*AG11*AK11+AQ11*AH11*AL11,0)</f>
        <v>3.3456874878545255</v>
      </c>
      <c r="AS11">
        <f>IF(AQ11&lt;&gt;"",AQ11*AE11*AM11+AQ11*AF11*AN11+AQ11*AG11*AO11+AQ11*AH11*AP11,0)</f>
        <v>7.3359149029982298</v>
      </c>
    </row>
    <row r="12" spans="1:45" x14ac:dyDescent="0.25">
      <c r="A12" s="195" t="s">
        <v>1952</v>
      </c>
      <c r="B12" s="351">
        <f>IF(A12&lt;&gt;0,VLOOKUP(A12,Total!$B$5:$AZ$512,51,FALSE),"")</f>
        <v>0.6</v>
      </c>
      <c r="C12" s="352">
        <v>0.5</v>
      </c>
      <c r="D12" s="144" t="str">
        <f>IF(A12&lt;&gt;"",(VLOOKUP(A12,Total!$B$5:$AL$512,2,FALSE)),"")</f>
        <v>W-7190-1</v>
      </c>
      <c r="E12" s="145" t="str">
        <f>IF(A12&lt;&gt;"",(VLOOKUP(A12,Total!$B$5:$AL$512,3,FALSE)),"")</f>
        <v>H</v>
      </c>
      <c r="F12" s="145">
        <f>IF(A12&lt;&gt;"",(VLOOKUP(A12,Total!$B$5:$AL$512,12,FALSE)),"")</f>
        <v>0</v>
      </c>
      <c r="G12" s="145">
        <f>IF(A12&lt;&gt;"",(VLOOKUP(A12,Total!$B$5:$AL$512,14,FALSE)),"")</f>
        <v>0</v>
      </c>
      <c r="H12" s="145">
        <f>IF(A12&lt;&gt;"",(VLOOKUP(A12,Total!$B$5:$AL$512,8,FALSE)),"")</f>
        <v>6</v>
      </c>
      <c r="I12" s="145">
        <f>IF(A12&lt;&gt;"",(VLOOKUP(A12,Total!$B$5:$AL$512,9,FALSE)),"")</f>
        <v>0</v>
      </c>
      <c r="J12" s="145">
        <f>IF(A12&lt;&gt;"",(VLOOKUP(A12,Total!$B$5:$AL$512,10,FALSE)),"")</f>
        <v>0</v>
      </c>
      <c r="K12" s="145" t="str">
        <f>IF(A12&lt;&gt;"",(VLOOKUP(A12,Total!$B$5:$AL$512,11,FALSE)),"")</f>
        <v>2 pt</v>
      </c>
      <c r="L12" s="175">
        <f>IF(A12&lt;&gt;"",(VLOOKUP(A12,Total!$B$5:$AL$512,15,FALSE)),"")</f>
        <v>0</v>
      </c>
      <c r="M12" s="202">
        <f t="shared" si="0"/>
        <v>20.690744787201776</v>
      </c>
      <c r="N12" s="202">
        <f t="shared" ref="N12:N60" si="1">+AS12</f>
        <v>273.33898809523794</v>
      </c>
      <c r="O12" s="145">
        <f>IF(A12&lt;&gt;"",(VLOOKUP(A12,Total!$B$5:$AL$512,26,FALSE)),"")</f>
        <v>1</v>
      </c>
      <c r="P12" s="145">
        <f>IF(A12&lt;&gt;"",(VLOOKUP(A12,Total!$B$5:$AL$512,27,FALSE)),"")</f>
        <v>0</v>
      </c>
      <c r="Q12" s="145">
        <f>IF(A12&lt;&gt;"",(VLOOKUP(A12,Total!$B$5:$AL$512,28,FALSE)),"")</f>
        <v>0</v>
      </c>
      <c r="R12" s="145">
        <f>IF(A12&lt;&gt;"",(VLOOKUP(A12,Total!$B$5:$AL$512,29,FALSE)),"")</f>
        <v>0</v>
      </c>
      <c r="S12" s="145">
        <f>IF(A12&lt;&gt;"",(VLOOKUP(A12,Total!$B$5:$AL$512,30,FALSE)),"")</f>
        <v>0</v>
      </c>
      <c r="T12" s="145">
        <f>IF(A12&lt;&gt;"",(VLOOKUP(A12,Total!$B$5:$AL$512,31,FALSE)),"")</f>
        <v>0</v>
      </c>
      <c r="U12" s="145">
        <f>IF(A12&lt;&gt;"",(VLOOKUP(A12,Total!$B$5:$AL$512,32,FALSE)),"")</f>
        <v>0</v>
      </c>
      <c r="V12" s="145">
        <f>IF(A12&lt;&gt;"",(VLOOKUP(A12,Total!$B$5:$AL$512,33,FALSE)),"")</f>
        <v>0</v>
      </c>
      <c r="W12" s="145">
        <f>IF(A12&lt;&gt;"",(VLOOKUP(A12,Total!$B$5:$AL$512,36,FALSE)),"")</f>
        <v>0</v>
      </c>
      <c r="X12" s="145">
        <f>IF(A12&lt;&gt;"",(VLOOKUP(A12,Total!$B$5:$AM$512,37,FALSE)),"")</f>
        <v>0</v>
      </c>
      <c r="AA12" s="163" t="str">
        <f>IF(A12&lt;&gt;"",(VLOOKUP(A12,Total!$B$5:$AV$512,40,FALSE)),"")</f>
        <v>diflufenican</v>
      </c>
      <c r="AB12" s="163" t="str">
        <f>IF(A12&lt;&gt;"",(VLOOKUP(A12,Total!$B$5:$AV$512,41,FALSE)),"")</f>
        <v>flufénacet</v>
      </c>
      <c r="AC12" s="163">
        <f>IF(A12&lt;&gt;"",(VLOOKUP(A12,Total!$B$5:$AV$512,42,FALSE)),"")</f>
        <v>0</v>
      </c>
      <c r="AD12" s="163">
        <f>IF(A12&lt;&gt;"",(VLOOKUP(A12,Total!$B$5:$AV$512,43,FALSE)),"")</f>
        <v>0</v>
      </c>
      <c r="AE12" s="163">
        <f>IF(A12&lt;&gt;"",(VLOOKUP(A12,Total!$B$5:$AV$512,44,FALSE)),"")</f>
        <v>200</v>
      </c>
      <c r="AF12" s="163">
        <f>IF(A12&lt;&gt;"",(VLOOKUP(A12,Total!$B$5:$AV$512,45,FALSE)),"")</f>
        <v>400</v>
      </c>
      <c r="AG12" s="163">
        <f>IF(A12&lt;&gt;"",(VLOOKUP(A12,Total!$B$5:$AV$512,46,FALSE)),"")</f>
        <v>0</v>
      </c>
      <c r="AH12" s="163">
        <f>IF(A12&lt;&gt;"",(VLOOKUP(A12,Total!$B$5:$AV$512,47,FALSE)),"")</f>
        <v>0</v>
      </c>
      <c r="AI12" s="163">
        <f>VLOOKUP(AA12,Scores!$A$1:$D$157,2,FALSE)</f>
        <v>0.13681417456995462</v>
      </c>
      <c r="AJ12" s="163">
        <f>VLOOKUP(AB12,Scores!$A$1:$D$157,2,FALSE)</f>
        <v>3.5046636651031575E-2</v>
      </c>
      <c r="AK12" s="163">
        <f>VLOOKUP(AC12,Scores!$A$1:$D$157,2,FALSE)</f>
        <v>0</v>
      </c>
      <c r="AL12" s="163">
        <f>VLOOKUP(AD12,Scores!$A$1:$D$157,2,FALSE)</f>
        <v>0</v>
      </c>
      <c r="AM12" s="163">
        <f>VLOOKUP(AA12,Scores!$A$1:$D$157,3,FALSE)</f>
        <v>1.7651041666666645</v>
      </c>
      <c r="AN12" s="163">
        <f>VLOOKUP(AB12,Scores!$A$1:$D$157,3,FALSE)</f>
        <v>0.48414285714285726</v>
      </c>
      <c r="AO12" s="163">
        <f>VLOOKUP(AC12,Scores!$A$1:$D$157,3,FALSE)</f>
        <v>0</v>
      </c>
      <c r="AP12" s="163">
        <f>VLOOKUP(AD12,Scores!$A$1:$D$157,3,FALSE)</f>
        <v>0</v>
      </c>
      <c r="AQ12" s="163">
        <f t="shared" ref="AQ12:AQ60" si="2">IF(C12&lt;&gt;"",C12,B12)</f>
        <v>0.5</v>
      </c>
      <c r="AR12" s="163">
        <f t="shared" ref="AR12:AR60" si="3">IF(AQ12&lt;&gt;"",AQ12*AE12*AI12+AQ12*AF12*AJ12+AQ12*AG12*AK12+AQ12*AH12*AL12,0)</f>
        <v>20.690744787201776</v>
      </c>
      <c r="AS12" s="163">
        <f t="shared" ref="AS12:AS60" si="4">IF(AQ12&lt;&gt;"",AQ12*AE12*AM12+AQ12*AF12*AN12+AQ12*AG12*AO12+AQ12*AH12*AP12,0)</f>
        <v>273.33898809523794</v>
      </c>
    </row>
    <row r="13" spans="1:45" x14ac:dyDescent="0.25">
      <c r="A13" s="195" t="s">
        <v>1044</v>
      </c>
      <c r="B13" s="351">
        <f>IF(A13&lt;&gt;0,VLOOKUP(A13,Total!$B$5:$AZ$512,51,FALSE),"")</f>
        <v>0.3</v>
      </c>
      <c r="C13" s="352"/>
      <c r="D13" s="144" t="str">
        <f>IF(A13&lt;&gt;"",(VLOOKUP(A13,Total!$B$5:$AL$512,2,FALSE)),"")</f>
        <v>W-7189-1</v>
      </c>
      <c r="E13" s="145" t="str">
        <f>IF(A13&lt;&gt;"",(VLOOKUP(A13,Total!$B$5:$AL$512,3,FALSE)),"")</f>
        <v>H</v>
      </c>
      <c r="F13" s="145">
        <f>IF(A13&lt;&gt;"",(VLOOKUP(A13,Total!$B$5:$AL$512,12,FALSE)),"")</f>
        <v>0</v>
      </c>
      <c r="G13" s="145">
        <f>IF(A13&lt;&gt;"",(VLOOKUP(A13,Total!$B$5:$AL$512,14,FALSE)),"")</f>
        <v>0</v>
      </c>
      <c r="H13" s="145">
        <f>IF(A13&lt;&gt;"",(VLOOKUP(A13,Total!$B$5:$AL$512,8,FALSE)),"")</f>
        <v>0</v>
      </c>
      <c r="I13" s="145">
        <f>IF(A13&lt;&gt;"",(VLOOKUP(A13,Total!$B$5:$AL$512,9,FALSE)),"")</f>
        <v>3</v>
      </c>
      <c r="J13" s="145">
        <f>IF(A13&lt;&gt;"",(VLOOKUP(A13,Total!$B$5:$AL$512,10,FALSE)),"")</f>
        <v>0</v>
      </c>
      <c r="K13" s="145">
        <f>IF(A13&lt;&gt;"",(VLOOKUP(A13,Total!$B$5:$AL$512,11,FALSE)),"")</f>
        <v>0</v>
      </c>
      <c r="L13" s="175">
        <f>IF(A13&lt;&gt;"",(VLOOKUP(A13,Total!$B$5:$AL$512,15,FALSE)),"")</f>
        <v>0</v>
      </c>
      <c r="M13" s="202">
        <f t="shared" si="0"/>
        <v>1.4387627117714321</v>
      </c>
      <c r="N13" s="202">
        <f t="shared" si="1"/>
        <v>320.58907776193519</v>
      </c>
      <c r="O13" s="145">
        <f>IF(A13&lt;&gt;"",(VLOOKUP(A13,Total!$B$5:$AL$512,26,FALSE)),"")</f>
        <v>1</v>
      </c>
      <c r="P13" s="145">
        <f>IF(A13&lt;&gt;"",(VLOOKUP(A13,Total!$B$5:$AL$512,27,FALSE)),"")</f>
        <v>0</v>
      </c>
      <c r="Q13" s="145">
        <f>IF(A13&lt;&gt;"",(VLOOKUP(A13,Total!$B$5:$AL$512,28,FALSE)),"")</f>
        <v>0</v>
      </c>
      <c r="R13" s="145">
        <f>IF(A13&lt;&gt;"",(VLOOKUP(A13,Total!$B$5:$AL$512,29,FALSE)),"")</f>
        <v>0</v>
      </c>
      <c r="S13" s="145">
        <f>IF(A13&lt;&gt;"",(VLOOKUP(A13,Total!$B$5:$AL$512,30,FALSE)),"")</f>
        <v>0</v>
      </c>
      <c r="T13" s="145">
        <f>IF(A13&lt;&gt;"",(VLOOKUP(A13,Total!$B$5:$AL$512,31,FALSE)),"")</f>
        <v>0</v>
      </c>
      <c r="U13" s="145">
        <f>IF(A13&lt;&gt;"",(VLOOKUP(A13,Total!$B$5:$AL$512,32,FALSE)),"")</f>
        <v>0</v>
      </c>
      <c r="V13" s="145">
        <f>IF(A13&lt;&gt;"",(VLOOKUP(A13,Total!$B$5:$AL$512,33,FALSE)),"")</f>
        <v>0</v>
      </c>
      <c r="W13" s="145">
        <f>IF(A13&lt;&gt;"",(VLOOKUP(A13,Total!$B$5:$AL$512,36,FALSE)),"")</f>
        <v>0</v>
      </c>
      <c r="X13" s="145">
        <f>IF(A13&lt;&gt;"",(VLOOKUP(A13,Total!$B$5:$AM$512,37,FALSE)),"")</f>
        <v>0</v>
      </c>
      <c r="AA13" s="163" t="str">
        <f>IF(A13&lt;&gt;"",(VLOOKUP(A13,Total!$B$5:$AV$512,40,FALSE)),"")</f>
        <v>propoxycarbazone-Sodium</v>
      </c>
      <c r="AB13" s="163" t="str">
        <f>IF(A13&lt;&gt;"",(VLOOKUP(A13,Total!$B$5:$AV$512,41,FALSE)),"")</f>
        <v>mesosulfuron-methyl</v>
      </c>
      <c r="AC13" s="163" t="str">
        <f>IF(A13&lt;&gt;"",(VLOOKUP(A13,Total!$B$5:$AV$512,42,FALSE)),"")</f>
        <v>mefenpyr-diethyl</v>
      </c>
      <c r="AD13" s="163">
        <f>IF(A13&lt;&gt;"",(VLOOKUP(A13,Total!$B$5:$AV$512,43,FALSE)),"")</f>
        <v>0</v>
      </c>
      <c r="AE13" s="163">
        <f>IF(A13&lt;&gt;"",(VLOOKUP(A13,Total!$B$5:$AV$512,44,FALSE)),"")</f>
        <v>67.5</v>
      </c>
      <c r="AF13" s="163">
        <f>IF(A13&lt;&gt;"",(VLOOKUP(A13,Total!$B$5:$AV$512,45,FALSE)),"")</f>
        <v>45</v>
      </c>
      <c r="AG13" s="163">
        <f>IF(A13&lt;&gt;"",(VLOOKUP(A13,Total!$B$5:$AV$512,46,FALSE)),"")</f>
        <v>90</v>
      </c>
      <c r="AH13" s="163">
        <f>IF(A13&lt;&gt;"",(VLOOKUP(A13,Total!$B$5:$AV$512,47,FALSE)),"")</f>
        <v>0</v>
      </c>
      <c r="AI13" s="163">
        <f>VLOOKUP(AA13,Scores!$A$1:$D$157,2,FALSE)</f>
        <v>1.7941390287852022E-2</v>
      </c>
      <c r="AJ13" s="163">
        <f>VLOOKUP(AB13,Scores!$A$1:$D$157,2,FALSE)</f>
        <v>7.8102386676850835E-2</v>
      </c>
      <c r="AK13" s="163">
        <f>VLOOKUP(AC13,Scores!$A$1:$D$157,2,FALSE)</f>
        <v>7.8027178907194388E-4</v>
      </c>
      <c r="AL13" s="163">
        <f>VLOOKUP(AD13,Scores!$A$1:$D$157,2,FALSE)</f>
        <v>0</v>
      </c>
      <c r="AM13" s="163">
        <f>VLOOKUP(AA13,Scores!$A$1:$D$157,3,FALSE)</f>
        <v>3.2796774193548388</v>
      </c>
      <c r="AN13" s="163">
        <f>VLOOKUP(AB13,Scores!$A$1:$D$157,3,FALSE)</f>
        <v>18.827777777777754</v>
      </c>
      <c r="AO13" s="163">
        <f>VLOOKUP(AC13,Scores!$A$1:$D$157,3,FALSE)</f>
        <v>2.2593333333333265E-5</v>
      </c>
      <c r="AP13" s="163">
        <f>VLOOKUP(AD13,Scores!$A$1:$D$157,3,FALSE)</f>
        <v>0</v>
      </c>
      <c r="AQ13" s="163">
        <f t="shared" si="2"/>
        <v>0.3</v>
      </c>
      <c r="AR13" s="163">
        <f t="shared" si="3"/>
        <v>1.4387627117714321</v>
      </c>
      <c r="AS13" s="163">
        <f t="shared" si="4"/>
        <v>320.58907776193519</v>
      </c>
    </row>
    <row r="14" spans="1:45" x14ac:dyDescent="0.25">
      <c r="A14" s="195"/>
      <c r="B14" s="351" t="str">
        <f>IF(A14&lt;&gt;0,VLOOKUP(A14,Total!$B$5:$AZ$512,51,FALSE),"")</f>
        <v/>
      </c>
      <c r="C14" s="352"/>
      <c r="D14" s="144" t="str">
        <f>IF(A14&lt;&gt;"",(VLOOKUP(A14,Total!$B$5:$AL$512,2,FALSE)),"")</f>
        <v/>
      </c>
      <c r="E14" s="145" t="str">
        <f>IF(A14&lt;&gt;"",(VLOOKUP(A14,Total!$B$5:$AL$512,3,FALSE)),"")</f>
        <v/>
      </c>
      <c r="F14" s="145" t="str">
        <f>IF(A14&lt;&gt;"",(VLOOKUP(A14,Total!$B$5:$AL$512,12,FALSE)),"")</f>
        <v/>
      </c>
      <c r="G14" s="145" t="str">
        <f>IF(A14&lt;&gt;"",(VLOOKUP(A14,Total!$B$5:$AL$512,14,FALSE)),"")</f>
        <v/>
      </c>
      <c r="H14" s="145" t="str">
        <f>IF(A14&lt;&gt;"",(VLOOKUP(A14,Total!$B$5:$AL$512,8,FALSE)),"")</f>
        <v/>
      </c>
      <c r="I14" s="145" t="str">
        <f>IF(A14&lt;&gt;"",(VLOOKUP(A14,Total!$B$5:$AL$512,9,FALSE)),"")</f>
        <v/>
      </c>
      <c r="J14" s="145" t="str">
        <f>IF(A14&lt;&gt;"",(VLOOKUP(A14,Total!$B$5:$AL$512,10,FALSE)),"")</f>
        <v/>
      </c>
      <c r="K14" s="145" t="str">
        <f>IF(A14&lt;&gt;"",(VLOOKUP(A14,Total!$B$5:$AL$512,11,FALSE)),"")</f>
        <v/>
      </c>
      <c r="L14" s="175" t="str">
        <f>IF(A14&lt;&gt;"",(VLOOKUP(A14,Total!$B$5:$AL$512,15,FALSE)),"")</f>
        <v/>
      </c>
      <c r="M14" s="202">
        <f t="shared" si="0"/>
        <v>0</v>
      </c>
      <c r="N14" s="202">
        <f t="shared" si="1"/>
        <v>0</v>
      </c>
      <c r="O14" s="145" t="str">
        <f>IF(A14&lt;&gt;"",(VLOOKUP(A14,Total!$B$5:$AL$512,26,FALSE)),"")</f>
        <v/>
      </c>
      <c r="P14" s="145" t="str">
        <f>IF(A14&lt;&gt;"",(VLOOKUP(A14,Total!$B$5:$AL$512,27,FALSE)),"")</f>
        <v/>
      </c>
      <c r="Q14" s="145" t="str">
        <f>IF(A14&lt;&gt;"",(VLOOKUP(A14,Total!$B$5:$AL$512,28,FALSE)),"")</f>
        <v/>
      </c>
      <c r="R14" s="145" t="str">
        <f>IF(A14&lt;&gt;"",(VLOOKUP(A14,Total!$B$5:$AL$512,29,FALSE)),"")</f>
        <v/>
      </c>
      <c r="S14" s="145" t="str">
        <f>IF(A14&lt;&gt;"",(VLOOKUP(A14,Total!$B$5:$AL$512,30,FALSE)),"")</f>
        <v/>
      </c>
      <c r="T14" s="145" t="str">
        <f>IF(A14&lt;&gt;"",(VLOOKUP(A14,Total!$B$5:$AL$512,31,FALSE)),"")</f>
        <v/>
      </c>
      <c r="U14" s="145" t="str">
        <f>IF(A14&lt;&gt;"",(VLOOKUP(A14,Total!$B$5:$AL$512,32,FALSE)),"")</f>
        <v/>
      </c>
      <c r="V14" s="145" t="str">
        <f>IF(A14&lt;&gt;"",(VLOOKUP(A14,Total!$B$5:$AL$512,33,FALSE)),"")</f>
        <v/>
      </c>
      <c r="W14" s="145" t="str">
        <f>IF(A14&lt;&gt;"",(VLOOKUP(A14,Total!$B$5:$AL$512,36,FALSE)),"")</f>
        <v/>
      </c>
      <c r="X14" s="145" t="str">
        <f>IF(A14&lt;&gt;"",(VLOOKUP(A14,Total!$B$5:$AM$512,37,FALSE)),"")</f>
        <v/>
      </c>
      <c r="AA14" s="163" t="str">
        <f>IF(A14&lt;&gt;"",(VLOOKUP(A14,Total!$B$5:$AV$512,40,FALSE)),"")</f>
        <v/>
      </c>
      <c r="AB14" s="163" t="str">
        <f>IF(A14&lt;&gt;"",(VLOOKUP(A14,Total!$B$5:$AV$512,41,FALSE)),"")</f>
        <v/>
      </c>
      <c r="AC14" s="163" t="str">
        <f>IF(A14&lt;&gt;"",(VLOOKUP(A14,Total!$B$5:$AV$512,42,FALSE)),"")</f>
        <v/>
      </c>
      <c r="AD14" s="163" t="str">
        <f>IF(A14&lt;&gt;"",(VLOOKUP(A14,Total!$B$5:$AV$512,43,FALSE)),"")</f>
        <v/>
      </c>
      <c r="AE14" s="163" t="str">
        <f>IF(A14&lt;&gt;"",(VLOOKUP(A14,Total!$B$5:$AV$512,44,FALSE)),"")</f>
        <v/>
      </c>
      <c r="AF14" s="163" t="str">
        <f>IF(A14&lt;&gt;"",(VLOOKUP(A14,Total!$B$5:$AV$512,45,FALSE)),"")</f>
        <v/>
      </c>
      <c r="AG14" s="163" t="str">
        <f>IF(A14&lt;&gt;"",(VLOOKUP(A14,Total!$B$5:$AV$512,46,FALSE)),"")</f>
        <v/>
      </c>
      <c r="AH14" s="163" t="str">
        <f>IF(A14&lt;&gt;"",(VLOOKUP(A14,Total!$B$5:$AV$512,47,FALSE)),"")</f>
        <v/>
      </c>
      <c r="AI14" s="163" t="e">
        <f>VLOOKUP(AA14,Scores!$A$1:$D$157,2,FALSE)</f>
        <v>#N/A</v>
      </c>
      <c r="AJ14" s="163" t="e">
        <f>VLOOKUP(AB14,Scores!$A$1:$D$157,2,FALSE)</f>
        <v>#N/A</v>
      </c>
      <c r="AK14" s="163" t="e">
        <f>VLOOKUP(AC14,Scores!$A$1:$D$157,2,FALSE)</f>
        <v>#N/A</v>
      </c>
      <c r="AL14" s="163" t="e">
        <f>VLOOKUP(AD14,Scores!$A$1:$D$157,2,FALSE)</f>
        <v>#N/A</v>
      </c>
      <c r="AM14" s="163" t="e">
        <f>VLOOKUP(AA14,Scores!$A$1:$D$157,3,FALSE)</f>
        <v>#N/A</v>
      </c>
      <c r="AN14" s="163" t="e">
        <f>VLOOKUP(AB14,Scores!$A$1:$D$157,3,FALSE)</f>
        <v>#N/A</v>
      </c>
      <c r="AO14" s="163" t="e">
        <f>VLOOKUP(AC14,Scores!$A$1:$D$157,3,FALSE)</f>
        <v>#N/A</v>
      </c>
      <c r="AP14" s="163" t="e">
        <f>VLOOKUP(AD14,Scores!$A$1:$D$157,3,FALSE)</f>
        <v>#N/A</v>
      </c>
      <c r="AQ14" s="163" t="str">
        <f t="shared" si="2"/>
        <v/>
      </c>
      <c r="AR14" s="163">
        <f t="shared" si="3"/>
        <v>0</v>
      </c>
      <c r="AS14" s="163">
        <f t="shared" si="4"/>
        <v>0</v>
      </c>
    </row>
    <row r="15" spans="1:45" x14ac:dyDescent="0.25">
      <c r="A15" s="195"/>
      <c r="B15" s="351" t="str">
        <f>IF(A15&lt;&gt;0,VLOOKUP(A15,Total!$B$5:$AZ$512,51,FALSE),"")</f>
        <v/>
      </c>
      <c r="C15" s="352"/>
      <c r="D15" s="144" t="str">
        <f>IF(A15&lt;&gt;"",(VLOOKUP(A15,Total!$B$5:$AL$512,2,FALSE)),"")</f>
        <v/>
      </c>
      <c r="E15" s="145" t="str">
        <f>IF(A15&lt;&gt;"",(VLOOKUP(A15,Total!$B$5:$AL$512,3,FALSE)),"")</f>
        <v/>
      </c>
      <c r="F15" s="145" t="str">
        <f>IF(A15&lt;&gt;"",(VLOOKUP(A15,Total!$B$5:$AL$512,12,FALSE)),"")</f>
        <v/>
      </c>
      <c r="G15" s="145" t="str">
        <f>IF(A15&lt;&gt;"",(VLOOKUP(A15,Total!$B$5:$AL$512,14,FALSE)),"")</f>
        <v/>
      </c>
      <c r="H15" s="145" t="str">
        <f>IF(A15&lt;&gt;"",(VLOOKUP(A15,Total!$B$5:$AL$512,8,FALSE)),"")</f>
        <v/>
      </c>
      <c r="I15" s="145" t="str">
        <f>IF(A15&lt;&gt;"",(VLOOKUP(A15,Total!$B$5:$AL$512,9,FALSE)),"")</f>
        <v/>
      </c>
      <c r="J15" s="145" t="str">
        <f>IF(A15&lt;&gt;"",(VLOOKUP(A15,Total!$B$5:$AL$512,10,FALSE)),"")</f>
        <v/>
      </c>
      <c r="K15" s="145" t="str">
        <f>IF(A15&lt;&gt;"",(VLOOKUP(A15,Total!$B$5:$AL$512,11,FALSE)),"")</f>
        <v/>
      </c>
      <c r="L15" s="175" t="str">
        <f>IF(A15&lt;&gt;"",(VLOOKUP(A15,Total!$B$5:$AL$512,15,FALSE)),"")</f>
        <v/>
      </c>
      <c r="M15" s="202">
        <f t="shared" si="0"/>
        <v>0</v>
      </c>
      <c r="N15" s="202">
        <f t="shared" si="1"/>
        <v>0</v>
      </c>
      <c r="O15" s="145" t="str">
        <f>IF(A15&lt;&gt;"",(VLOOKUP(A15,Total!$B$5:$AL$512,26,FALSE)),"")</f>
        <v/>
      </c>
      <c r="P15" s="145" t="str">
        <f>IF(A15&lt;&gt;"",(VLOOKUP(A15,Total!$B$5:$AL$512,27,FALSE)),"")</f>
        <v/>
      </c>
      <c r="Q15" s="145" t="str">
        <f>IF(A15&lt;&gt;"",(VLOOKUP(A15,Total!$B$5:$AL$512,28,FALSE)),"")</f>
        <v/>
      </c>
      <c r="R15" s="145" t="str">
        <f>IF(A15&lt;&gt;"",(VLOOKUP(A15,Total!$B$5:$AL$512,29,FALSE)),"")</f>
        <v/>
      </c>
      <c r="S15" s="145" t="str">
        <f>IF(A15&lt;&gt;"",(VLOOKUP(A15,Total!$B$5:$AL$512,30,FALSE)),"")</f>
        <v/>
      </c>
      <c r="T15" s="145" t="str">
        <f>IF(A15&lt;&gt;"",(VLOOKUP(A15,Total!$B$5:$AL$512,31,FALSE)),"")</f>
        <v/>
      </c>
      <c r="U15" s="145" t="str">
        <f>IF(A15&lt;&gt;"",(VLOOKUP(A15,Total!$B$5:$AL$512,32,FALSE)),"")</f>
        <v/>
      </c>
      <c r="V15" s="145" t="str">
        <f>IF(A15&lt;&gt;"",(VLOOKUP(A15,Total!$B$5:$AL$512,33,FALSE)),"")</f>
        <v/>
      </c>
      <c r="W15" s="145" t="str">
        <f>IF(A15&lt;&gt;"",(VLOOKUP(A15,Total!$B$5:$AL$512,36,FALSE)),"")</f>
        <v/>
      </c>
      <c r="X15" s="145" t="str">
        <f>IF(A15&lt;&gt;"",(VLOOKUP(A15,Total!$B$5:$AM$512,37,FALSE)),"")</f>
        <v/>
      </c>
      <c r="AA15" s="163" t="str">
        <f>IF(A15&lt;&gt;"",(VLOOKUP(A15,Total!$B$5:$AV$512,40,FALSE)),"")</f>
        <v/>
      </c>
      <c r="AB15" s="163" t="str">
        <f>IF(A15&lt;&gt;"",(VLOOKUP(A15,Total!$B$5:$AV$512,41,FALSE)),"")</f>
        <v/>
      </c>
      <c r="AC15" s="163" t="str">
        <f>IF(A15&lt;&gt;"",(VLOOKUP(A15,Total!$B$5:$AV$512,42,FALSE)),"")</f>
        <v/>
      </c>
      <c r="AD15" s="163" t="str">
        <f>IF(A15&lt;&gt;"",(VLOOKUP(A15,Total!$B$5:$AV$512,43,FALSE)),"")</f>
        <v/>
      </c>
      <c r="AE15" s="163" t="str">
        <f>IF(A15&lt;&gt;"",(VLOOKUP(A15,Total!$B$5:$AV$512,44,FALSE)),"")</f>
        <v/>
      </c>
      <c r="AF15" s="163" t="str">
        <f>IF(A15&lt;&gt;"",(VLOOKUP(A15,Total!$B$5:$AV$512,45,FALSE)),"")</f>
        <v/>
      </c>
      <c r="AG15" s="163" t="str">
        <f>IF(A15&lt;&gt;"",(VLOOKUP(A15,Total!$B$5:$AV$512,46,FALSE)),"")</f>
        <v/>
      </c>
      <c r="AH15" s="163" t="str">
        <f>IF(A15&lt;&gt;"",(VLOOKUP(A15,Total!$B$5:$AV$512,47,FALSE)),"")</f>
        <v/>
      </c>
      <c r="AI15" s="163" t="e">
        <f>VLOOKUP(AA15,Scores!$A$1:$D$157,2,FALSE)</f>
        <v>#N/A</v>
      </c>
      <c r="AJ15" s="163" t="e">
        <f>VLOOKUP(AB15,Scores!$A$1:$D$157,2,FALSE)</f>
        <v>#N/A</v>
      </c>
      <c r="AK15" s="163" t="e">
        <f>VLOOKUP(AC15,Scores!$A$1:$D$157,2,FALSE)</f>
        <v>#N/A</v>
      </c>
      <c r="AL15" s="163" t="e">
        <f>VLOOKUP(AD15,Scores!$A$1:$D$157,2,FALSE)</f>
        <v>#N/A</v>
      </c>
      <c r="AM15" s="163" t="e">
        <f>VLOOKUP(AA15,Scores!$A$1:$D$157,3,FALSE)</f>
        <v>#N/A</v>
      </c>
      <c r="AN15" s="163" t="e">
        <f>VLOOKUP(AB15,Scores!$A$1:$D$157,3,FALSE)</f>
        <v>#N/A</v>
      </c>
      <c r="AO15" s="163" t="e">
        <f>VLOOKUP(AC15,Scores!$A$1:$D$157,3,FALSE)</f>
        <v>#N/A</v>
      </c>
      <c r="AP15" s="163" t="e">
        <f>VLOOKUP(AD15,Scores!$A$1:$D$157,3,FALSE)</f>
        <v>#N/A</v>
      </c>
      <c r="AQ15" s="163" t="str">
        <f t="shared" si="2"/>
        <v/>
      </c>
      <c r="AR15" s="163">
        <f t="shared" si="3"/>
        <v>0</v>
      </c>
      <c r="AS15" s="163">
        <f t="shared" si="4"/>
        <v>0</v>
      </c>
    </row>
    <row r="16" spans="1:45" x14ac:dyDescent="0.25">
      <c r="A16" s="195"/>
      <c r="B16" s="351" t="str">
        <f>IF(A16&lt;&gt;0,VLOOKUP(A16,Total!$B$5:$AZ$512,51,FALSE),"")</f>
        <v/>
      </c>
      <c r="C16" s="352"/>
      <c r="D16" s="144" t="str">
        <f>IF(A16&lt;&gt;"",(VLOOKUP(A16,Total!$B$5:$AL$512,2,FALSE)),"")</f>
        <v/>
      </c>
      <c r="E16" s="145" t="str">
        <f>IF(A16&lt;&gt;"",(VLOOKUP(A16,Total!$B$5:$AL$512,3,FALSE)),"")</f>
        <v/>
      </c>
      <c r="F16" s="145" t="str">
        <f>IF(A16&lt;&gt;"",(VLOOKUP(A16,Total!$B$5:$AL$512,12,FALSE)),"")</f>
        <v/>
      </c>
      <c r="G16" s="145" t="str">
        <f>IF(A16&lt;&gt;"",(VLOOKUP(A16,Total!$B$5:$AL$512,14,FALSE)),"")</f>
        <v/>
      </c>
      <c r="H16" s="145" t="str">
        <f>IF(A16&lt;&gt;"",(VLOOKUP(A16,Total!$B$5:$AL$512,8,FALSE)),"")</f>
        <v/>
      </c>
      <c r="I16" s="145" t="str">
        <f>IF(A16&lt;&gt;"",(VLOOKUP(A16,Total!$B$5:$AL$512,9,FALSE)),"")</f>
        <v/>
      </c>
      <c r="J16" s="145" t="str">
        <f>IF(A16&lt;&gt;"",(VLOOKUP(A16,Total!$B$5:$AL$512,10,FALSE)),"")</f>
        <v/>
      </c>
      <c r="K16" s="145" t="str">
        <f>IF(A16&lt;&gt;"",(VLOOKUP(A16,Total!$B$5:$AL$512,11,FALSE)),"")</f>
        <v/>
      </c>
      <c r="L16" s="175" t="str">
        <f>IF(A16&lt;&gt;"",(VLOOKUP(A16,Total!$B$5:$AL$512,15,FALSE)),"")</f>
        <v/>
      </c>
      <c r="M16" s="202">
        <f t="shared" si="0"/>
        <v>0</v>
      </c>
      <c r="N16" s="202">
        <f t="shared" si="1"/>
        <v>0</v>
      </c>
      <c r="O16" s="145" t="str">
        <f>IF(A16&lt;&gt;"",(VLOOKUP(A16,Total!$B$5:$AL$512,26,FALSE)),"")</f>
        <v/>
      </c>
      <c r="P16" s="145" t="str">
        <f>IF(A16&lt;&gt;"",(VLOOKUP(A16,Total!$B$5:$AL$512,27,FALSE)),"")</f>
        <v/>
      </c>
      <c r="Q16" s="145" t="str">
        <f>IF(A16&lt;&gt;"",(VLOOKUP(A16,Total!$B$5:$AL$512,28,FALSE)),"")</f>
        <v/>
      </c>
      <c r="R16" s="145" t="str">
        <f>IF(A16&lt;&gt;"",(VLOOKUP(A16,Total!$B$5:$AL$512,29,FALSE)),"")</f>
        <v/>
      </c>
      <c r="S16" s="145" t="str">
        <f>IF(A16&lt;&gt;"",(VLOOKUP(A16,Total!$B$5:$AL$512,30,FALSE)),"")</f>
        <v/>
      </c>
      <c r="T16" s="145" t="str">
        <f>IF(A16&lt;&gt;"",(VLOOKUP(A16,Total!$B$5:$AL$512,31,FALSE)),"")</f>
        <v/>
      </c>
      <c r="U16" s="145" t="str">
        <f>IF(A16&lt;&gt;"",(VLOOKUP(A16,Total!$B$5:$AL$512,32,FALSE)),"")</f>
        <v/>
      </c>
      <c r="V16" s="145" t="str">
        <f>IF(A16&lt;&gt;"",(VLOOKUP(A16,Total!$B$5:$AL$512,33,FALSE)),"")</f>
        <v/>
      </c>
      <c r="W16" s="145" t="str">
        <f>IF(A16&lt;&gt;"",(VLOOKUP(A16,Total!$B$5:$AL$512,36,FALSE)),"")</f>
        <v/>
      </c>
      <c r="X16" s="145" t="str">
        <f>IF(A16&lt;&gt;"",(VLOOKUP(A16,Total!$B$5:$AM$512,37,FALSE)),"")</f>
        <v/>
      </c>
      <c r="AA16" s="163" t="str">
        <f>IF(A16&lt;&gt;"",(VLOOKUP(A16,Total!$B$5:$AV$512,40,FALSE)),"")</f>
        <v/>
      </c>
      <c r="AB16" s="163" t="str">
        <f>IF(A16&lt;&gt;"",(VLOOKUP(A16,Total!$B$5:$AV$512,41,FALSE)),"")</f>
        <v/>
      </c>
      <c r="AC16" s="163" t="str">
        <f>IF(A16&lt;&gt;"",(VLOOKUP(A16,Total!$B$5:$AV$512,42,FALSE)),"")</f>
        <v/>
      </c>
      <c r="AD16" s="163" t="str">
        <f>IF(A16&lt;&gt;"",(VLOOKUP(A16,Total!$B$5:$AV$512,43,FALSE)),"")</f>
        <v/>
      </c>
      <c r="AE16" s="163" t="str">
        <f>IF(A16&lt;&gt;"",(VLOOKUP(A16,Total!$B$5:$AV$512,44,FALSE)),"")</f>
        <v/>
      </c>
      <c r="AF16" s="163" t="str">
        <f>IF(A16&lt;&gt;"",(VLOOKUP(A16,Total!$B$5:$AV$512,45,FALSE)),"")</f>
        <v/>
      </c>
      <c r="AG16" s="163" t="str">
        <f>IF(A16&lt;&gt;"",(VLOOKUP(A16,Total!$B$5:$AV$512,46,FALSE)),"")</f>
        <v/>
      </c>
      <c r="AH16" s="163" t="str">
        <f>IF(A16&lt;&gt;"",(VLOOKUP(A16,Total!$B$5:$AV$512,47,FALSE)),"")</f>
        <v/>
      </c>
      <c r="AI16" s="163" t="e">
        <f>VLOOKUP(AA16,Scores!$A$1:$D$157,2,FALSE)</f>
        <v>#N/A</v>
      </c>
      <c r="AJ16" s="163" t="e">
        <f>VLOOKUP(AB16,Scores!$A$1:$D$157,2,FALSE)</f>
        <v>#N/A</v>
      </c>
      <c r="AK16" s="163" t="e">
        <f>VLOOKUP(AC16,Scores!$A$1:$D$157,2,FALSE)</f>
        <v>#N/A</v>
      </c>
      <c r="AL16" s="163" t="e">
        <f>VLOOKUP(AD16,Scores!$A$1:$D$157,2,FALSE)</f>
        <v>#N/A</v>
      </c>
      <c r="AM16" s="163" t="e">
        <f>VLOOKUP(AA16,Scores!$A$1:$D$157,3,FALSE)</f>
        <v>#N/A</v>
      </c>
      <c r="AN16" s="163" t="e">
        <f>VLOOKUP(AB16,Scores!$A$1:$D$157,3,FALSE)</f>
        <v>#N/A</v>
      </c>
      <c r="AO16" s="163" t="e">
        <f>VLOOKUP(AC16,Scores!$A$1:$D$157,3,FALSE)</f>
        <v>#N/A</v>
      </c>
      <c r="AP16" s="163" t="e">
        <f>VLOOKUP(AD16,Scores!$A$1:$D$157,3,FALSE)</f>
        <v>#N/A</v>
      </c>
      <c r="AQ16" s="163" t="str">
        <f t="shared" si="2"/>
        <v/>
      </c>
      <c r="AR16" s="163">
        <f t="shared" si="3"/>
        <v>0</v>
      </c>
      <c r="AS16" s="163">
        <f t="shared" si="4"/>
        <v>0</v>
      </c>
    </row>
    <row r="17" spans="1:45" x14ac:dyDescent="0.25">
      <c r="A17" s="195"/>
      <c r="B17" s="351" t="str">
        <f>IF(A17&lt;&gt;0,VLOOKUP(A17,Total!$B$5:$AZ$512,51,FALSE),"")</f>
        <v/>
      </c>
      <c r="C17" s="352"/>
      <c r="D17" s="144" t="str">
        <f>IF(A17&lt;&gt;"",(VLOOKUP(A17,Total!$B$5:$AL$512,2,FALSE)),"")</f>
        <v/>
      </c>
      <c r="E17" s="145" t="str">
        <f>IF(A17&lt;&gt;"",(VLOOKUP(A17,Total!$B$5:$AL$512,3,FALSE)),"")</f>
        <v/>
      </c>
      <c r="F17" s="145" t="str">
        <f>IF(A17&lt;&gt;"",(VLOOKUP(A17,Total!$B$5:$AL$512,12,FALSE)),"")</f>
        <v/>
      </c>
      <c r="G17" s="145" t="str">
        <f>IF(A17&lt;&gt;"",(VLOOKUP(A17,Total!$B$5:$AL$512,14,FALSE)),"")</f>
        <v/>
      </c>
      <c r="H17" s="145" t="str">
        <f>IF(A17&lt;&gt;"",(VLOOKUP(A17,Total!$B$5:$AL$512,8,FALSE)),"")</f>
        <v/>
      </c>
      <c r="I17" s="145" t="str">
        <f>IF(A17&lt;&gt;"",(VLOOKUP(A17,Total!$B$5:$AL$512,9,FALSE)),"")</f>
        <v/>
      </c>
      <c r="J17" s="145" t="str">
        <f>IF(A17&lt;&gt;"",(VLOOKUP(A17,Total!$B$5:$AL$512,10,FALSE)),"")</f>
        <v/>
      </c>
      <c r="K17" s="145" t="str">
        <f>IF(A17&lt;&gt;"",(VLOOKUP(A17,Total!$B$5:$AL$512,11,FALSE)),"")</f>
        <v/>
      </c>
      <c r="L17" s="175" t="str">
        <f>IF(A17&lt;&gt;"",(VLOOKUP(A17,Total!$B$5:$AL$512,15,FALSE)),"")</f>
        <v/>
      </c>
      <c r="M17" s="202">
        <f t="shared" si="0"/>
        <v>0</v>
      </c>
      <c r="N17" s="202">
        <f t="shared" si="1"/>
        <v>0</v>
      </c>
      <c r="O17" s="145" t="str">
        <f>IF(A17&lt;&gt;"",(VLOOKUP(A17,Total!$B$5:$AL$512,26,FALSE)),"")</f>
        <v/>
      </c>
      <c r="P17" s="145" t="str">
        <f>IF(A17&lt;&gt;"",(VLOOKUP(A17,Total!$B$5:$AL$512,27,FALSE)),"")</f>
        <v/>
      </c>
      <c r="Q17" s="145" t="str">
        <f>IF(A17&lt;&gt;"",(VLOOKUP(A17,Total!$B$5:$AL$512,28,FALSE)),"")</f>
        <v/>
      </c>
      <c r="R17" s="145" t="str">
        <f>IF(A17&lt;&gt;"",(VLOOKUP(A17,Total!$B$5:$AL$512,29,FALSE)),"")</f>
        <v/>
      </c>
      <c r="S17" s="145" t="str">
        <f>IF(A17&lt;&gt;"",(VLOOKUP(A17,Total!$B$5:$AL$512,30,FALSE)),"")</f>
        <v/>
      </c>
      <c r="T17" s="145" t="str">
        <f>IF(A17&lt;&gt;"",(VLOOKUP(A17,Total!$B$5:$AL$512,31,FALSE)),"")</f>
        <v/>
      </c>
      <c r="U17" s="145" t="str">
        <f>IF(A17&lt;&gt;"",(VLOOKUP(A17,Total!$B$5:$AL$512,32,FALSE)),"")</f>
        <v/>
      </c>
      <c r="V17" s="145" t="str">
        <f>IF(A17&lt;&gt;"",(VLOOKUP(A17,Total!$B$5:$AL$512,33,FALSE)),"")</f>
        <v/>
      </c>
      <c r="W17" s="145" t="str">
        <f>IF(A17&lt;&gt;"",(VLOOKUP(A17,Total!$B$5:$AL$512,36,FALSE)),"")</f>
        <v/>
      </c>
      <c r="X17" s="145" t="str">
        <f>IF(A17&lt;&gt;"",(VLOOKUP(A17,Total!$B$5:$AM$512,37,FALSE)),"")</f>
        <v/>
      </c>
      <c r="AA17" s="163" t="str">
        <f>IF(A17&lt;&gt;"",(VLOOKUP(A17,Total!$B$5:$AV$512,40,FALSE)),"")</f>
        <v/>
      </c>
      <c r="AB17" s="163" t="str">
        <f>IF(A17&lt;&gt;"",(VLOOKUP(A17,Total!$B$5:$AV$512,41,FALSE)),"")</f>
        <v/>
      </c>
      <c r="AC17" s="163" t="str">
        <f>IF(A17&lt;&gt;"",(VLOOKUP(A17,Total!$B$5:$AV$512,42,FALSE)),"")</f>
        <v/>
      </c>
      <c r="AD17" s="163" t="str">
        <f>IF(A17&lt;&gt;"",(VLOOKUP(A17,Total!$B$5:$AV$512,43,FALSE)),"")</f>
        <v/>
      </c>
      <c r="AE17" s="163" t="str">
        <f>IF(A17&lt;&gt;"",(VLOOKUP(A17,Total!$B$5:$AV$512,44,FALSE)),"")</f>
        <v/>
      </c>
      <c r="AF17" s="163" t="str">
        <f>IF(A17&lt;&gt;"",(VLOOKUP(A17,Total!$B$5:$AV$512,45,FALSE)),"")</f>
        <v/>
      </c>
      <c r="AG17" s="163" t="str">
        <f>IF(A17&lt;&gt;"",(VLOOKUP(A17,Total!$B$5:$AV$512,46,FALSE)),"")</f>
        <v/>
      </c>
      <c r="AH17" s="163" t="str">
        <f>IF(A17&lt;&gt;"",(VLOOKUP(A17,Total!$B$5:$AV$512,47,FALSE)),"")</f>
        <v/>
      </c>
      <c r="AI17" s="163" t="e">
        <f>VLOOKUP(AA17,Scores!$A$1:$D$157,2,FALSE)</f>
        <v>#N/A</v>
      </c>
      <c r="AJ17" s="163" t="e">
        <f>VLOOKUP(AB17,Scores!$A$1:$D$157,2,FALSE)</f>
        <v>#N/A</v>
      </c>
      <c r="AK17" s="163" t="e">
        <f>VLOOKUP(AC17,Scores!$A$1:$D$157,2,FALSE)</f>
        <v>#N/A</v>
      </c>
      <c r="AL17" s="163" t="e">
        <f>VLOOKUP(AD17,Scores!$A$1:$D$157,2,FALSE)</f>
        <v>#N/A</v>
      </c>
      <c r="AM17" s="163" t="e">
        <f>VLOOKUP(AA17,Scores!$A$1:$D$157,3,FALSE)</f>
        <v>#N/A</v>
      </c>
      <c r="AN17" s="163" t="e">
        <f>VLOOKUP(AB17,Scores!$A$1:$D$157,3,FALSE)</f>
        <v>#N/A</v>
      </c>
      <c r="AO17" s="163" t="e">
        <f>VLOOKUP(AC17,Scores!$A$1:$D$157,3,FALSE)</f>
        <v>#N/A</v>
      </c>
      <c r="AP17" s="163" t="e">
        <f>VLOOKUP(AD17,Scores!$A$1:$D$157,3,FALSE)</f>
        <v>#N/A</v>
      </c>
      <c r="AQ17" s="163" t="str">
        <f t="shared" si="2"/>
        <v/>
      </c>
      <c r="AR17" s="163">
        <f t="shared" si="3"/>
        <v>0</v>
      </c>
      <c r="AS17" s="163">
        <f t="shared" si="4"/>
        <v>0</v>
      </c>
    </row>
    <row r="18" spans="1:45" x14ac:dyDescent="0.25">
      <c r="A18" s="195"/>
      <c r="B18" s="351" t="str">
        <f>IF(A18&lt;&gt;0,VLOOKUP(A18,Total!$B$5:$AZ$512,51,FALSE),"")</f>
        <v/>
      </c>
      <c r="C18" s="352"/>
      <c r="D18" s="144" t="str">
        <f>IF(A18&lt;&gt;"",(VLOOKUP(A18,Total!$B$5:$AL$512,2,FALSE)),"")</f>
        <v/>
      </c>
      <c r="E18" s="145" t="str">
        <f>IF(A18&lt;&gt;"",(VLOOKUP(A18,Total!$B$5:$AL$512,3,FALSE)),"")</f>
        <v/>
      </c>
      <c r="F18" s="145" t="str">
        <f>IF(A18&lt;&gt;"",(VLOOKUP(A18,Total!$B$5:$AL$512,12,FALSE)),"")</f>
        <v/>
      </c>
      <c r="G18" s="145" t="str">
        <f>IF(A18&lt;&gt;"",(VLOOKUP(A18,Total!$B$5:$AL$512,14,FALSE)),"")</f>
        <v/>
      </c>
      <c r="H18" s="145" t="str">
        <f>IF(A18&lt;&gt;"",(VLOOKUP(A18,Total!$B$5:$AL$512,8,FALSE)),"")</f>
        <v/>
      </c>
      <c r="I18" s="145" t="str">
        <f>IF(A18&lt;&gt;"",(VLOOKUP(A18,Total!$B$5:$AL$512,9,FALSE)),"")</f>
        <v/>
      </c>
      <c r="J18" s="145" t="str">
        <f>IF(A18&lt;&gt;"",(VLOOKUP(A18,Total!$B$5:$AL$512,10,FALSE)),"")</f>
        <v/>
      </c>
      <c r="K18" s="145" t="str">
        <f>IF(A18&lt;&gt;"",(VLOOKUP(A18,Total!$B$5:$AL$512,11,FALSE)),"")</f>
        <v/>
      </c>
      <c r="L18" s="175" t="str">
        <f>IF(A18&lt;&gt;"",(VLOOKUP(A18,Total!$B$5:$AL$512,15,FALSE)),"")</f>
        <v/>
      </c>
      <c r="M18" s="202">
        <f t="shared" si="0"/>
        <v>0</v>
      </c>
      <c r="N18" s="202">
        <f t="shared" si="1"/>
        <v>0</v>
      </c>
      <c r="O18" s="145" t="str">
        <f>IF(A18&lt;&gt;"",(VLOOKUP(A18,Total!$B$5:$AL$512,26,FALSE)),"")</f>
        <v/>
      </c>
      <c r="P18" s="145" t="str">
        <f>IF(A18&lt;&gt;"",(VLOOKUP(A18,Total!$B$5:$AL$512,27,FALSE)),"")</f>
        <v/>
      </c>
      <c r="Q18" s="145" t="str">
        <f>IF(A18&lt;&gt;"",(VLOOKUP(A18,Total!$B$5:$AL$512,28,FALSE)),"")</f>
        <v/>
      </c>
      <c r="R18" s="145" t="str">
        <f>IF(A18&lt;&gt;"",(VLOOKUP(A18,Total!$B$5:$AL$512,29,FALSE)),"")</f>
        <v/>
      </c>
      <c r="S18" s="145" t="str">
        <f>IF(A18&lt;&gt;"",(VLOOKUP(A18,Total!$B$5:$AL$512,30,FALSE)),"")</f>
        <v/>
      </c>
      <c r="T18" s="145" t="str">
        <f>IF(A18&lt;&gt;"",(VLOOKUP(A18,Total!$B$5:$AL$512,31,FALSE)),"")</f>
        <v/>
      </c>
      <c r="U18" s="145" t="str">
        <f>IF(A18&lt;&gt;"",(VLOOKUP(A18,Total!$B$5:$AL$512,32,FALSE)),"")</f>
        <v/>
      </c>
      <c r="V18" s="145" t="str">
        <f>IF(A18&lt;&gt;"",(VLOOKUP(A18,Total!$B$5:$AL$512,33,FALSE)),"")</f>
        <v/>
      </c>
      <c r="W18" s="145" t="str">
        <f>IF(A18&lt;&gt;"",(VLOOKUP(A18,Total!$B$5:$AL$512,36,FALSE)),"")</f>
        <v/>
      </c>
      <c r="X18" s="145" t="str">
        <f>IF(A18&lt;&gt;"",(VLOOKUP(A18,Total!$B$5:$AM$512,37,FALSE)),"")</f>
        <v/>
      </c>
      <c r="AA18" s="163" t="str">
        <f>IF(A18&lt;&gt;"",(VLOOKUP(A18,Total!$B$5:$AV$512,40,FALSE)),"")</f>
        <v/>
      </c>
      <c r="AB18" s="163" t="str">
        <f>IF(A18&lt;&gt;"",(VLOOKUP(A18,Total!$B$5:$AV$512,41,FALSE)),"")</f>
        <v/>
      </c>
      <c r="AC18" s="163" t="str">
        <f>IF(A18&lt;&gt;"",(VLOOKUP(A18,Total!$B$5:$AV$512,42,FALSE)),"")</f>
        <v/>
      </c>
      <c r="AD18" s="163" t="str">
        <f>IF(A18&lt;&gt;"",(VLOOKUP(A18,Total!$B$5:$AV$512,43,FALSE)),"")</f>
        <v/>
      </c>
      <c r="AE18" s="163" t="str">
        <f>IF(A18&lt;&gt;"",(VLOOKUP(A18,Total!$B$5:$AV$512,44,FALSE)),"")</f>
        <v/>
      </c>
      <c r="AF18" s="163" t="str">
        <f>IF(A18&lt;&gt;"",(VLOOKUP(A18,Total!$B$5:$AV$512,45,FALSE)),"")</f>
        <v/>
      </c>
      <c r="AG18" s="163" t="str">
        <f>IF(A18&lt;&gt;"",(VLOOKUP(A18,Total!$B$5:$AV$512,46,FALSE)),"")</f>
        <v/>
      </c>
      <c r="AH18" s="163" t="str">
        <f>IF(A18&lt;&gt;"",(VLOOKUP(A18,Total!$B$5:$AV$512,47,FALSE)),"")</f>
        <v/>
      </c>
      <c r="AI18" s="163" t="e">
        <f>VLOOKUP(AA18,Scores!$A$1:$D$157,2,FALSE)</f>
        <v>#N/A</v>
      </c>
      <c r="AJ18" s="163" t="e">
        <f>VLOOKUP(AB18,Scores!$A$1:$D$157,2,FALSE)</f>
        <v>#N/A</v>
      </c>
      <c r="AK18" s="163" t="e">
        <f>VLOOKUP(AC18,Scores!$A$1:$D$157,2,FALSE)</f>
        <v>#N/A</v>
      </c>
      <c r="AL18" s="163" t="e">
        <f>VLOOKUP(AD18,Scores!$A$1:$D$157,2,FALSE)</f>
        <v>#N/A</v>
      </c>
      <c r="AM18" s="163" t="e">
        <f>VLOOKUP(AA18,Scores!$A$1:$D$157,3,FALSE)</f>
        <v>#N/A</v>
      </c>
      <c r="AN18" s="163" t="e">
        <f>VLOOKUP(AB18,Scores!$A$1:$D$157,3,FALSE)</f>
        <v>#N/A</v>
      </c>
      <c r="AO18" s="163" t="e">
        <f>VLOOKUP(AC18,Scores!$A$1:$D$157,3,FALSE)</f>
        <v>#N/A</v>
      </c>
      <c r="AP18" s="163" t="e">
        <f>VLOOKUP(AD18,Scores!$A$1:$D$157,3,FALSE)</f>
        <v>#N/A</v>
      </c>
      <c r="AQ18" s="163" t="str">
        <f t="shared" si="2"/>
        <v/>
      </c>
      <c r="AR18" s="163">
        <f t="shared" si="3"/>
        <v>0</v>
      </c>
      <c r="AS18" s="163">
        <f t="shared" si="4"/>
        <v>0</v>
      </c>
    </row>
    <row r="19" spans="1:45" x14ac:dyDescent="0.25">
      <c r="A19" s="195"/>
      <c r="B19" s="351" t="str">
        <f>IF(A19&lt;&gt;0,VLOOKUP(A19,Total!$B$5:$AZ$512,51,FALSE),"")</f>
        <v/>
      </c>
      <c r="C19" s="352"/>
      <c r="D19" s="144" t="str">
        <f>IF(A19&lt;&gt;"",(VLOOKUP(A19,Total!$B$5:$AL$512,2,FALSE)),"")</f>
        <v/>
      </c>
      <c r="E19" s="145" t="str">
        <f>IF(A19&lt;&gt;"",(VLOOKUP(A19,Total!$B$5:$AL$512,3,FALSE)),"")</f>
        <v/>
      </c>
      <c r="F19" s="145" t="str">
        <f>IF(A19&lt;&gt;"",(VLOOKUP(A19,Total!$B$5:$AL$512,12,FALSE)),"")</f>
        <v/>
      </c>
      <c r="G19" s="145" t="str">
        <f>IF(A19&lt;&gt;"",(VLOOKUP(A19,Total!$B$5:$AL$512,14,FALSE)),"")</f>
        <v/>
      </c>
      <c r="H19" s="145" t="str">
        <f>IF(A19&lt;&gt;"",(VLOOKUP(A19,Total!$B$5:$AL$512,8,FALSE)),"")</f>
        <v/>
      </c>
      <c r="I19" s="145" t="str">
        <f>IF(A19&lt;&gt;"",(VLOOKUP(A19,Total!$B$5:$AL$512,9,FALSE)),"")</f>
        <v/>
      </c>
      <c r="J19" s="145" t="str">
        <f>IF(A19&lt;&gt;"",(VLOOKUP(A19,Total!$B$5:$AL$512,10,FALSE)),"")</f>
        <v/>
      </c>
      <c r="K19" s="145" t="str">
        <f>IF(A19&lt;&gt;"",(VLOOKUP(A19,Total!$B$5:$AL$512,11,FALSE)),"")</f>
        <v/>
      </c>
      <c r="L19" s="175" t="str">
        <f>IF(A19&lt;&gt;"",(VLOOKUP(A19,Total!$B$5:$AL$512,15,FALSE)),"")</f>
        <v/>
      </c>
      <c r="M19" s="202">
        <f t="shared" si="0"/>
        <v>0</v>
      </c>
      <c r="N19" s="202">
        <f t="shared" si="1"/>
        <v>0</v>
      </c>
      <c r="O19" s="145" t="str">
        <f>IF(A19&lt;&gt;"",(VLOOKUP(A19,Total!$B$5:$AL$512,26,FALSE)),"")</f>
        <v/>
      </c>
      <c r="P19" s="145" t="str">
        <f>IF(A19&lt;&gt;"",(VLOOKUP(A19,Total!$B$5:$AL$512,27,FALSE)),"")</f>
        <v/>
      </c>
      <c r="Q19" s="145" t="str">
        <f>IF(A19&lt;&gt;"",(VLOOKUP(A19,Total!$B$5:$AL$512,28,FALSE)),"")</f>
        <v/>
      </c>
      <c r="R19" s="145" t="str">
        <f>IF(A19&lt;&gt;"",(VLOOKUP(A19,Total!$B$5:$AL$512,29,FALSE)),"")</f>
        <v/>
      </c>
      <c r="S19" s="145" t="str">
        <f>IF(A19&lt;&gt;"",(VLOOKUP(A19,Total!$B$5:$AL$512,30,FALSE)),"")</f>
        <v/>
      </c>
      <c r="T19" s="145" t="str">
        <f>IF(A19&lt;&gt;"",(VLOOKUP(A19,Total!$B$5:$AL$512,31,FALSE)),"")</f>
        <v/>
      </c>
      <c r="U19" s="145" t="str">
        <f>IF(A19&lt;&gt;"",(VLOOKUP(A19,Total!$B$5:$AL$512,32,FALSE)),"")</f>
        <v/>
      </c>
      <c r="V19" s="145" t="str">
        <f>IF(A19&lt;&gt;"",(VLOOKUP(A19,Total!$B$5:$AL$512,33,FALSE)),"")</f>
        <v/>
      </c>
      <c r="W19" s="145" t="str">
        <f>IF(A19&lt;&gt;"",(VLOOKUP(A19,Total!$B$5:$AL$512,36,FALSE)),"")</f>
        <v/>
      </c>
      <c r="X19" s="145" t="str">
        <f>IF(A19&lt;&gt;"",(VLOOKUP(A19,Total!$B$5:$AM$512,37,FALSE)),"")</f>
        <v/>
      </c>
      <c r="AA19" s="163" t="str">
        <f>IF(A19&lt;&gt;"",(VLOOKUP(A19,Total!$B$5:$AV$512,40,FALSE)),"")</f>
        <v/>
      </c>
      <c r="AB19" s="163" t="str">
        <f>IF(A19&lt;&gt;"",(VLOOKUP(A19,Total!$B$5:$AV$512,41,FALSE)),"")</f>
        <v/>
      </c>
      <c r="AC19" s="163" t="str">
        <f>IF(A19&lt;&gt;"",(VLOOKUP(A19,Total!$B$5:$AV$512,42,FALSE)),"")</f>
        <v/>
      </c>
      <c r="AD19" s="163" t="str">
        <f>IF(A19&lt;&gt;"",(VLOOKUP(A19,Total!$B$5:$AV$512,43,FALSE)),"")</f>
        <v/>
      </c>
      <c r="AE19" s="163" t="str">
        <f>IF(A19&lt;&gt;"",(VLOOKUP(A19,Total!$B$5:$AV$512,44,FALSE)),"")</f>
        <v/>
      </c>
      <c r="AF19" s="163" t="str">
        <f>IF(A19&lt;&gt;"",(VLOOKUP(A19,Total!$B$5:$AV$512,45,FALSE)),"")</f>
        <v/>
      </c>
      <c r="AG19" s="163" t="str">
        <f>IF(A19&lt;&gt;"",(VLOOKUP(A19,Total!$B$5:$AV$512,46,FALSE)),"")</f>
        <v/>
      </c>
      <c r="AH19" s="163" t="str">
        <f>IF(A19&lt;&gt;"",(VLOOKUP(A19,Total!$B$5:$AV$512,47,FALSE)),"")</f>
        <v/>
      </c>
      <c r="AI19" s="163" t="e">
        <f>VLOOKUP(AA19,Scores!$A$1:$D$157,2,FALSE)</f>
        <v>#N/A</v>
      </c>
      <c r="AJ19" s="163" t="e">
        <f>VLOOKUP(AB19,Scores!$A$1:$D$157,2,FALSE)</f>
        <v>#N/A</v>
      </c>
      <c r="AK19" s="163" t="e">
        <f>VLOOKUP(AC19,Scores!$A$1:$D$157,2,FALSE)</f>
        <v>#N/A</v>
      </c>
      <c r="AL19" s="163" t="e">
        <f>VLOOKUP(AD19,Scores!$A$1:$D$157,2,FALSE)</f>
        <v>#N/A</v>
      </c>
      <c r="AM19" s="163" t="e">
        <f>VLOOKUP(AA19,Scores!$A$1:$D$157,3,FALSE)</f>
        <v>#N/A</v>
      </c>
      <c r="AN19" s="163" t="e">
        <f>VLOOKUP(AB19,Scores!$A$1:$D$157,3,FALSE)</f>
        <v>#N/A</v>
      </c>
      <c r="AO19" s="163" t="e">
        <f>VLOOKUP(AC19,Scores!$A$1:$D$157,3,FALSE)</f>
        <v>#N/A</v>
      </c>
      <c r="AP19" s="163" t="e">
        <f>VLOOKUP(AD19,Scores!$A$1:$D$157,3,FALSE)</f>
        <v>#N/A</v>
      </c>
      <c r="AQ19" s="163" t="str">
        <f t="shared" si="2"/>
        <v/>
      </c>
      <c r="AR19" s="163">
        <f t="shared" si="3"/>
        <v>0</v>
      </c>
      <c r="AS19" s="163">
        <f t="shared" si="4"/>
        <v>0</v>
      </c>
    </row>
    <row r="20" spans="1:45" x14ac:dyDescent="0.25">
      <c r="A20" s="195"/>
      <c r="B20" s="351" t="str">
        <f>IF(A20&lt;&gt;0,VLOOKUP(A20,Total!$B$5:$AZ$512,51,FALSE),"")</f>
        <v/>
      </c>
      <c r="C20" s="352"/>
      <c r="D20" s="144" t="str">
        <f>IF(A20&lt;&gt;"",(VLOOKUP(A20,Total!$B$5:$AL$512,2,FALSE)),"")</f>
        <v/>
      </c>
      <c r="E20" s="145" t="str">
        <f>IF(A20&lt;&gt;"",(VLOOKUP(A20,Total!$B$5:$AL$512,3,FALSE)),"")</f>
        <v/>
      </c>
      <c r="F20" s="145" t="str">
        <f>IF(A20&lt;&gt;"",(VLOOKUP(A20,Total!$B$5:$AL$512,12,FALSE)),"")</f>
        <v/>
      </c>
      <c r="G20" s="145" t="str">
        <f>IF(A20&lt;&gt;"",(VLOOKUP(A20,Total!$B$5:$AL$512,14,FALSE)),"")</f>
        <v/>
      </c>
      <c r="H20" s="145" t="str">
        <f>IF(A20&lt;&gt;"",(VLOOKUP(A20,Total!$B$5:$AL$512,8,FALSE)),"")</f>
        <v/>
      </c>
      <c r="I20" s="145" t="str">
        <f>IF(A20&lt;&gt;"",(VLOOKUP(A20,Total!$B$5:$AL$512,9,FALSE)),"")</f>
        <v/>
      </c>
      <c r="J20" s="145" t="str">
        <f>IF(A20&lt;&gt;"",(VLOOKUP(A20,Total!$B$5:$AL$512,10,FALSE)),"")</f>
        <v/>
      </c>
      <c r="K20" s="145" t="str">
        <f>IF(A20&lt;&gt;"",(VLOOKUP(A20,Total!$B$5:$AL$512,11,FALSE)),"")</f>
        <v/>
      </c>
      <c r="L20" s="175" t="str">
        <f>IF(A20&lt;&gt;"",(VLOOKUP(A20,Total!$B$5:$AL$512,15,FALSE)),"")</f>
        <v/>
      </c>
      <c r="M20" s="202">
        <f t="shared" si="0"/>
        <v>0</v>
      </c>
      <c r="N20" s="202">
        <f t="shared" si="1"/>
        <v>0</v>
      </c>
      <c r="O20" s="145" t="str">
        <f>IF(A20&lt;&gt;"",(VLOOKUP(A20,Total!$B$5:$AL$512,26,FALSE)),"")</f>
        <v/>
      </c>
      <c r="P20" s="145" t="str">
        <f>IF(A20&lt;&gt;"",(VLOOKUP(A20,Total!$B$5:$AL$512,27,FALSE)),"")</f>
        <v/>
      </c>
      <c r="Q20" s="145" t="str">
        <f>IF(A20&lt;&gt;"",(VLOOKUP(A20,Total!$B$5:$AL$512,28,FALSE)),"")</f>
        <v/>
      </c>
      <c r="R20" s="145" t="str">
        <f>IF(A20&lt;&gt;"",(VLOOKUP(A20,Total!$B$5:$AL$512,29,FALSE)),"")</f>
        <v/>
      </c>
      <c r="S20" s="145" t="str">
        <f>IF(A20&lt;&gt;"",(VLOOKUP(A20,Total!$B$5:$AL$512,30,FALSE)),"")</f>
        <v/>
      </c>
      <c r="T20" s="145" t="str">
        <f>IF(A20&lt;&gt;"",(VLOOKUP(A20,Total!$B$5:$AL$512,31,FALSE)),"")</f>
        <v/>
      </c>
      <c r="U20" s="145" t="str">
        <f>IF(A20&lt;&gt;"",(VLOOKUP(A20,Total!$B$5:$AL$512,32,FALSE)),"")</f>
        <v/>
      </c>
      <c r="V20" s="145" t="str">
        <f>IF(A20&lt;&gt;"",(VLOOKUP(A20,Total!$B$5:$AL$512,33,FALSE)),"")</f>
        <v/>
      </c>
      <c r="W20" s="145" t="str">
        <f>IF(A20&lt;&gt;"",(VLOOKUP(A20,Total!$B$5:$AL$512,36,FALSE)),"")</f>
        <v/>
      </c>
      <c r="X20" s="145" t="str">
        <f>IF(A20&lt;&gt;"",(VLOOKUP(A20,Total!$B$5:$AM$512,37,FALSE)),"")</f>
        <v/>
      </c>
      <c r="AA20" s="163" t="str">
        <f>IF(A20&lt;&gt;"",(VLOOKUP(A20,Total!$B$5:$AV$512,40,FALSE)),"")</f>
        <v/>
      </c>
      <c r="AB20" s="163" t="str">
        <f>IF(A20&lt;&gt;"",(VLOOKUP(A20,Total!$B$5:$AV$512,41,FALSE)),"")</f>
        <v/>
      </c>
      <c r="AC20" s="163" t="str">
        <f>IF(A20&lt;&gt;"",(VLOOKUP(A20,Total!$B$5:$AV$512,42,FALSE)),"")</f>
        <v/>
      </c>
      <c r="AD20" s="163" t="str">
        <f>IF(A20&lt;&gt;"",(VLOOKUP(A20,Total!$B$5:$AV$512,43,FALSE)),"")</f>
        <v/>
      </c>
      <c r="AE20" s="163" t="str">
        <f>IF(A20&lt;&gt;"",(VLOOKUP(A20,Total!$B$5:$AV$512,44,FALSE)),"")</f>
        <v/>
      </c>
      <c r="AF20" s="163" t="str">
        <f>IF(A20&lt;&gt;"",(VLOOKUP(A20,Total!$B$5:$AV$512,45,FALSE)),"")</f>
        <v/>
      </c>
      <c r="AG20" s="163" t="str">
        <f>IF(A20&lt;&gt;"",(VLOOKUP(A20,Total!$B$5:$AV$512,46,FALSE)),"")</f>
        <v/>
      </c>
      <c r="AH20" s="163" t="str">
        <f>IF(A20&lt;&gt;"",(VLOOKUP(A20,Total!$B$5:$AV$512,47,FALSE)),"")</f>
        <v/>
      </c>
      <c r="AI20" s="163" t="e">
        <f>VLOOKUP(AA20,Scores!$A$1:$D$157,2,FALSE)</f>
        <v>#N/A</v>
      </c>
      <c r="AJ20" s="163" t="e">
        <f>VLOOKUP(AB20,Scores!$A$1:$D$157,2,FALSE)</f>
        <v>#N/A</v>
      </c>
      <c r="AK20" s="163" t="e">
        <f>VLOOKUP(AC20,Scores!$A$1:$D$157,2,FALSE)</f>
        <v>#N/A</v>
      </c>
      <c r="AL20" s="163" t="e">
        <f>VLOOKUP(AD20,Scores!$A$1:$D$157,2,FALSE)</f>
        <v>#N/A</v>
      </c>
      <c r="AM20" s="163" t="e">
        <f>VLOOKUP(AA20,Scores!$A$1:$D$157,3,FALSE)</f>
        <v>#N/A</v>
      </c>
      <c r="AN20" s="163" t="e">
        <f>VLOOKUP(AB20,Scores!$A$1:$D$157,3,FALSE)</f>
        <v>#N/A</v>
      </c>
      <c r="AO20" s="163" t="e">
        <f>VLOOKUP(AC20,Scores!$A$1:$D$157,3,FALSE)</f>
        <v>#N/A</v>
      </c>
      <c r="AP20" s="163" t="e">
        <f>VLOOKUP(AD20,Scores!$A$1:$D$157,3,FALSE)</f>
        <v>#N/A</v>
      </c>
      <c r="AQ20" s="163" t="str">
        <f t="shared" si="2"/>
        <v/>
      </c>
      <c r="AR20" s="163">
        <f t="shared" si="3"/>
        <v>0</v>
      </c>
      <c r="AS20" s="163">
        <f t="shared" si="4"/>
        <v>0</v>
      </c>
    </row>
    <row r="21" spans="1:45" x14ac:dyDescent="0.25">
      <c r="A21" s="195"/>
      <c r="B21" s="351" t="str">
        <f>IF(A21&lt;&gt;0,VLOOKUP(A21,Total!$B$5:$AZ$512,51,FALSE),"")</f>
        <v/>
      </c>
      <c r="C21" s="352"/>
      <c r="D21" s="144" t="str">
        <f>IF(A21&lt;&gt;"",(VLOOKUP(A21,Total!$B$5:$AL$512,2,FALSE)),"")</f>
        <v/>
      </c>
      <c r="E21" s="145" t="str">
        <f>IF(A21&lt;&gt;"",(VLOOKUP(A21,Total!$B$5:$AL$512,3,FALSE)),"")</f>
        <v/>
      </c>
      <c r="F21" s="145" t="str">
        <f>IF(A21&lt;&gt;"",(VLOOKUP(A21,Total!$B$5:$AL$512,12,FALSE)),"")</f>
        <v/>
      </c>
      <c r="G21" s="145" t="str">
        <f>IF(A21&lt;&gt;"",(VLOOKUP(A21,Total!$B$5:$AL$512,14,FALSE)),"")</f>
        <v/>
      </c>
      <c r="H21" s="145" t="str">
        <f>IF(A21&lt;&gt;"",(VLOOKUP(A21,Total!$B$5:$AL$512,8,FALSE)),"")</f>
        <v/>
      </c>
      <c r="I21" s="145" t="str">
        <f>IF(A21&lt;&gt;"",(VLOOKUP(A21,Total!$B$5:$AL$512,9,FALSE)),"")</f>
        <v/>
      </c>
      <c r="J21" s="145" t="str">
        <f>IF(A21&lt;&gt;"",(VLOOKUP(A21,Total!$B$5:$AL$512,10,FALSE)),"")</f>
        <v/>
      </c>
      <c r="K21" s="145" t="str">
        <f>IF(A21&lt;&gt;"",(VLOOKUP(A21,Total!$B$5:$AL$512,11,FALSE)),"")</f>
        <v/>
      </c>
      <c r="L21" s="175" t="str">
        <f>IF(A21&lt;&gt;"",(VLOOKUP(A21,Total!$B$5:$AL$512,15,FALSE)),"")</f>
        <v/>
      </c>
      <c r="M21" s="202">
        <f t="shared" si="0"/>
        <v>0</v>
      </c>
      <c r="N21" s="202">
        <f t="shared" si="1"/>
        <v>0</v>
      </c>
      <c r="O21" s="145" t="str">
        <f>IF(A21&lt;&gt;"",(VLOOKUP(A21,Total!$B$5:$AL$512,26,FALSE)),"")</f>
        <v/>
      </c>
      <c r="P21" s="145" t="str">
        <f>IF(A21&lt;&gt;"",(VLOOKUP(A21,Total!$B$5:$AL$512,27,FALSE)),"")</f>
        <v/>
      </c>
      <c r="Q21" s="145" t="str">
        <f>IF(A21&lt;&gt;"",(VLOOKUP(A21,Total!$B$5:$AL$512,28,FALSE)),"")</f>
        <v/>
      </c>
      <c r="R21" s="145" t="str">
        <f>IF(A21&lt;&gt;"",(VLOOKUP(A21,Total!$B$5:$AL$512,29,FALSE)),"")</f>
        <v/>
      </c>
      <c r="S21" s="145" t="str">
        <f>IF(A21&lt;&gt;"",(VLOOKUP(A21,Total!$B$5:$AL$512,30,FALSE)),"")</f>
        <v/>
      </c>
      <c r="T21" s="145" t="str">
        <f>IF(A21&lt;&gt;"",(VLOOKUP(A21,Total!$B$5:$AL$512,31,FALSE)),"")</f>
        <v/>
      </c>
      <c r="U21" s="145" t="str">
        <f>IF(A21&lt;&gt;"",(VLOOKUP(A21,Total!$B$5:$AL$512,32,FALSE)),"")</f>
        <v/>
      </c>
      <c r="V21" s="145" t="str">
        <f>IF(A21&lt;&gt;"",(VLOOKUP(A21,Total!$B$5:$AL$512,33,FALSE)),"")</f>
        <v/>
      </c>
      <c r="W21" s="145" t="str">
        <f>IF(A21&lt;&gt;"",(VLOOKUP(A21,Total!$B$5:$AL$512,36,FALSE)),"")</f>
        <v/>
      </c>
      <c r="X21" s="145" t="str">
        <f>IF(A21&lt;&gt;"",(VLOOKUP(A21,Total!$B$5:$AM$512,37,FALSE)),"")</f>
        <v/>
      </c>
      <c r="AA21" s="163" t="str">
        <f>IF(A21&lt;&gt;"",(VLOOKUP(A21,Total!$B$5:$AV$512,40,FALSE)),"")</f>
        <v/>
      </c>
      <c r="AB21" s="163" t="str">
        <f>IF(A21&lt;&gt;"",(VLOOKUP(A21,Total!$B$5:$AV$512,41,FALSE)),"")</f>
        <v/>
      </c>
      <c r="AC21" s="163" t="str">
        <f>IF(A21&lt;&gt;"",(VLOOKUP(A21,Total!$B$5:$AV$512,42,FALSE)),"")</f>
        <v/>
      </c>
      <c r="AD21" s="163" t="str">
        <f>IF(A21&lt;&gt;"",(VLOOKUP(A21,Total!$B$5:$AV$512,43,FALSE)),"")</f>
        <v/>
      </c>
      <c r="AE21" s="163" t="str">
        <f>IF(A21&lt;&gt;"",(VLOOKUP(A21,Total!$B$5:$AV$512,44,FALSE)),"")</f>
        <v/>
      </c>
      <c r="AF21" s="163" t="str">
        <f>IF(A21&lt;&gt;"",(VLOOKUP(A21,Total!$B$5:$AV$512,45,FALSE)),"")</f>
        <v/>
      </c>
      <c r="AG21" s="163" t="str">
        <f>IF(A21&lt;&gt;"",(VLOOKUP(A21,Total!$B$5:$AV$512,46,FALSE)),"")</f>
        <v/>
      </c>
      <c r="AH21" s="163" t="str">
        <f>IF(A21&lt;&gt;"",(VLOOKUP(A21,Total!$B$5:$AV$512,47,FALSE)),"")</f>
        <v/>
      </c>
      <c r="AI21" s="163" t="e">
        <f>VLOOKUP(AA21,Scores!$A$1:$D$157,2,FALSE)</f>
        <v>#N/A</v>
      </c>
      <c r="AJ21" s="163" t="e">
        <f>VLOOKUP(AB21,Scores!$A$1:$D$157,2,FALSE)</f>
        <v>#N/A</v>
      </c>
      <c r="AK21" s="163" t="e">
        <f>VLOOKUP(AC21,Scores!$A$1:$D$157,2,FALSE)</f>
        <v>#N/A</v>
      </c>
      <c r="AL21" s="163" t="e">
        <f>VLOOKUP(AD21,Scores!$A$1:$D$157,2,FALSE)</f>
        <v>#N/A</v>
      </c>
      <c r="AM21" s="163" t="e">
        <f>VLOOKUP(AA21,Scores!$A$1:$D$157,3,FALSE)</f>
        <v>#N/A</v>
      </c>
      <c r="AN21" s="163" t="e">
        <f>VLOOKUP(AB21,Scores!$A$1:$D$157,3,FALSE)</f>
        <v>#N/A</v>
      </c>
      <c r="AO21" s="163" t="e">
        <f>VLOOKUP(AC21,Scores!$A$1:$D$157,3,FALSE)</f>
        <v>#N/A</v>
      </c>
      <c r="AP21" s="163" t="e">
        <f>VLOOKUP(AD21,Scores!$A$1:$D$157,3,FALSE)</f>
        <v>#N/A</v>
      </c>
      <c r="AQ21" s="163" t="str">
        <f t="shared" si="2"/>
        <v/>
      </c>
      <c r="AR21" s="163">
        <f t="shared" si="3"/>
        <v>0</v>
      </c>
      <c r="AS21" s="163">
        <f t="shared" si="4"/>
        <v>0</v>
      </c>
    </row>
    <row r="22" spans="1:45" x14ac:dyDescent="0.25">
      <c r="A22" s="195"/>
      <c r="B22" s="351" t="str">
        <f>IF(A22&lt;&gt;0,VLOOKUP(A22,Total!$B$5:$AZ$512,51,FALSE),"")</f>
        <v/>
      </c>
      <c r="C22" s="352"/>
      <c r="D22" s="144" t="str">
        <f>IF(A22&lt;&gt;"",(VLOOKUP(A22,Total!$B$5:$AL$512,2,FALSE)),"")</f>
        <v/>
      </c>
      <c r="E22" s="145" t="str">
        <f>IF(A22&lt;&gt;"",(VLOOKUP(A22,Total!$B$5:$AL$512,3,FALSE)),"")</f>
        <v/>
      </c>
      <c r="F22" s="145" t="str">
        <f>IF(A22&lt;&gt;"",(VLOOKUP(A22,Total!$B$5:$AL$512,12,FALSE)),"")</f>
        <v/>
      </c>
      <c r="G22" s="145" t="str">
        <f>IF(A22&lt;&gt;"",(VLOOKUP(A22,Total!$B$5:$AL$512,14,FALSE)),"")</f>
        <v/>
      </c>
      <c r="H22" s="145" t="str">
        <f>IF(A22&lt;&gt;"",(VLOOKUP(A22,Total!$B$5:$AL$512,8,FALSE)),"")</f>
        <v/>
      </c>
      <c r="I22" s="145" t="str">
        <f>IF(A22&lt;&gt;"",(VLOOKUP(A22,Total!$B$5:$AL$512,9,FALSE)),"")</f>
        <v/>
      </c>
      <c r="J22" s="145" t="str">
        <f>IF(A22&lt;&gt;"",(VLOOKUP(A22,Total!$B$5:$AL$512,10,FALSE)),"")</f>
        <v/>
      </c>
      <c r="K22" s="145" t="str">
        <f>IF(A22&lt;&gt;"",(VLOOKUP(A22,Total!$B$5:$AL$512,11,FALSE)),"")</f>
        <v/>
      </c>
      <c r="L22" s="175" t="str">
        <f>IF(A22&lt;&gt;"",(VLOOKUP(A22,Total!$B$5:$AL$512,15,FALSE)),"")</f>
        <v/>
      </c>
      <c r="M22" s="202">
        <f t="shared" si="0"/>
        <v>0</v>
      </c>
      <c r="N22" s="202">
        <f t="shared" si="1"/>
        <v>0</v>
      </c>
      <c r="O22" s="145" t="str">
        <f>IF(A22&lt;&gt;"",(VLOOKUP(A22,Total!$B$5:$AL$512,26,FALSE)),"")</f>
        <v/>
      </c>
      <c r="P22" s="145" t="str">
        <f>IF(A22&lt;&gt;"",(VLOOKUP(A22,Total!$B$5:$AL$512,27,FALSE)),"")</f>
        <v/>
      </c>
      <c r="Q22" s="145" t="str">
        <f>IF(A22&lt;&gt;"",(VLOOKUP(A22,Total!$B$5:$AL$512,28,FALSE)),"")</f>
        <v/>
      </c>
      <c r="R22" s="145" t="str">
        <f>IF(A22&lt;&gt;"",(VLOOKUP(A22,Total!$B$5:$AL$512,29,FALSE)),"")</f>
        <v/>
      </c>
      <c r="S22" s="145" t="str">
        <f>IF(A22&lt;&gt;"",(VLOOKUP(A22,Total!$B$5:$AL$512,30,FALSE)),"")</f>
        <v/>
      </c>
      <c r="T22" s="145" t="str">
        <f>IF(A22&lt;&gt;"",(VLOOKUP(A22,Total!$B$5:$AL$512,31,FALSE)),"")</f>
        <v/>
      </c>
      <c r="U22" s="145" t="str">
        <f>IF(A22&lt;&gt;"",(VLOOKUP(A22,Total!$B$5:$AL$512,32,FALSE)),"")</f>
        <v/>
      </c>
      <c r="V22" s="145" t="str">
        <f>IF(A22&lt;&gt;"",(VLOOKUP(A22,Total!$B$5:$AL$512,33,FALSE)),"")</f>
        <v/>
      </c>
      <c r="W22" s="145" t="str">
        <f>IF(A22&lt;&gt;"",(VLOOKUP(A22,Total!$B$5:$AL$512,36,FALSE)),"")</f>
        <v/>
      </c>
      <c r="X22" s="145" t="str">
        <f>IF(A22&lt;&gt;"",(VLOOKUP(A22,Total!$B$5:$AM$512,37,FALSE)),"")</f>
        <v/>
      </c>
      <c r="AA22" s="163" t="str">
        <f>IF(A22&lt;&gt;"",(VLOOKUP(A22,Total!$B$5:$AV$512,40,FALSE)),"")</f>
        <v/>
      </c>
      <c r="AB22" s="163" t="str">
        <f>IF(A22&lt;&gt;"",(VLOOKUP(A22,Total!$B$5:$AV$512,41,FALSE)),"")</f>
        <v/>
      </c>
      <c r="AC22" s="163" t="str">
        <f>IF(A22&lt;&gt;"",(VLOOKUP(A22,Total!$B$5:$AV$512,42,FALSE)),"")</f>
        <v/>
      </c>
      <c r="AD22" s="163" t="str">
        <f>IF(A22&lt;&gt;"",(VLOOKUP(A22,Total!$B$5:$AV$512,43,FALSE)),"")</f>
        <v/>
      </c>
      <c r="AE22" s="163" t="str">
        <f>IF(A22&lt;&gt;"",(VLOOKUP(A22,Total!$B$5:$AV$512,44,FALSE)),"")</f>
        <v/>
      </c>
      <c r="AF22" s="163" t="str">
        <f>IF(A22&lt;&gt;"",(VLOOKUP(A22,Total!$B$5:$AV$512,45,FALSE)),"")</f>
        <v/>
      </c>
      <c r="AG22" s="163" t="str">
        <f>IF(A22&lt;&gt;"",(VLOOKUP(A22,Total!$B$5:$AV$512,46,FALSE)),"")</f>
        <v/>
      </c>
      <c r="AH22" s="163" t="str">
        <f>IF(A22&lt;&gt;"",(VLOOKUP(A22,Total!$B$5:$AV$512,47,FALSE)),"")</f>
        <v/>
      </c>
      <c r="AI22" s="163" t="e">
        <f>VLOOKUP(AA22,Scores!$A$1:$D$157,2,FALSE)</f>
        <v>#N/A</v>
      </c>
      <c r="AJ22" s="163" t="e">
        <f>VLOOKUP(AB22,Scores!$A$1:$D$157,2,FALSE)</f>
        <v>#N/A</v>
      </c>
      <c r="AK22" s="163" t="e">
        <f>VLOOKUP(AC22,Scores!$A$1:$D$157,2,FALSE)</f>
        <v>#N/A</v>
      </c>
      <c r="AL22" s="163" t="e">
        <f>VLOOKUP(AD22,Scores!$A$1:$D$157,2,FALSE)</f>
        <v>#N/A</v>
      </c>
      <c r="AM22" s="163" t="e">
        <f>VLOOKUP(AA22,Scores!$A$1:$D$157,3,FALSE)</f>
        <v>#N/A</v>
      </c>
      <c r="AN22" s="163" t="e">
        <f>VLOOKUP(AB22,Scores!$A$1:$D$157,3,FALSE)</f>
        <v>#N/A</v>
      </c>
      <c r="AO22" s="163" t="e">
        <f>VLOOKUP(AC22,Scores!$A$1:$D$157,3,FALSE)</f>
        <v>#N/A</v>
      </c>
      <c r="AP22" s="163" t="e">
        <f>VLOOKUP(AD22,Scores!$A$1:$D$157,3,FALSE)</f>
        <v>#N/A</v>
      </c>
      <c r="AQ22" s="163" t="str">
        <f t="shared" si="2"/>
        <v/>
      </c>
      <c r="AR22" s="163">
        <f t="shared" si="3"/>
        <v>0</v>
      </c>
      <c r="AS22" s="163">
        <f t="shared" si="4"/>
        <v>0</v>
      </c>
    </row>
    <row r="23" spans="1:45" x14ac:dyDescent="0.25">
      <c r="A23" s="195"/>
      <c r="B23" s="351" t="str">
        <f>IF(A23&lt;&gt;0,VLOOKUP(A23,Total!$B$5:$AZ$512,51,FALSE),"")</f>
        <v/>
      </c>
      <c r="C23" s="352"/>
      <c r="D23" s="144" t="str">
        <f>IF(A23&lt;&gt;"",(VLOOKUP(A23,Total!$B$5:$AL$512,2,FALSE)),"")</f>
        <v/>
      </c>
      <c r="E23" s="145" t="str">
        <f>IF(A23&lt;&gt;"",(VLOOKUP(A23,Total!$B$5:$AL$512,3,FALSE)),"")</f>
        <v/>
      </c>
      <c r="F23" s="145" t="str">
        <f>IF(A23&lt;&gt;"",(VLOOKUP(A23,Total!$B$5:$AL$512,12,FALSE)),"")</f>
        <v/>
      </c>
      <c r="G23" s="145" t="str">
        <f>IF(A23&lt;&gt;"",(VLOOKUP(A23,Total!$B$5:$AL$512,14,FALSE)),"")</f>
        <v/>
      </c>
      <c r="H23" s="145" t="str">
        <f>IF(A23&lt;&gt;"",(VLOOKUP(A23,Total!$B$5:$AL$512,8,FALSE)),"")</f>
        <v/>
      </c>
      <c r="I23" s="145" t="str">
        <f>IF(A23&lt;&gt;"",(VLOOKUP(A23,Total!$B$5:$AL$512,9,FALSE)),"")</f>
        <v/>
      </c>
      <c r="J23" s="145" t="str">
        <f>IF(A23&lt;&gt;"",(VLOOKUP(A23,Total!$B$5:$AL$512,10,FALSE)),"")</f>
        <v/>
      </c>
      <c r="K23" s="145" t="str">
        <f>IF(A23&lt;&gt;"",(VLOOKUP(A23,Total!$B$5:$AL$512,11,FALSE)),"")</f>
        <v/>
      </c>
      <c r="L23" s="175" t="str">
        <f>IF(A23&lt;&gt;"",(VLOOKUP(A23,Total!$B$5:$AL$512,15,FALSE)),"")</f>
        <v/>
      </c>
      <c r="M23" s="202">
        <f t="shared" si="0"/>
        <v>0</v>
      </c>
      <c r="N23" s="202">
        <f t="shared" si="1"/>
        <v>0</v>
      </c>
      <c r="O23" s="145" t="str">
        <f>IF(A23&lt;&gt;"",(VLOOKUP(A23,Total!$B$5:$AL$512,26,FALSE)),"")</f>
        <v/>
      </c>
      <c r="P23" s="145" t="str">
        <f>IF(A23&lt;&gt;"",(VLOOKUP(A23,Total!$B$5:$AL$512,27,FALSE)),"")</f>
        <v/>
      </c>
      <c r="Q23" s="145" t="str">
        <f>IF(A23&lt;&gt;"",(VLOOKUP(A23,Total!$B$5:$AL$512,28,FALSE)),"")</f>
        <v/>
      </c>
      <c r="R23" s="145" t="str">
        <f>IF(A23&lt;&gt;"",(VLOOKUP(A23,Total!$B$5:$AL$512,29,FALSE)),"")</f>
        <v/>
      </c>
      <c r="S23" s="145" t="str">
        <f>IF(A23&lt;&gt;"",(VLOOKUP(A23,Total!$B$5:$AL$512,30,FALSE)),"")</f>
        <v/>
      </c>
      <c r="T23" s="145" t="str">
        <f>IF(A23&lt;&gt;"",(VLOOKUP(A23,Total!$B$5:$AL$512,31,FALSE)),"")</f>
        <v/>
      </c>
      <c r="U23" s="145" t="str">
        <f>IF(A23&lt;&gt;"",(VLOOKUP(A23,Total!$B$5:$AL$512,32,FALSE)),"")</f>
        <v/>
      </c>
      <c r="V23" s="145" t="str">
        <f>IF(A23&lt;&gt;"",(VLOOKUP(A23,Total!$B$5:$AL$512,33,FALSE)),"")</f>
        <v/>
      </c>
      <c r="W23" s="145" t="str">
        <f>IF(A23&lt;&gt;"",(VLOOKUP(A23,Total!$B$5:$AL$512,36,FALSE)),"")</f>
        <v/>
      </c>
      <c r="X23" s="145" t="str">
        <f>IF(A23&lt;&gt;"",(VLOOKUP(A23,Total!$B$5:$AM$512,37,FALSE)),"")</f>
        <v/>
      </c>
      <c r="AA23" s="163" t="str">
        <f>IF(A23&lt;&gt;"",(VLOOKUP(A23,Total!$B$5:$AV$512,40,FALSE)),"")</f>
        <v/>
      </c>
      <c r="AB23" s="163" t="str">
        <f>IF(A23&lt;&gt;"",(VLOOKUP(A23,Total!$B$5:$AV$512,41,FALSE)),"")</f>
        <v/>
      </c>
      <c r="AC23" s="163" t="str">
        <f>IF(A23&lt;&gt;"",(VLOOKUP(A23,Total!$B$5:$AV$512,42,FALSE)),"")</f>
        <v/>
      </c>
      <c r="AD23" s="163" t="str">
        <f>IF(A23&lt;&gt;"",(VLOOKUP(A23,Total!$B$5:$AV$512,43,FALSE)),"")</f>
        <v/>
      </c>
      <c r="AE23" s="163" t="str">
        <f>IF(A23&lt;&gt;"",(VLOOKUP(A23,Total!$B$5:$AV$512,44,FALSE)),"")</f>
        <v/>
      </c>
      <c r="AF23" s="163" t="str">
        <f>IF(A23&lt;&gt;"",(VLOOKUP(A23,Total!$B$5:$AV$512,45,FALSE)),"")</f>
        <v/>
      </c>
      <c r="AG23" s="163" t="str">
        <f>IF(A23&lt;&gt;"",(VLOOKUP(A23,Total!$B$5:$AV$512,46,FALSE)),"")</f>
        <v/>
      </c>
      <c r="AH23" s="163" t="str">
        <f>IF(A23&lt;&gt;"",(VLOOKUP(A23,Total!$B$5:$AV$512,47,FALSE)),"")</f>
        <v/>
      </c>
      <c r="AI23" s="163" t="e">
        <f>VLOOKUP(AA23,Scores!$A$1:$D$157,2,FALSE)</f>
        <v>#N/A</v>
      </c>
      <c r="AJ23" s="163" t="e">
        <f>VLOOKUP(AB23,Scores!$A$1:$D$157,2,FALSE)</f>
        <v>#N/A</v>
      </c>
      <c r="AK23" s="163" t="e">
        <f>VLOOKUP(AC23,Scores!$A$1:$D$157,2,FALSE)</f>
        <v>#N/A</v>
      </c>
      <c r="AL23" s="163" t="e">
        <f>VLOOKUP(AD23,Scores!$A$1:$D$157,2,FALSE)</f>
        <v>#N/A</v>
      </c>
      <c r="AM23" s="163" t="e">
        <f>VLOOKUP(AA23,Scores!$A$1:$D$157,3,FALSE)</f>
        <v>#N/A</v>
      </c>
      <c r="AN23" s="163" t="e">
        <f>VLOOKUP(AB23,Scores!$A$1:$D$157,3,FALSE)</f>
        <v>#N/A</v>
      </c>
      <c r="AO23" s="163" t="e">
        <f>VLOOKUP(AC23,Scores!$A$1:$D$157,3,FALSE)</f>
        <v>#N/A</v>
      </c>
      <c r="AP23" s="163" t="e">
        <f>VLOOKUP(AD23,Scores!$A$1:$D$157,3,FALSE)</f>
        <v>#N/A</v>
      </c>
      <c r="AQ23" s="163" t="str">
        <f t="shared" si="2"/>
        <v/>
      </c>
      <c r="AR23" s="163">
        <f t="shared" si="3"/>
        <v>0</v>
      </c>
      <c r="AS23" s="163">
        <f t="shared" si="4"/>
        <v>0</v>
      </c>
    </row>
    <row r="24" spans="1:45" x14ac:dyDescent="0.25">
      <c r="A24" s="195"/>
      <c r="B24" s="351" t="str">
        <f>IF(A24&lt;&gt;0,VLOOKUP(A24,Total!$B$5:$AZ$512,51,FALSE),"")</f>
        <v/>
      </c>
      <c r="C24" s="352"/>
      <c r="D24" s="144" t="str">
        <f>IF(A24&lt;&gt;"",(VLOOKUP(A24,Total!$B$5:$AL$512,2,FALSE)),"")</f>
        <v/>
      </c>
      <c r="E24" s="145" t="str">
        <f>IF(A24&lt;&gt;"",(VLOOKUP(A24,Total!$B$5:$AL$512,3,FALSE)),"")</f>
        <v/>
      </c>
      <c r="F24" s="145" t="str">
        <f>IF(A24&lt;&gt;"",(VLOOKUP(A24,Total!$B$5:$AL$512,12,FALSE)),"")</f>
        <v/>
      </c>
      <c r="G24" s="145" t="str">
        <f>IF(A24&lt;&gt;"",(VLOOKUP(A24,Total!$B$5:$AL$512,14,FALSE)),"")</f>
        <v/>
      </c>
      <c r="H24" s="145" t="str">
        <f>IF(A24&lt;&gt;"",(VLOOKUP(A24,Total!$B$5:$AL$512,8,FALSE)),"")</f>
        <v/>
      </c>
      <c r="I24" s="145" t="str">
        <f>IF(A24&lt;&gt;"",(VLOOKUP(A24,Total!$B$5:$AL$512,9,FALSE)),"")</f>
        <v/>
      </c>
      <c r="J24" s="145" t="str">
        <f>IF(A24&lt;&gt;"",(VLOOKUP(A24,Total!$B$5:$AL$512,10,FALSE)),"")</f>
        <v/>
      </c>
      <c r="K24" s="145" t="str">
        <f>IF(A24&lt;&gt;"",(VLOOKUP(A24,Total!$B$5:$AL$512,11,FALSE)),"")</f>
        <v/>
      </c>
      <c r="L24" s="175" t="str">
        <f>IF(A24&lt;&gt;"",(VLOOKUP(A24,Total!$B$5:$AL$512,15,FALSE)),"")</f>
        <v/>
      </c>
      <c r="M24" s="202">
        <f t="shared" si="0"/>
        <v>0</v>
      </c>
      <c r="N24" s="202">
        <f t="shared" si="1"/>
        <v>0</v>
      </c>
      <c r="O24" s="145" t="str">
        <f>IF(A24&lt;&gt;"",(VLOOKUP(A24,Total!$B$5:$AL$512,26,FALSE)),"")</f>
        <v/>
      </c>
      <c r="P24" s="145" t="str">
        <f>IF(A24&lt;&gt;"",(VLOOKUP(A24,Total!$B$5:$AL$512,27,FALSE)),"")</f>
        <v/>
      </c>
      <c r="Q24" s="145" t="str">
        <f>IF(A24&lt;&gt;"",(VLOOKUP(A24,Total!$B$5:$AL$512,28,FALSE)),"")</f>
        <v/>
      </c>
      <c r="R24" s="145" t="str">
        <f>IF(A24&lt;&gt;"",(VLOOKUP(A24,Total!$B$5:$AL$512,29,FALSE)),"")</f>
        <v/>
      </c>
      <c r="S24" s="145" t="str">
        <f>IF(A24&lt;&gt;"",(VLOOKUP(A24,Total!$B$5:$AL$512,30,FALSE)),"")</f>
        <v/>
      </c>
      <c r="T24" s="145" t="str">
        <f>IF(A24&lt;&gt;"",(VLOOKUP(A24,Total!$B$5:$AL$512,31,FALSE)),"")</f>
        <v/>
      </c>
      <c r="U24" s="145" t="str">
        <f>IF(A24&lt;&gt;"",(VLOOKUP(A24,Total!$B$5:$AL$512,32,FALSE)),"")</f>
        <v/>
      </c>
      <c r="V24" s="145" t="str">
        <f>IF(A24&lt;&gt;"",(VLOOKUP(A24,Total!$B$5:$AL$512,33,FALSE)),"")</f>
        <v/>
      </c>
      <c r="W24" s="145" t="str">
        <f>IF(A24&lt;&gt;"",(VLOOKUP(A24,Total!$B$5:$AL$512,36,FALSE)),"")</f>
        <v/>
      </c>
      <c r="X24" s="145" t="str">
        <f>IF(A24&lt;&gt;"",(VLOOKUP(A24,Total!$B$5:$AM$512,37,FALSE)),"")</f>
        <v/>
      </c>
      <c r="AA24" s="163" t="str">
        <f>IF(A24&lt;&gt;"",(VLOOKUP(A24,Total!$B$5:$AV$512,40,FALSE)),"")</f>
        <v/>
      </c>
      <c r="AB24" s="163" t="str">
        <f>IF(A24&lt;&gt;"",(VLOOKUP(A24,Total!$B$5:$AV$512,41,FALSE)),"")</f>
        <v/>
      </c>
      <c r="AC24" s="163" t="str">
        <f>IF(A24&lt;&gt;"",(VLOOKUP(A24,Total!$B$5:$AV$512,42,FALSE)),"")</f>
        <v/>
      </c>
      <c r="AD24" s="163" t="str">
        <f>IF(A24&lt;&gt;"",(VLOOKUP(A24,Total!$B$5:$AV$512,43,FALSE)),"")</f>
        <v/>
      </c>
      <c r="AE24" s="163" t="str">
        <f>IF(A24&lt;&gt;"",(VLOOKUP(A24,Total!$B$5:$AV$512,44,FALSE)),"")</f>
        <v/>
      </c>
      <c r="AF24" s="163" t="str">
        <f>IF(A24&lt;&gt;"",(VLOOKUP(A24,Total!$B$5:$AV$512,45,FALSE)),"")</f>
        <v/>
      </c>
      <c r="AG24" s="163" t="str">
        <f>IF(A24&lt;&gt;"",(VLOOKUP(A24,Total!$B$5:$AV$512,46,FALSE)),"")</f>
        <v/>
      </c>
      <c r="AH24" s="163" t="str">
        <f>IF(A24&lt;&gt;"",(VLOOKUP(A24,Total!$B$5:$AV$512,47,FALSE)),"")</f>
        <v/>
      </c>
      <c r="AI24" s="163" t="e">
        <f>VLOOKUP(AA24,Scores!$A$1:$D$157,2,FALSE)</f>
        <v>#N/A</v>
      </c>
      <c r="AJ24" s="163" t="e">
        <f>VLOOKUP(AB24,Scores!$A$1:$D$157,2,FALSE)</f>
        <v>#N/A</v>
      </c>
      <c r="AK24" s="163" t="e">
        <f>VLOOKUP(AC24,Scores!$A$1:$D$157,2,FALSE)</f>
        <v>#N/A</v>
      </c>
      <c r="AL24" s="163" t="e">
        <f>VLOOKUP(AD24,Scores!$A$1:$D$157,2,FALSE)</f>
        <v>#N/A</v>
      </c>
      <c r="AM24" s="163" t="e">
        <f>VLOOKUP(AA24,Scores!$A$1:$D$157,3,FALSE)</f>
        <v>#N/A</v>
      </c>
      <c r="AN24" s="163" t="e">
        <f>VLOOKUP(AB24,Scores!$A$1:$D$157,3,FALSE)</f>
        <v>#N/A</v>
      </c>
      <c r="AO24" s="163" t="e">
        <f>VLOOKUP(AC24,Scores!$A$1:$D$157,3,FALSE)</f>
        <v>#N/A</v>
      </c>
      <c r="AP24" s="163" t="e">
        <f>VLOOKUP(AD24,Scores!$A$1:$D$157,3,FALSE)</f>
        <v>#N/A</v>
      </c>
      <c r="AQ24" s="163" t="str">
        <f t="shared" si="2"/>
        <v/>
      </c>
      <c r="AR24" s="163">
        <f t="shared" si="3"/>
        <v>0</v>
      </c>
      <c r="AS24" s="163">
        <f t="shared" si="4"/>
        <v>0</v>
      </c>
    </row>
    <row r="25" spans="1:45" x14ac:dyDescent="0.25">
      <c r="A25" s="195"/>
      <c r="B25" s="351" t="str">
        <f>IF(A25&lt;&gt;0,VLOOKUP(A25,Total!$B$5:$AZ$512,51,FALSE),"")</f>
        <v/>
      </c>
      <c r="C25" s="352"/>
      <c r="D25" s="144" t="str">
        <f>IF(A25&lt;&gt;"",(VLOOKUP(A25,Total!$B$5:$AL$512,2,FALSE)),"")</f>
        <v/>
      </c>
      <c r="E25" s="145" t="str">
        <f>IF(A25&lt;&gt;"",(VLOOKUP(A25,Total!$B$5:$AL$512,3,FALSE)),"")</f>
        <v/>
      </c>
      <c r="F25" s="145" t="str">
        <f>IF(A25&lt;&gt;"",(VLOOKUP(A25,Total!$B$5:$AL$512,12,FALSE)),"")</f>
        <v/>
      </c>
      <c r="G25" s="145" t="str">
        <f>IF(A25&lt;&gt;"",(VLOOKUP(A25,Total!$B$5:$AL$512,14,FALSE)),"")</f>
        <v/>
      </c>
      <c r="H25" s="145" t="str">
        <f>IF(A25&lt;&gt;"",(VLOOKUP(A25,Total!$B$5:$AL$512,8,FALSE)),"")</f>
        <v/>
      </c>
      <c r="I25" s="145" t="str">
        <f>IF(A25&lt;&gt;"",(VLOOKUP(A25,Total!$B$5:$AL$512,9,FALSE)),"")</f>
        <v/>
      </c>
      <c r="J25" s="145" t="str">
        <f>IF(A25&lt;&gt;"",(VLOOKUP(A25,Total!$B$5:$AL$512,10,FALSE)),"")</f>
        <v/>
      </c>
      <c r="K25" s="145" t="str">
        <f>IF(A25&lt;&gt;"",(VLOOKUP(A25,Total!$B$5:$AL$512,11,FALSE)),"")</f>
        <v/>
      </c>
      <c r="L25" s="175" t="str">
        <f>IF(A25&lt;&gt;"",(VLOOKUP(A25,Total!$B$5:$AL$512,15,FALSE)),"")</f>
        <v/>
      </c>
      <c r="M25" s="202">
        <f t="shared" si="0"/>
        <v>0</v>
      </c>
      <c r="N25" s="202">
        <f t="shared" si="1"/>
        <v>0</v>
      </c>
      <c r="O25" s="145" t="str">
        <f>IF(A25&lt;&gt;"",(VLOOKUP(A25,Total!$B$5:$AL$512,26,FALSE)),"")</f>
        <v/>
      </c>
      <c r="P25" s="145" t="str">
        <f>IF(A25&lt;&gt;"",(VLOOKUP(A25,Total!$B$5:$AL$512,27,FALSE)),"")</f>
        <v/>
      </c>
      <c r="Q25" s="145" t="str">
        <f>IF(A25&lt;&gt;"",(VLOOKUP(A25,Total!$B$5:$AL$512,28,FALSE)),"")</f>
        <v/>
      </c>
      <c r="R25" s="145" t="str">
        <f>IF(A25&lt;&gt;"",(VLOOKUP(A25,Total!$B$5:$AL$512,29,FALSE)),"")</f>
        <v/>
      </c>
      <c r="S25" s="145" t="str">
        <f>IF(A25&lt;&gt;"",(VLOOKUP(A25,Total!$B$5:$AL$512,30,FALSE)),"")</f>
        <v/>
      </c>
      <c r="T25" s="145" t="str">
        <f>IF(A25&lt;&gt;"",(VLOOKUP(A25,Total!$B$5:$AL$512,31,FALSE)),"")</f>
        <v/>
      </c>
      <c r="U25" s="145" t="str">
        <f>IF(A25&lt;&gt;"",(VLOOKUP(A25,Total!$B$5:$AL$512,32,FALSE)),"")</f>
        <v/>
      </c>
      <c r="V25" s="145" t="str">
        <f>IF(A25&lt;&gt;"",(VLOOKUP(A25,Total!$B$5:$AL$512,33,FALSE)),"")</f>
        <v/>
      </c>
      <c r="W25" s="145" t="str">
        <f>IF(A25&lt;&gt;"",(VLOOKUP(A25,Total!$B$5:$AL$512,36,FALSE)),"")</f>
        <v/>
      </c>
      <c r="X25" s="145" t="str">
        <f>IF(A25&lt;&gt;"",(VLOOKUP(A25,Total!$B$5:$AM$512,37,FALSE)),"")</f>
        <v/>
      </c>
      <c r="AA25" s="163" t="str">
        <f>IF(A25&lt;&gt;"",(VLOOKUP(A25,Total!$B$5:$AV$512,40,FALSE)),"")</f>
        <v/>
      </c>
      <c r="AB25" s="163" t="str">
        <f>IF(A25&lt;&gt;"",(VLOOKUP(A25,Total!$B$5:$AV$512,41,FALSE)),"")</f>
        <v/>
      </c>
      <c r="AC25" s="163" t="str">
        <f>IF(A25&lt;&gt;"",(VLOOKUP(A25,Total!$B$5:$AV$512,42,FALSE)),"")</f>
        <v/>
      </c>
      <c r="AD25" s="163" t="str">
        <f>IF(A25&lt;&gt;"",(VLOOKUP(A25,Total!$B$5:$AV$512,43,FALSE)),"")</f>
        <v/>
      </c>
      <c r="AE25" s="163" t="str">
        <f>IF(A25&lt;&gt;"",(VLOOKUP(A25,Total!$B$5:$AV$512,44,FALSE)),"")</f>
        <v/>
      </c>
      <c r="AF25" s="163" t="str">
        <f>IF(A25&lt;&gt;"",(VLOOKUP(A25,Total!$B$5:$AV$512,45,FALSE)),"")</f>
        <v/>
      </c>
      <c r="AG25" s="163" t="str">
        <f>IF(A25&lt;&gt;"",(VLOOKUP(A25,Total!$B$5:$AV$512,46,FALSE)),"")</f>
        <v/>
      </c>
      <c r="AH25" s="163" t="str">
        <f>IF(A25&lt;&gt;"",(VLOOKUP(A25,Total!$B$5:$AV$512,47,FALSE)),"")</f>
        <v/>
      </c>
      <c r="AI25" s="163" t="e">
        <f>VLOOKUP(AA25,Scores!$A$1:$D$157,2,FALSE)</f>
        <v>#N/A</v>
      </c>
      <c r="AJ25" s="163" t="e">
        <f>VLOOKUP(AB25,Scores!$A$1:$D$157,2,FALSE)</f>
        <v>#N/A</v>
      </c>
      <c r="AK25" s="163" t="e">
        <f>VLOOKUP(AC25,Scores!$A$1:$D$157,2,FALSE)</f>
        <v>#N/A</v>
      </c>
      <c r="AL25" s="163" t="e">
        <f>VLOOKUP(AD25,Scores!$A$1:$D$157,2,FALSE)</f>
        <v>#N/A</v>
      </c>
      <c r="AM25" s="163" t="e">
        <f>VLOOKUP(AA25,Scores!$A$1:$D$157,3,FALSE)</f>
        <v>#N/A</v>
      </c>
      <c r="AN25" s="163" t="e">
        <f>VLOOKUP(AB25,Scores!$A$1:$D$157,3,FALSE)</f>
        <v>#N/A</v>
      </c>
      <c r="AO25" s="163" t="e">
        <f>VLOOKUP(AC25,Scores!$A$1:$D$157,3,FALSE)</f>
        <v>#N/A</v>
      </c>
      <c r="AP25" s="163" t="e">
        <f>VLOOKUP(AD25,Scores!$A$1:$D$157,3,FALSE)</f>
        <v>#N/A</v>
      </c>
      <c r="AQ25" s="163" t="str">
        <f t="shared" si="2"/>
        <v/>
      </c>
      <c r="AR25" s="163">
        <f t="shared" si="3"/>
        <v>0</v>
      </c>
      <c r="AS25" s="163">
        <f t="shared" si="4"/>
        <v>0</v>
      </c>
    </row>
    <row r="26" spans="1:45" x14ac:dyDescent="0.25">
      <c r="A26" s="195"/>
      <c r="B26" s="351" t="str">
        <f>IF(A26&lt;&gt;0,VLOOKUP(A26,Total!$B$5:$AZ$512,51,FALSE),"")</f>
        <v/>
      </c>
      <c r="C26" s="352"/>
      <c r="D26" s="144" t="str">
        <f>IF(A26&lt;&gt;"",(VLOOKUP(A26,Total!$B$5:$AL$512,2,FALSE)),"")</f>
        <v/>
      </c>
      <c r="E26" s="145" t="str">
        <f>IF(A26&lt;&gt;"",(VLOOKUP(A26,Total!$B$5:$AL$512,3,FALSE)),"")</f>
        <v/>
      </c>
      <c r="F26" s="145" t="str">
        <f>IF(A26&lt;&gt;"",(VLOOKUP(A26,Total!$B$5:$AL$512,12,FALSE)),"")</f>
        <v/>
      </c>
      <c r="G26" s="145" t="str">
        <f>IF(A26&lt;&gt;"",(VLOOKUP(A26,Total!$B$5:$AL$512,14,FALSE)),"")</f>
        <v/>
      </c>
      <c r="H26" s="145" t="str">
        <f>IF(A26&lt;&gt;"",(VLOOKUP(A26,Total!$B$5:$AL$512,8,FALSE)),"")</f>
        <v/>
      </c>
      <c r="I26" s="145" t="str">
        <f>IF(A26&lt;&gt;"",(VLOOKUP(A26,Total!$B$5:$AL$512,9,FALSE)),"")</f>
        <v/>
      </c>
      <c r="J26" s="145" t="str">
        <f>IF(A26&lt;&gt;"",(VLOOKUP(A26,Total!$B$5:$AL$512,10,FALSE)),"")</f>
        <v/>
      </c>
      <c r="K26" s="145" t="str">
        <f>IF(A26&lt;&gt;"",(VLOOKUP(A26,Total!$B$5:$AL$512,11,FALSE)),"")</f>
        <v/>
      </c>
      <c r="L26" s="175" t="str">
        <f>IF(A26&lt;&gt;"",(VLOOKUP(A26,Total!$B$5:$AL$512,15,FALSE)),"")</f>
        <v/>
      </c>
      <c r="M26" s="202">
        <f t="shared" si="0"/>
        <v>0</v>
      </c>
      <c r="N26" s="202">
        <f t="shared" si="1"/>
        <v>0</v>
      </c>
      <c r="O26" s="145" t="str">
        <f>IF(A26&lt;&gt;"",(VLOOKUP(A26,Total!$B$5:$AL$512,26,FALSE)),"")</f>
        <v/>
      </c>
      <c r="P26" s="145" t="str">
        <f>IF(A26&lt;&gt;"",(VLOOKUP(A26,Total!$B$5:$AL$512,27,FALSE)),"")</f>
        <v/>
      </c>
      <c r="Q26" s="145" t="str">
        <f>IF(A26&lt;&gt;"",(VLOOKUP(A26,Total!$B$5:$AL$512,28,FALSE)),"")</f>
        <v/>
      </c>
      <c r="R26" s="145" t="str">
        <f>IF(A26&lt;&gt;"",(VLOOKUP(A26,Total!$B$5:$AL$512,29,FALSE)),"")</f>
        <v/>
      </c>
      <c r="S26" s="145" t="str">
        <f>IF(A26&lt;&gt;"",(VLOOKUP(A26,Total!$B$5:$AL$512,30,FALSE)),"")</f>
        <v/>
      </c>
      <c r="T26" s="145" t="str">
        <f>IF(A26&lt;&gt;"",(VLOOKUP(A26,Total!$B$5:$AL$512,31,FALSE)),"")</f>
        <v/>
      </c>
      <c r="U26" s="145" t="str">
        <f>IF(A26&lt;&gt;"",(VLOOKUP(A26,Total!$B$5:$AL$512,32,FALSE)),"")</f>
        <v/>
      </c>
      <c r="V26" s="145" t="str">
        <f>IF(A26&lt;&gt;"",(VLOOKUP(A26,Total!$B$5:$AL$512,33,FALSE)),"")</f>
        <v/>
      </c>
      <c r="W26" s="145" t="str">
        <f>IF(A26&lt;&gt;"",(VLOOKUP(A26,Total!$B$5:$AL$512,36,FALSE)),"")</f>
        <v/>
      </c>
      <c r="X26" s="145" t="str">
        <f>IF(A26&lt;&gt;"",(VLOOKUP(A26,Total!$B$5:$AM$512,37,FALSE)),"")</f>
        <v/>
      </c>
      <c r="AA26" s="163" t="str">
        <f>IF(A26&lt;&gt;"",(VLOOKUP(A26,Total!$B$5:$AV$512,40,FALSE)),"")</f>
        <v/>
      </c>
      <c r="AB26" s="163" t="str">
        <f>IF(A26&lt;&gt;"",(VLOOKUP(A26,Total!$B$5:$AV$512,41,FALSE)),"")</f>
        <v/>
      </c>
      <c r="AC26" s="163" t="str">
        <f>IF(A26&lt;&gt;"",(VLOOKUP(A26,Total!$B$5:$AV$512,42,FALSE)),"")</f>
        <v/>
      </c>
      <c r="AD26" s="163" t="str">
        <f>IF(A26&lt;&gt;"",(VLOOKUP(A26,Total!$B$5:$AV$512,43,FALSE)),"")</f>
        <v/>
      </c>
      <c r="AE26" s="163" t="str">
        <f>IF(A26&lt;&gt;"",(VLOOKUP(A26,Total!$B$5:$AV$512,44,FALSE)),"")</f>
        <v/>
      </c>
      <c r="AF26" s="163" t="str">
        <f>IF(A26&lt;&gt;"",(VLOOKUP(A26,Total!$B$5:$AV$512,45,FALSE)),"")</f>
        <v/>
      </c>
      <c r="AG26" s="163" t="str">
        <f>IF(A26&lt;&gt;"",(VLOOKUP(A26,Total!$B$5:$AV$512,46,FALSE)),"")</f>
        <v/>
      </c>
      <c r="AH26" s="163" t="str">
        <f>IF(A26&lt;&gt;"",(VLOOKUP(A26,Total!$B$5:$AV$512,47,FALSE)),"")</f>
        <v/>
      </c>
      <c r="AI26" s="163" t="e">
        <f>VLOOKUP(AA26,Scores!$A$1:$D$157,2,FALSE)</f>
        <v>#N/A</v>
      </c>
      <c r="AJ26" s="163" t="e">
        <f>VLOOKUP(AB26,Scores!$A$1:$D$157,2,FALSE)</f>
        <v>#N/A</v>
      </c>
      <c r="AK26" s="163" t="e">
        <f>VLOOKUP(AC26,Scores!$A$1:$D$157,2,FALSE)</f>
        <v>#N/A</v>
      </c>
      <c r="AL26" s="163" t="e">
        <f>VLOOKUP(AD26,Scores!$A$1:$D$157,2,FALSE)</f>
        <v>#N/A</v>
      </c>
      <c r="AM26" s="163" t="e">
        <f>VLOOKUP(AA26,Scores!$A$1:$D$157,3,FALSE)</f>
        <v>#N/A</v>
      </c>
      <c r="AN26" s="163" t="e">
        <f>VLOOKUP(AB26,Scores!$A$1:$D$157,3,FALSE)</f>
        <v>#N/A</v>
      </c>
      <c r="AO26" s="163" t="e">
        <f>VLOOKUP(AC26,Scores!$A$1:$D$157,3,FALSE)</f>
        <v>#N/A</v>
      </c>
      <c r="AP26" s="163" t="e">
        <f>VLOOKUP(AD26,Scores!$A$1:$D$157,3,FALSE)</f>
        <v>#N/A</v>
      </c>
      <c r="AQ26" s="163" t="str">
        <f t="shared" si="2"/>
        <v/>
      </c>
      <c r="AR26" s="163">
        <f t="shared" si="3"/>
        <v>0</v>
      </c>
      <c r="AS26" s="163">
        <f t="shared" si="4"/>
        <v>0</v>
      </c>
    </row>
    <row r="27" spans="1:45" x14ac:dyDescent="0.25">
      <c r="A27" s="195"/>
      <c r="B27" s="351" t="str">
        <f>IF(A27&lt;&gt;0,VLOOKUP(A27,Total!$B$5:$AZ$512,51,FALSE),"")</f>
        <v/>
      </c>
      <c r="C27" s="352"/>
      <c r="D27" s="144" t="str">
        <f>IF(A27&lt;&gt;"",(VLOOKUP(A27,Total!$B$5:$AL$512,2,FALSE)),"")</f>
        <v/>
      </c>
      <c r="E27" s="145" t="str">
        <f>IF(A27&lt;&gt;"",(VLOOKUP(A27,Total!$B$5:$AL$512,3,FALSE)),"")</f>
        <v/>
      </c>
      <c r="F27" s="145" t="str">
        <f>IF(A27&lt;&gt;"",(VLOOKUP(A27,Total!$B$5:$AL$512,12,FALSE)),"")</f>
        <v/>
      </c>
      <c r="G27" s="145" t="str">
        <f>IF(A27&lt;&gt;"",(VLOOKUP(A27,Total!$B$5:$AL$512,14,FALSE)),"")</f>
        <v/>
      </c>
      <c r="H27" s="145" t="str">
        <f>IF(A27&lt;&gt;"",(VLOOKUP(A27,Total!$B$5:$AL$512,8,FALSE)),"")</f>
        <v/>
      </c>
      <c r="I27" s="145" t="str">
        <f>IF(A27&lt;&gt;"",(VLOOKUP(A27,Total!$B$5:$AL$512,9,FALSE)),"")</f>
        <v/>
      </c>
      <c r="J27" s="145" t="str">
        <f>IF(A27&lt;&gt;"",(VLOOKUP(A27,Total!$B$5:$AL$512,10,FALSE)),"")</f>
        <v/>
      </c>
      <c r="K27" s="145" t="str">
        <f>IF(A27&lt;&gt;"",(VLOOKUP(A27,Total!$B$5:$AL$512,11,FALSE)),"")</f>
        <v/>
      </c>
      <c r="L27" s="175" t="str">
        <f>IF(A27&lt;&gt;"",(VLOOKUP(A27,Total!$B$5:$AL$512,15,FALSE)),"")</f>
        <v/>
      </c>
      <c r="M27" s="202">
        <f t="shared" si="0"/>
        <v>0</v>
      </c>
      <c r="N27" s="202">
        <f t="shared" si="1"/>
        <v>0</v>
      </c>
      <c r="O27" s="145" t="str">
        <f>IF(A27&lt;&gt;"",(VLOOKUP(A27,Total!$B$5:$AL$512,26,FALSE)),"")</f>
        <v/>
      </c>
      <c r="P27" s="145" t="str">
        <f>IF(A27&lt;&gt;"",(VLOOKUP(A27,Total!$B$5:$AL$512,27,FALSE)),"")</f>
        <v/>
      </c>
      <c r="Q27" s="145" t="str">
        <f>IF(A27&lt;&gt;"",(VLOOKUP(A27,Total!$B$5:$AL$512,28,FALSE)),"")</f>
        <v/>
      </c>
      <c r="R27" s="145" t="str">
        <f>IF(A27&lt;&gt;"",(VLOOKUP(A27,Total!$B$5:$AL$512,29,FALSE)),"")</f>
        <v/>
      </c>
      <c r="S27" s="145" t="str">
        <f>IF(A27&lt;&gt;"",(VLOOKUP(A27,Total!$B$5:$AL$512,30,FALSE)),"")</f>
        <v/>
      </c>
      <c r="T27" s="145" t="str">
        <f>IF(A27&lt;&gt;"",(VLOOKUP(A27,Total!$B$5:$AL$512,31,FALSE)),"")</f>
        <v/>
      </c>
      <c r="U27" s="145" t="str">
        <f>IF(A27&lt;&gt;"",(VLOOKUP(A27,Total!$B$5:$AL$512,32,FALSE)),"")</f>
        <v/>
      </c>
      <c r="V27" s="145" t="str">
        <f>IF(A27&lt;&gt;"",(VLOOKUP(A27,Total!$B$5:$AL$512,33,FALSE)),"")</f>
        <v/>
      </c>
      <c r="W27" s="145" t="str">
        <f>IF(A27&lt;&gt;"",(VLOOKUP(A27,Total!$B$5:$AL$512,36,FALSE)),"")</f>
        <v/>
      </c>
      <c r="X27" s="145" t="str">
        <f>IF(A27&lt;&gt;"",(VLOOKUP(A27,Total!$B$5:$AM$512,37,FALSE)),"")</f>
        <v/>
      </c>
      <c r="AA27" s="163" t="str">
        <f>IF(A27&lt;&gt;"",(VLOOKUP(A27,Total!$B$5:$AV$512,40,FALSE)),"")</f>
        <v/>
      </c>
      <c r="AB27" s="163" t="str">
        <f>IF(A27&lt;&gt;"",(VLOOKUP(A27,Total!$B$5:$AV$512,41,FALSE)),"")</f>
        <v/>
      </c>
      <c r="AC27" s="163" t="str">
        <f>IF(A27&lt;&gt;"",(VLOOKUP(A27,Total!$B$5:$AV$512,42,FALSE)),"")</f>
        <v/>
      </c>
      <c r="AD27" s="163" t="str">
        <f>IF(A27&lt;&gt;"",(VLOOKUP(A27,Total!$B$5:$AV$512,43,FALSE)),"")</f>
        <v/>
      </c>
      <c r="AE27" s="163" t="str">
        <f>IF(A27&lt;&gt;"",(VLOOKUP(A27,Total!$B$5:$AV$512,44,FALSE)),"")</f>
        <v/>
      </c>
      <c r="AF27" s="163" t="str">
        <f>IF(A27&lt;&gt;"",(VLOOKUP(A27,Total!$B$5:$AV$512,45,FALSE)),"")</f>
        <v/>
      </c>
      <c r="AG27" s="163" t="str">
        <f>IF(A27&lt;&gt;"",(VLOOKUP(A27,Total!$B$5:$AV$512,46,FALSE)),"")</f>
        <v/>
      </c>
      <c r="AH27" s="163" t="str">
        <f>IF(A27&lt;&gt;"",(VLOOKUP(A27,Total!$B$5:$AV$512,47,FALSE)),"")</f>
        <v/>
      </c>
      <c r="AI27" s="163" t="e">
        <f>VLOOKUP(AA27,Scores!$A$1:$D$157,2,FALSE)</f>
        <v>#N/A</v>
      </c>
      <c r="AJ27" s="163" t="e">
        <f>VLOOKUP(AB27,Scores!$A$1:$D$157,2,FALSE)</f>
        <v>#N/A</v>
      </c>
      <c r="AK27" s="163" t="e">
        <f>VLOOKUP(AC27,Scores!$A$1:$D$157,2,FALSE)</f>
        <v>#N/A</v>
      </c>
      <c r="AL27" s="163" t="e">
        <f>VLOOKUP(AD27,Scores!$A$1:$D$157,2,FALSE)</f>
        <v>#N/A</v>
      </c>
      <c r="AM27" s="163" t="e">
        <f>VLOOKUP(AA27,Scores!$A$1:$D$157,3,FALSE)</f>
        <v>#N/A</v>
      </c>
      <c r="AN27" s="163" t="e">
        <f>VLOOKUP(AB27,Scores!$A$1:$D$157,3,FALSE)</f>
        <v>#N/A</v>
      </c>
      <c r="AO27" s="163" t="e">
        <f>VLOOKUP(AC27,Scores!$A$1:$D$157,3,FALSE)</f>
        <v>#N/A</v>
      </c>
      <c r="AP27" s="163" t="e">
        <f>VLOOKUP(AD27,Scores!$A$1:$D$157,3,FALSE)</f>
        <v>#N/A</v>
      </c>
      <c r="AQ27" s="163" t="str">
        <f t="shared" si="2"/>
        <v/>
      </c>
      <c r="AR27" s="163">
        <f t="shared" si="3"/>
        <v>0</v>
      </c>
      <c r="AS27" s="163">
        <f t="shared" si="4"/>
        <v>0</v>
      </c>
    </row>
    <row r="28" spans="1:45" x14ac:dyDescent="0.25">
      <c r="A28" s="195"/>
      <c r="B28" s="351" t="str">
        <f>IF(A28&lt;&gt;0,VLOOKUP(A28,Total!$B$5:$AZ$512,51,FALSE),"")</f>
        <v/>
      </c>
      <c r="C28" s="352"/>
      <c r="D28" s="144" t="str">
        <f>IF(A28&lt;&gt;"",(VLOOKUP(A28,Total!$B$5:$AL$512,2,FALSE)),"")</f>
        <v/>
      </c>
      <c r="E28" s="145" t="str">
        <f>IF(A28&lt;&gt;"",(VLOOKUP(A28,Total!$B$5:$AL$512,3,FALSE)),"")</f>
        <v/>
      </c>
      <c r="F28" s="145" t="str">
        <f>IF(A28&lt;&gt;"",(VLOOKUP(A28,Total!$B$5:$AL$512,12,FALSE)),"")</f>
        <v/>
      </c>
      <c r="G28" s="145" t="str">
        <f>IF(A28&lt;&gt;"",(VLOOKUP(A28,Total!$B$5:$AL$512,14,FALSE)),"")</f>
        <v/>
      </c>
      <c r="H28" s="145" t="str">
        <f>IF(A28&lt;&gt;"",(VLOOKUP(A28,Total!$B$5:$AL$512,8,FALSE)),"")</f>
        <v/>
      </c>
      <c r="I28" s="145" t="str">
        <f>IF(A28&lt;&gt;"",(VLOOKUP(A28,Total!$B$5:$AL$512,9,FALSE)),"")</f>
        <v/>
      </c>
      <c r="J28" s="145" t="str">
        <f>IF(A28&lt;&gt;"",(VLOOKUP(A28,Total!$B$5:$AL$512,10,FALSE)),"")</f>
        <v/>
      </c>
      <c r="K28" s="145" t="str">
        <f>IF(A28&lt;&gt;"",(VLOOKUP(A28,Total!$B$5:$AL$512,11,FALSE)),"")</f>
        <v/>
      </c>
      <c r="L28" s="175" t="str">
        <f>IF(A28&lt;&gt;"",(VLOOKUP(A28,Total!$B$5:$AL$512,15,FALSE)),"")</f>
        <v/>
      </c>
      <c r="M28" s="202">
        <f t="shared" si="0"/>
        <v>0</v>
      </c>
      <c r="N28" s="202">
        <f t="shared" si="1"/>
        <v>0</v>
      </c>
      <c r="O28" s="145" t="str">
        <f>IF(A28&lt;&gt;"",(VLOOKUP(A28,Total!$B$5:$AL$512,26,FALSE)),"")</f>
        <v/>
      </c>
      <c r="P28" s="145" t="str">
        <f>IF(A28&lt;&gt;"",(VLOOKUP(A28,Total!$B$5:$AL$512,27,FALSE)),"")</f>
        <v/>
      </c>
      <c r="Q28" s="145" t="str">
        <f>IF(A28&lt;&gt;"",(VLOOKUP(A28,Total!$B$5:$AL$512,28,FALSE)),"")</f>
        <v/>
      </c>
      <c r="R28" s="145" t="str">
        <f>IF(A28&lt;&gt;"",(VLOOKUP(A28,Total!$B$5:$AL$512,29,FALSE)),"")</f>
        <v/>
      </c>
      <c r="S28" s="145" t="str">
        <f>IF(A28&lt;&gt;"",(VLOOKUP(A28,Total!$B$5:$AL$512,30,FALSE)),"")</f>
        <v/>
      </c>
      <c r="T28" s="145" t="str">
        <f>IF(A28&lt;&gt;"",(VLOOKUP(A28,Total!$B$5:$AL$512,31,FALSE)),"")</f>
        <v/>
      </c>
      <c r="U28" s="145" t="str">
        <f>IF(A28&lt;&gt;"",(VLOOKUP(A28,Total!$B$5:$AL$512,32,FALSE)),"")</f>
        <v/>
      </c>
      <c r="V28" s="145" t="str">
        <f>IF(A28&lt;&gt;"",(VLOOKUP(A28,Total!$B$5:$AL$512,33,FALSE)),"")</f>
        <v/>
      </c>
      <c r="W28" s="145" t="str">
        <f>IF(A28&lt;&gt;"",(VLOOKUP(A28,Total!$B$5:$AL$512,36,FALSE)),"")</f>
        <v/>
      </c>
      <c r="X28" s="145" t="str">
        <f>IF(A28&lt;&gt;"",(VLOOKUP(A28,Total!$B$5:$AM$512,37,FALSE)),"")</f>
        <v/>
      </c>
      <c r="AA28" s="163" t="str">
        <f>IF(A28&lt;&gt;"",(VLOOKUP(A28,Total!$B$5:$AV$512,40,FALSE)),"")</f>
        <v/>
      </c>
      <c r="AB28" s="163" t="str">
        <f>IF(A28&lt;&gt;"",(VLOOKUP(A28,Total!$B$5:$AV$512,41,FALSE)),"")</f>
        <v/>
      </c>
      <c r="AC28" s="163" t="str">
        <f>IF(A28&lt;&gt;"",(VLOOKUP(A28,Total!$B$5:$AV$512,42,FALSE)),"")</f>
        <v/>
      </c>
      <c r="AD28" s="163" t="str">
        <f>IF(A28&lt;&gt;"",(VLOOKUP(A28,Total!$B$5:$AV$512,43,FALSE)),"")</f>
        <v/>
      </c>
      <c r="AE28" s="163" t="str">
        <f>IF(A28&lt;&gt;"",(VLOOKUP(A28,Total!$B$5:$AV$512,44,FALSE)),"")</f>
        <v/>
      </c>
      <c r="AF28" s="163" t="str">
        <f>IF(A28&lt;&gt;"",(VLOOKUP(A28,Total!$B$5:$AV$512,45,FALSE)),"")</f>
        <v/>
      </c>
      <c r="AG28" s="163" t="str">
        <f>IF(A28&lt;&gt;"",(VLOOKUP(A28,Total!$B$5:$AV$512,46,FALSE)),"")</f>
        <v/>
      </c>
      <c r="AH28" s="163" t="str">
        <f>IF(A28&lt;&gt;"",(VLOOKUP(A28,Total!$B$5:$AV$512,47,FALSE)),"")</f>
        <v/>
      </c>
      <c r="AI28" s="163" t="e">
        <f>VLOOKUP(AA28,Scores!$A$1:$D$157,2,FALSE)</f>
        <v>#N/A</v>
      </c>
      <c r="AJ28" s="163" t="e">
        <f>VLOOKUP(AB28,Scores!$A$1:$D$157,2,FALSE)</f>
        <v>#N/A</v>
      </c>
      <c r="AK28" s="163" t="e">
        <f>VLOOKUP(AC28,Scores!$A$1:$D$157,2,FALSE)</f>
        <v>#N/A</v>
      </c>
      <c r="AL28" s="163" t="e">
        <f>VLOOKUP(AD28,Scores!$A$1:$D$157,2,FALSE)</f>
        <v>#N/A</v>
      </c>
      <c r="AM28" s="163" t="e">
        <f>VLOOKUP(AA28,Scores!$A$1:$D$157,3,FALSE)</f>
        <v>#N/A</v>
      </c>
      <c r="AN28" s="163" t="e">
        <f>VLOOKUP(AB28,Scores!$A$1:$D$157,3,FALSE)</f>
        <v>#N/A</v>
      </c>
      <c r="AO28" s="163" t="e">
        <f>VLOOKUP(AC28,Scores!$A$1:$D$157,3,FALSE)</f>
        <v>#N/A</v>
      </c>
      <c r="AP28" s="163" t="e">
        <f>VLOOKUP(AD28,Scores!$A$1:$D$157,3,FALSE)</f>
        <v>#N/A</v>
      </c>
      <c r="AQ28" s="163" t="str">
        <f t="shared" si="2"/>
        <v/>
      </c>
      <c r="AR28" s="163">
        <f t="shared" si="3"/>
        <v>0</v>
      </c>
      <c r="AS28" s="163">
        <f t="shared" si="4"/>
        <v>0</v>
      </c>
    </row>
    <row r="29" spans="1:45" x14ac:dyDescent="0.25">
      <c r="A29" s="195"/>
      <c r="B29" s="351" t="str">
        <f>IF(A29&lt;&gt;0,VLOOKUP(A29,Total!$B$5:$AZ$512,51,FALSE),"")</f>
        <v/>
      </c>
      <c r="C29" s="352"/>
      <c r="D29" s="144" t="str">
        <f>IF(A29&lt;&gt;"",(VLOOKUP(A29,Total!$B$5:$AL$512,2,FALSE)),"")</f>
        <v/>
      </c>
      <c r="E29" s="145" t="str">
        <f>IF(A29&lt;&gt;"",(VLOOKUP(A29,Total!$B$5:$AL$512,3,FALSE)),"")</f>
        <v/>
      </c>
      <c r="F29" s="145" t="str">
        <f>IF(A29&lt;&gt;"",(VLOOKUP(A29,Total!$B$5:$AL$512,12,FALSE)),"")</f>
        <v/>
      </c>
      <c r="G29" s="145" t="str">
        <f>IF(A29&lt;&gt;"",(VLOOKUP(A29,Total!$B$5:$AL$512,14,FALSE)),"")</f>
        <v/>
      </c>
      <c r="H29" s="145" t="str">
        <f>IF(A29&lt;&gt;"",(VLOOKUP(A29,Total!$B$5:$AL$512,8,FALSE)),"")</f>
        <v/>
      </c>
      <c r="I29" s="145" t="str">
        <f>IF(A29&lt;&gt;"",(VLOOKUP(A29,Total!$B$5:$AL$512,9,FALSE)),"")</f>
        <v/>
      </c>
      <c r="J29" s="145" t="str">
        <f>IF(A29&lt;&gt;"",(VLOOKUP(A29,Total!$B$5:$AL$512,10,FALSE)),"")</f>
        <v/>
      </c>
      <c r="K29" s="145" t="str">
        <f>IF(A29&lt;&gt;"",(VLOOKUP(A29,Total!$B$5:$AL$512,11,FALSE)),"")</f>
        <v/>
      </c>
      <c r="L29" s="175" t="str">
        <f>IF(A29&lt;&gt;"",(VLOOKUP(A29,Total!$B$5:$AL$512,15,FALSE)),"")</f>
        <v/>
      </c>
      <c r="M29" s="202">
        <f t="shared" si="0"/>
        <v>0</v>
      </c>
      <c r="N29" s="202">
        <f t="shared" si="1"/>
        <v>0</v>
      </c>
      <c r="O29" s="145" t="str">
        <f>IF(A29&lt;&gt;"",(VLOOKUP(A29,Total!$B$5:$AL$512,26,FALSE)),"")</f>
        <v/>
      </c>
      <c r="P29" s="145" t="str">
        <f>IF(A29&lt;&gt;"",(VLOOKUP(A29,Total!$B$5:$AL$512,27,FALSE)),"")</f>
        <v/>
      </c>
      <c r="Q29" s="145" t="str">
        <f>IF(A29&lt;&gt;"",(VLOOKUP(A29,Total!$B$5:$AL$512,28,FALSE)),"")</f>
        <v/>
      </c>
      <c r="R29" s="145" t="str">
        <f>IF(A29&lt;&gt;"",(VLOOKUP(A29,Total!$B$5:$AL$512,29,FALSE)),"")</f>
        <v/>
      </c>
      <c r="S29" s="145" t="str">
        <f>IF(A29&lt;&gt;"",(VLOOKUP(A29,Total!$B$5:$AL$512,30,FALSE)),"")</f>
        <v/>
      </c>
      <c r="T29" s="145" t="str">
        <f>IF(A29&lt;&gt;"",(VLOOKUP(A29,Total!$B$5:$AL$512,31,FALSE)),"")</f>
        <v/>
      </c>
      <c r="U29" s="145" t="str">
        <f>IF(A29&lt;&gt;"",(VLOOKUP(A29,Total!$B$5:$AL$512,32,FALSE)),"")</f>
        <v/>
      </c>
      <c r="V29" s="145" t="str">
        <f>IF(A29&lt;&gt;"",(VLOOKUP(A29,Total!$B$5:$AL$512,33,FALSE)),"")</f>
        <v/>
      </c>
      <c r="W29" s="145" t="str">
        <f>IF(A29&lt;&gt;"",(VLOOKUP(A29,Total!$B$5:$AL$512,36,FALSE)),"")</f>
        <v/>
      </c>
      <c r="X29" s="145" t="str">
        <f>IF(A29&lt;&gt;"",(VLOOKUP(A29,Total!$B$5:$AM$512,37,FALSE)),"")</f>
        <v/>
      </c>
      <c r="AA29" s="163" t="str">
        <f>IF(A29&lt;&gt;"",(VLOOKUP(A29,Total!$B$5:$AV$512,40,FALSE)),"")</f>
        <v/>
      </c>
      <c r="AB29" s="163" t="str">
        <f>IF(A29&lt;&gt;"",(VLOOKUP(A29,Total!$B$5:$AV$512,41,FALSE)),"")</f>
        <v/>
      </c>
      <c r="AC29" s="163" t="str">
        <f>IF(A29&lt;&gt;"",(VLOOKUP(A29,Total!$B$5:$AV$512,42,FALSE)),"")</f>
        <v/>
      </c>
      <c r="AD29" s="163" t="str">
        <f>IF(A29&lt;&gt;"",(VLOOKUP(A29,Total!$B$5:$AV$512,43,FALSE)),"")</f>
        <v/>
      </c>
      <c r="AE29" s="163" t="str">
        <f>IF(A29&lt;&gt;"",(VLOOKUP(A29,Total!$B$5:$AV$512,44,FALSE)),"")</f>
        <v/>
      </c>
      <c r="AF29" s="163" t="str">
        <f>IF(A29&lt;&gt;"",(VLOOKUP(A29,Total!$B$5:$AV$512,45,FALSE)),"")</f>
        <v/>
      </c>
      <c r="AG29" s="163" t="str">
        <f>IF(A29&lt;&gt;"",(VLOOKUP(A29,Total!$B$5:$AV$512,46,FALSE)),"")</f>
        <v/>
      </c>
      <c r="AH29" s="163" t="str">
        <f>IF(A29&lt;&gt;"",(VLOOKUP(A29,Total!$B$5:$AV$512,47,FALSE)),"")</f>
        <v/>
      </c>
      <c r="AI29" s="163" t="e">
        <f>VLOOKUP(AA29,Scores!$A$1:$D$157,2,FALSE)</f>
        <v>#N/A</v>
      </c>
      <c r="AJ29" s="163" t="e">
        <f>VLOOKUP(AB29,Scores!$A$1:$D$157,2,FALSE)</f>
        <v>#N/A</v>
      </c>
      <c r="AK29" s="163" t="e">
        <f>VLOOKUP(AC29,Scores!$A$1:$D$157,2,FALSE)</f>
        <v>#N/A</v>
      </c>
      <c r="AL29" s="163" t="e">
        <f>VLOOKUP(AD29,Scores!$A$1:$D$157,2,FALSE)</f>
        <v>#N/A</v>
      </c>
      <c r="AM29" s="163" t="e">
        <f>VLOOKUP(AA29,Scores!$A$1:$D$157,3,FALSE)</f>
        <v>#N/A</v>
      </c>
      <c r="AN29" s="163" t="e">
        <f>VLOOKUP(AB29,Scores!$A$1:$D$157,3,FALSE)</f>
        <v>#N/A</v>
      </c>
      <c r="AO29" s="163" t="e">
        <f>VLOOKUP(AC29,Scores!$A$1:$D$157,3,FALSE)</f>
        <v>#N/A</v>
      </c>
      <c r="AP29" s="163" t="e">
        <f>VLOOKUP(AD29,Scores!$A$1:$D$157,3,FALSE)</f>
        <v>#N/A</v>
      </c>
      <c r="AQ29" s="163" t="str">
        <f t="shared" si="2"/>
        <v/>
      </c>
      <c r="AR29" s="163">
        <f t="shared" si="3"/>
        <v>0</v>
      </c>
      <c r="AS29" s="163">
        <f t="shared" si="4"/>
        <v>0</v>
      </c>
    </row>
    <row r="30" spans="1:45" x14ac:dyDescent="0.25">
      <c r="A30" s="195"/>
      <c r="B30" s="351" t="str">
        <f>IF(A30&lt;&gt;0,VLOOKUP(A30,Total!$B$5:$AZ$512,51,FALSE),"")</f>
        <v/>
      </c>
      <c r="C30" s="352"/>
      <c r="D30" s="144" t="str">
        <f>IF(A30&lt;&gt;"",(VLOOKUP(A30,Total!$B$5:$AL$512,2,FALSE)),"")</f>
        <v/>
      </c>
      <c r="E30" s="145" t="str">
        <f>IF(A30&lt;&gt;"",(VLOOKUP(A30,Total!$B$5:$AL$512,3,FALSE)),"")</f>
        <v/>
      </c>
      <c r="F30" s="145" t="str">
        <f>IF(A30&lt;&gt;"",(VLOOKUP(A30,Total!$B$5:$AL$512,12,FALSE)),"")</f>
        <v/>
      </c>
      <c r="G30" s="145" t="str">
        <f>IF(A30&lt;&gt;"",(VLOOKUP(A30,Total!$B$5:$AL$512,14,FALSE)),"")</f>
        <v/>
      </c>
      <c r="H30" s="145" t="str">
        <f>IF(A30&lt;&gt;"",(VLOOKUP(A30,Total!$B$5:$AL$512,8,FALSE)),"")</f>
        <v/>
      </c>
      <c r="I30" s="145" t="str">
        <f>IF(A30&lt;&gt;"",(VLOOKUP(A30,Total!$B$5:$AL$512,9,FALSE)),"")</f>
        <v/>
      </c>
      <c r="J30" s="145" t="str">
        <f>IF(A30&lt;&gt;"",(VLOOKUP(A30,Total!$B$5:$AL$512,10,FALSE)),"")</f>
        <v/>
      </c>
      <c r="K30" s="145" t="str">
        <f>IF(A30&lt;&gt;"",(VLOOKUP(A30,Total!$B$5:$AL$512,11,FALSE)),"")</f>
        <v/>
      </c>
      <c r="L30" s="175" t="str">
        <f>IF(A30&lt;&gt;"",(VLOOKUP(A30,Total!$B$5:$AL$512,15,FALSE)),"")</f>
        <v/>
      </c>
      <c r="M30" s="202">
        <f t="shared" si="0"/>
        <v>0</v>
      </c>
      <c r="N30" s="202">
        <f t="shared" si="1"/>
        <v>0</v>
      </c>
      <c r="O30" s="145" t="str">
        <f>IF(A30&lt;&gt;"",(VLOOKUP(A30,Total!$B$5:$AL$512,26,FALSE)),"")</f>
        <v/>
      </c>
      <c r="P30" s="145" t="str">
        <f>IF(A30&lt;&gt;"",(VLOOKUP(A30,Total!$B$5:$AL$512,27,FALSE)),"")</f>
        <v/>
      </c>
      <c r="Q30" s="145" t="str">
        <f>IF(A30&lt;&gt;"",(VLOOKUP(A30,Total!$B$5:$AL$512,28,FALSE)),"")</f>
        <v/>
      </c>
      <c r="R30" s="145" t="str">
        <f>IF(A30&lt;&gt;"",(VLOOKUP(A30,Total!$B$5:$AL$512,29,FALSE)),"")</f>
        <v/>
      </c>
      <c r="S30" s="145" t="str">
        <f>IF(A30&lt;&gt;"",(VLOOKUP(A30,Total!$B$5:$AL$512,30,FALSE)),"")</f>
        <v/>
      </c>
      <c r="T30" s="145" t="str">
        <f>IF(A30&lt;&gt;"",(VLOOKUP(A30,Total!$B$5:$AL$512,31,FALSE)),"")</f>
        <v/>
      </c>
      <c r="U30" s="145" t="str">
        <f>IF(A30&lt;&gt;"",(VLOOKUP(A30,Total!$B$5:$AL$512,32,FALSE)),"")</f>
        <v/>
      </c>
      <c r="V30" s="145" t="str">
        <f>IF(A30&lt;&gt;"",(VLOOKUP(A30,Total!$B$5:$AL$512,33,FALSE)),"")</f>
        <v/>
      </c>
      <c r="W30" s="145" t="str">
        <f>IF(A30&lt;&gt;"",(VLOOKUP(A30,Total!$B$5:$AL$512,36,FALSE)),"")</f>
        <v/>
      </c>
      <c r="X30" s="145" t="str">
        <f>IF(A30&lt;&gt;"",(VLOOKUP(A30,Total!$B$5:$AM$512,37,FALSE)),"")</f>
        <v/>
      </c>
      <c r="AA30" s="163" t="str">
        <f>IF(A30&lt;&gt;"",(VLOOKUP(A30,Total!$B$5:$AV$512,40,FALSE)),"")</f>
        <v/>
      </c>
      <c r="AB30" s="163" t="str">
        <f>IF(A30&lt;&gt;"",(VLOOKUP(A30,Total!$B$5:$AV$512,41,FALSE)),"")</f>
        <v/>
      </c>
      <c r="AC30" s="163" t="str">
        <f>IF(A30&lt;&gt;"",(VLOOKUP(A30,Total!$B$5:$AV$512,42,FALSE)),"")</f>
        <v/>
      </c>
      <c r="AD30" s="163" t="str">
        <f>IF(A30&lt;&gt;"",(VLOOKUP(A30,Total!$B$5:$AV$512,43,FALSE)),"")</f>
        <v/>
      </c>
      <c r="AE30" s="163" t="str">
        <f>IF(A30&lt;&gt;"",(VLOOKUP(A30,Total!$B$5:$AV$512,44,FALSE)),"")</f>
        <v/>
      </c>
      <c r="AF30" s="163" t="str">
        <f>IF(A30&lt;&gt;"",(VLOOKUP(A30,Total!$B$5:$AV$512,45,FALSE)),"")</f>
        <v/>
      </c>
      <c r="AG30" s="163" t="str">
        <f>IF(A30&lt;&gt;"",(VLOOKUP(A30,Total!$B$5:$AV$512,46,FALSE)),"")</f>
        <v/>
      </c>
      <c r="AH30" s="163" t="str">
        <f>IF(A30&lt;&gt;"",(VLOOKUP(A30,Total!$B$5:$AV$512,47,FALSE)),"")</f>
        <v/>
      </c>
      <c r="AI30" s="163" t="e">
        <f>VLOOKUP(AA30,Scores!$A$1:$D$157,2,FALSE)</f>
        <v>#N/A</v>
      </c>
      <c r="AJ30" s="163" t="e">
        <f>VLOOKUP(AB30,Scores!$A$1:$D$157,2,FALSE)</f>
        <v>#N/A</v>
      </c>
      <c r="AK30" s="163" t="e">
        <f>VLOOKUP(AC30,Scores!$A$1:$D$157,2,FALSE)</f>
        <v>#N/A</v>
      </c>
      <c r="AL30" s="163" t="e">
        <f>VLOOKUP(AD30,Scores!$A$1:$D$157,2,FALSE)</f>
        <v>#N/A</v>
      </c>
      <c r="AM30" s="163" t="e">
        <f>VLOOKUP(AA30,Scores!$A$1:$D$157,3,FALSE)</f>
        <v>#N/A</v>
      </c>
      <c r="AN30" s="163" t="e">
        <f>VLOOKUP(AB30,Scores!$A$1:$D$157,3,FALSE)</f>
        <v>#N/A</v>
      </c>
      <c r="AO30" s="163" t="e">
        <f>VLOOKUP(AC30,Scores!$A$1:$D$157,3,FALSE)</f>
        <v>#N/A</v>
      </c>
      <c r="AP30" s="163" t="e">
        <f>VLOOKUP(AD30,Scores!$A$1:$D$157,3,FALSE)</f>
        <v>#N/A</v>
      </c>
      <c r="AQ30" s="163" t="str">
        <f t="shared" si="2"/>
        <v/>
      </c>
      <c r="AR30" s="163">
        <f t="shared" si="3"/>
        <v>0</v>
      </c>
      <c r="AS30" s="163">
        <f t="shared" si="4"/>
        <v>0</v>
      </c>
    </row>
    <row r="31" spans="1:45" x14ac:dyDescent="0.25">
      <c r="A31" s="195"/>
      <c r="B31" s="351" t="str">
        <f>IF(A31&lt;&gt;0,VLOOKUP(A31,Total!$B$5:$AZ$512,51,FALSE),"")</f>
        <v/>
      </c>
      <c r="C31" s="352"/>
      <c r="D31" s="144" t="str">
        <f>IF(A31&lt;&gt;"",(VLOOKUP(A31,Total!$B$5:$AL$512,2,FALSE)),"")</f>
        <v/>
      </c>
      <c r="E31" s="145" t="str">
        <f>IF(A31&lt;&gt;"",(VLOOKUP(A31,Total!$B$5:$AL$512,3,FALSE)),"")</f>
        <v/>
      </c>
      <c r="F31" s="145" t="str">
        <f>IF(A31&lt;&gt;"",(VLOOKUP(A31,Total!$B$5:$AL$512,12,FALSE)),"")</f>
        <v/>
      </c>
      <c r="G31" s="145" t="str">
        <f>IF(A31&lt;&gt;"",(VLOOKUP(A31,Total!$B$5:$AL$512,14,FALSE)),"")</f>
        <v/>
      </c>
      <c r="H31" s="145" t="str">
        <f>IF(A31&lt;&gt;"",(VLOOKUP(A31,Total!$B$5:$AL$512,8,FALSE)),"")</f>
        <v/>
      </c>
      <c r="I31" s="145" t="str">
        <f>IF(A31&lt;&gt;"",(VLOOKUP(A31,Total!$B$5:$AL$512,9,FALSE)),"")</f>
        <v/>
      </c>
      <c r="J31" s="145" t="str">
        <f>IF(A31&lt;&gt;"",(VLOOKUP(A31,Total!$B$5:$AL$512,10,FALSE)),"")</f>
        <v/>
      </c>
      <c r="K31" s="145" t="str">
        <f>IF(A31&lt;&gt;"",(VLOOKUP(A31,Total!$B$5:$AL$512,11,FALSE)),"")</f>
        <v/>
      </c>
      <c r="L31" s="175" t="str">
        <f>IF(A31&lt;&gt;"",(VLOOKUP(A31,Total!$B$5:$AL$512,15,FALSE)),"")</f>
        <v/>
      </c>
      <c r="M31" s="202">
        <f t="shared" si="0"/>
        <v>0</v>
      </c>
      <c r="N31" s="202">
        <f t="shared" si="1"/>
        <v>0</v>
      </c>
      <c r="O31" s="145" t="str">
        <f>IF(A31&lt;&gt;"",(VLOOKUP(A31,Total!$B$5:$AL$512,26,FALSE)),"")</f>
        <v/>
      </c>
      <c r="P31" s="145" t="str">
        <f>IF(A31&lt;&gt;"",(VLOOKUP(A31,Total!$B$5:$AL$512,27,FALSE)),"")</f>
        <v/>
      </c>
      <c r="Q31" s="145" t="str">
        <f>IF(A31&lt;&gt;"",(VLOOKUP(A31,Total!$B$5:$AL$512,28,FALSE)),"")</f>
        <v/>
      </c>
      <c r="R31" s="145" t="str">
        <f>IF(A31&lt;&gt;"",(VLOOKUP(A31,Total!$B$5:$AL$512,29,FALSE)),"")</f>
        <v/>
      </c>
      <c r="S31" s="145" t="str">
        <f>IF(A31&lt;&gt;"",(VLOOKUP(A31,Total!$B$5:$AL$512,30,FALSE)),"")</f>
        <v/>
      </c>
      <c r="T31" s="145" t="str">
        <f>IF(A31&lt;&gt;"",(VLOOKUP(A31,Total!$B$5:$AL$512,31,FALSE)),"")</f>
        <v/>
      </c>
      <c r="U31" s="145" t="str">
        <f>IF(A31&lt;&gt;"",(VLOOKUP(A31,Total!$B$5:$AL$512,32,FALSE)),"")</f>
        <v/>
      </c>
      <c r="V31" s="145" t="str">
        <f>IF(A31&lt;&gt;"",(VLOOKUP(A31,Total!$B$5:$AL$512,33,FALSE)),"")</f>
        <v/>
      </c>
      <c r="W31" s="145" t="str">
        <f>IF(A31&lt;&gt;"",(VLOOKUP(A31,Total!$B$5:$AL$512,36,FALSE)),"")</f>
        <v/>
      </c>
      <c r="X31" s="145" t="str">
        <f>IF(A31&lt;&gt;"",(VLOOKUP(A31,Total!$B$5:$AM$512,37,FALSE)),"")</f>
        <v/>
      </c>
      <c r="AA31" s="163" t="str">
        <f>IF(A31&lt;&gt;"",(VLOOKUP(A31,Total!$B$5:$AV$512,40,FALSE)),"")</f>
        <v/>
      </c>
      <c r="AB31" s="163" t="str">
        <f>IF(A31&lt;&gt;"",(VLOOKUP(A31,Total!$B$5:$AV$512,41,FALSE)),"")</f>
        <v/>
      </c>
      <c r="AC31" s="163" t="str">
        <f>IF(A31&lt;&gt;"",(VLOOKUP(A31,Total!$B$5:$AV$512,42,FALSE)),"")</f>
        <v/>
      </c>
      <c r="AD31" s="163" t="str">
        <f>IF(A31&lt;&gt;"",(VLOOKUP(A31,Total!$B$5:$AV$512,43,FALSE)),"")</f>
        <v/>
      </c>
      <c r="AE31" s="163" t="str">
        <f>IF(A31&lt;&gt;"",(VLOOKUP(A31,Total!$B$5:$AV$512,44,FALSE)),"")</f>
        <v/>
      </c>
      <c r="AF31" s="163" t="str">
        <f>IF(A31&lt;&gt;"",(VLOOKUP(A31,Total!$B$5:$AV$512,45,FALSE)),"")</f>
        <v/>
      </c>
      <c r="AG31" s="163" t="str">
        <f>IF(A31&lt;&gt;"",(VLOOKUP(A31,Total!$B$5:$AV$512,46,FALSE)),"")</f>
        <v/>
      </c>
      <c r="AH31" s="163" t="str">
        <f>IF(A31&lt;&gt;"",(VLOOKUP(A31,Total!$B$5:$AV$512,47,FALSE)),"")</f>
        <v/>
      </c>
      <c r="AI31" s="163" t="e">
        <f>VLOOKUP(AA31,Scores!$A$1:$D$157,2,FALSE)</f>
        <v>#N/A</v>
      </c>
      <c r="AJ31" s="163" t="e">
        <f>VLOOKUP(AB31,Scores!$A$1:$D$157,2,FALSE)</f>
        <v>#N/A</v>
      </c>
      <c r="AK31" s="163" t="e">
        <f>VLOOKUP(AC31,Scores!$A$1:$D$157,2,FALSE)</f>
        <v>#N/A</v>
      </c>
      <c r="AL31" s="163" t="e">
        <f>VLOOKUP(AD31,Scores!$A$1:$D$157,2,FALSE)</f>
        <v>#N/A</v>
      </c>
      <c r="AM31" s="163" t="e">
        <f>VLOOKUP(AA31,Scores!$A$1:$D$157,3,FALSE)</f>
        <v>#N/A</v>
      </c>
      <c r="AN31" s="163" t="e">
        <f>VLOOKUP(AB31,Scores!$A$1:$D$157,3,FALSE)</f>
        <v>#N/A</v>
      </c>
      <c r="AO31" s="163" t="e">
        <f>VLOOKUP(AC31,Scores!$A$1:$D$157,3,FALSE)</f>
        <v>#N/A</v>
      </c>
      <c r="AP31" s="163" t="e">
        <f>VLOOKUP(AD31,Scores!$A$1:$D$157,3,FALSE)</f>
        <v>#N/A</v>
      </c>
      <c r="AQ31" s="163" t="str">
        <f t="shared" si="2"/>
        <v/>
      </c>
      <c r="AR31" s="163">
        <f t="shared" si="3"/>
        <v>0</v>
      </c>
      <c r="AS31" s="163">
        <f t="shared" si="4"/>
        <v>0</v>
      </c>
    </row>
    <row r="32" spans="1:45" x14ac:dyDescent="0.25">
      <c r="A32" s="195"/>
      <c r="B32" s="351" t="str">
        <f>IF(A32&lt;&gt;0,VLOOKUP(A32,Total!$B$5:$AZ$512,51,FALSE),"")</f>
        <v/>
      </c>
      <c r="C32" s="352"/>
      <c r="D32" s="144" t="str">
        <f>IF(A32&lt;&gt;"",(VLOOKUP(A32,Total!$B$5:$AL$512,2,FALSE)),"")</f>
        <v/>
      </c>
      <c r="E32" s="145" t="str">
        <f>IF(A32&lt;&gt;"",(VLOOKUP(A32,Total!$B$5:$AL$512,3,FALSE)),"")</f>
        <v/>
      </c>
      <c r="F32" s="145" t="str">
        <f>IF(A32&lt;&gt;"",(VLOOKUP(A32,Total!$B$5:$AL$512,12,FALSE)),"")</f>
        <v/>
      </c>
      <c r="G32" s="145" t="str">
        <f>IF(A32&lt;&gt;"",(VLOOKUP(A32,Total!$B$5:$AL$512,14,FALSE)),"")</f>
        <v/>
      </c>
      <c r="H32" s="145" t="str">
        <f>IF(A32&lt;&gt;"",(VLOOKUP(A32,Total!$B$5:$AL$512,8,FALSE)),"")</f>
        <v/>
      </c>
      <c r="I32" s="145" t="str">
        <f>IF(A32&lt;&gt;"",(VLOOKUP(A32,Total!$B$5:$AL$512,9,FALSE)),"")</f>
        <v/>
      </c>
      <c r="J32" s="145" t="str">
        <f>IF(A32&lt;&gt;"",(VLOOKUP(A32,Total!$B$5:$AL$512,10,FALSE)),"")</f>
        <v/>
      </c>
      <c r="K32" s="145" t="str">
        <f>IF(A32&lt;&gt;"",(VLOOKUP(A32,Total!$B$5:$AL$512,11,FALSE)),"")</f>
        <v/>
      </c>
      <c r="L32" s="175" t="str">
        <f>IF(A32&lt;&gt;"",(VLOOKUP(A32,Total!$B$5:$AL$512,15,FALSE)),"")</f>
        <v/>
      </c>
      <c r="M32" s="202">
        <f t="shared" si="0"/>
        <v>0</v>
      </c>
      <c r="N32" s="202">
        <f t="shared" si="1"/>
        <v>0</v>
      </c>
      <c r="O32" s="145" t="str">
        <f>IF(A32&lt;&gt;"",(VLOOKUP(A32,Total!$B$5:$AL$512,26,FALSE)),"")</f>
        <v/>
      </c>
      <c r="P32" s="145" t="str">
        <f>IF(A32&lt;&gt;"",(VLOOKUP(A32,Total!$B$5:$AL$512,27,FALSE)),"")</f>
        <v/>
      </c>
      <c r="Q32" s="145" t="str">
        <f>IF(A32&lt;&gt;"",(VLOOKUP(A32,Total!$B$5:$AL$512,28,FALSE)),"")</f>
        <v/>
      </c>
      <c r="R32" s="145" t="str">
        <f>IF(A32&lt;&gt;"",(VLOOKUP(A32,Total!$B$5:$AL$512,29,FALSE)),"")</f>
        <v/>
      </c>
      <c r="S32" s="145" t="str">
        <f>IF(A32&lt;&gt;"",(VLOOKUP(A32,Total!$B$5:$AL$512,30,FALSE)),"")</f>
        <v/>
      </c>
      <c r="T32" s="145" t="str">
        <f>IF(A32&lt;&gt;"",(VLOOKUP(A32,Total!$B$5:$AL$512,31,FALSE)),"")</f>
        <v/>
      </c>
      <c r="U32" s="145" t="str">
        <f>IF(A32&lt;&gt;"",(VLOOKUP(A32,Total!$B$5:$AL$512,32,FALSE)),"")</f>
        <v/>
      </c>
      <c r="V32" s="145" t="str">
        <f>IF(A32&lt;&gt;"",(VLOOKUP(A32,Total!$B$5:$AL$512,33,FALSE)),"")</f>
        <v/>
      </c>
      <c r="W32" s="145" t="str">
        <f>IF(A32&lt;&gt;"",(VLOOKUP(A32,Total!$B$5:$AL$512,36,FALSE)),"")</f>
        <v/>
      </c>
      <c r="X32" s="145" t="str">
        <f>IF(A32&lt;&gt;"",(VLOOKUP(A32,Total!$B$5:$AM$512,37,FALSE)),"")</f>
        <v/>
      </c>
      <c r="AA32" s="163" t="str">
        <f>IF(A32&lt;&gt;"",(VLOOKUP(A32,Total!$B$5:$AV$512,40,FALSE)),"")</f>
        <v/>
      </c>
      <c r="AB32" s="163" t="str">
        <f>IF(A32&lt;&gt;"",(VLOOKUP(A32,Total!$B$5:$AV$512,41,FALSE)),"")</f>
        <v/>
      </c>
      <c r="AC32" s="163" t="str">
        <f>IF(A32&lt;&gt;"",(VLOOKUP(A32,Total!$B$5:$AV$512,42,FALSE)),"")</f>
        <v/>
      </c>
      <c r="AD32" s="163" t="str">
        <f>IF(A32&lt;&gt;"",(VLOOKUP(A32,Total!$B$5:$AV$512,43,FALSE)),"")</f>
        <v/>
      </c>
      <c r="AE32" s="163" t="str">
        <f>IF(A32&lt;&gt;"",(VLOOKUP(A32,Total!$B$5:$AV$512,44,FALSE)),"")</f>
        <v/>
      </c>
      <c r="AF32" s="163" t="str">
        <f>IF(A32&lt;&gt;"",(VLOOKUP(A32,Total!$B$5:$AV$512,45,FALSE)),"")</f>
        <v/>
      </c>
      <c r="AG32" s="163" t="str">
        <f>IF(A32&lt;&gt;"",(VLOOKUP(A32,Total!$B$5:$AV$512,46,FALSE)),"")</f>
        <v/>
      </c>
      <c r="AH32" s="163" t="str">
        <f>IF(A32&lt;&gt;"",(VLOOKUP(A32,Total!$B$5:$AV$512,47,FALSE)),"")</f>
        <v/>
      </c>
      <c r="AI32" s="163" t="e">
        <f>VLOOKUP(AA32,Scores!$A$1:$D$157,2,FALSE)</f>
        <v>#N/A</v>
      </c>
      <c r="AJ32" s="163" t="e">
        <f>VLOOKUP(AB32,Scores!$A$1:$D$157,2,FALSE)</f>
        <v>#N/A</v>
      </c>
      <c r="AK32" s="163" t="e">
        <f>VLOOKUP(AC32,Scores!$A$1:$D$157,2,FALSE)</f>
        <v>#N/A</v>
      </c>
      <c r="AL32" s="163" t="e">
        <f>VLOOKUP(AD32,Scores!$A$1:$D$157,2,FALSE)</f>
        <v>#N/A</v>
      </c>
      <c r="AM32" s="163" t="e">
        <f>VLOOKUP(AA32,Scores!$A$1:$D$157,3,FALSE)</f>
        <v>#N/A</v>
      </c>
      <c r="AN32" s="163" t="e">
        <f>VLOOKUP(AB32,Scores!$A$1:$D$157,3,FALSE)</f>
        <v>#N/A</v>
      </c>
      <c r="AO32" s="163" t="e">
        <f>VLOOKUP(AC32,Scores!$A$1:$D$157,3,FALSE)</f>
        <v>#N/A</v>
      </c>
      <c r="AP32" s="163" t="e">
        <f>VLOOKUP(AD32,Scores!$A$1:$D$157,3,FALSE)</f>
        <v>#N/A</v>
      </c>
      <c r="AQ32" s="163" t="str">
        <f t="shared" si="2"/>
        <v/>
      </c>
      <c r="AR32" s="163">
        <f t="shared" si="3"/>
        <v>0</v>
      </c>
      <c r="AS32" s="163">
        <f t="shared" si="4"/>
        <v>0</v>
      </c>
    </row>
    <row r="33" spans="1:45" x14ac:dyDescent="0.25">
      <c r="A33" s="195"/>
      <c r="B33" s="351" t="str">
        <f>IF(A33&lt;&gt;0,VLOOKUP(A33,Total!$B$5:$AZ$512,51,FALSE),"")</f>
        <v/>
      </c>
      <c r="C33" s="352"/>
      <c r="D33" s="144" t="str">
        <f>IF(A33&lt;&gt;"",(VLOOKUP(A33,Total!$B$5:$AL$512,2,FALSE)),"")</f>
        <v/>
      </c>
      <c r="E33" s="145" t="str">
        <f>IF(A33&lt;&gt;"",(VLOOKUP(A33,Total!$B$5:$AL$512,3,FALSE)),"")</f>
        <v/>
      </c>
      <c r="F33" s="145" t="str">
        <f>IF(A33&lt;&gt;"",(VLOOKUP(A33,Total!$B$5:$AL$512,12,FALSE)),"")</f>
        <v/>
      </c>
      <c r="G33" s="145" t="str">
        <f>IF(A33&lt;&gt;"",(VLOOKUP(A33,Total!$B$5:$AL$512,14,FALSE)),"")</f>
        <v/>
      </c>
      <c r="H33" s="145" t="str">
        <f>IF(A33&lt;&gt;"",(VLOOKUP(A33,Total!$B$5:$AL$512,8,FALSE)),"")</f>
        <v/>
      </c>
      <c r="I33" s="145" t="str">
        <f>IF(A33&lt;&gt;"",(VLOOKUP(A33,Total!$B$5:$AL$512,9,FALSE)),"")</f>
        <v/>
      </c>
      <c r="J33" s="145" t="str">
        <f>IF(A33&lt;&gt;"",(VLOOKUP(A33,Total!$B$5:$AL$512,10,FALSE)),"")</f>
        <v/>
      </c>
      <c r="K33" s="145" t="str">
        <f>IF(A33&lt;&gt;"",(VLOOKUP(A33,Total!$B$5:$AL$512,11,FALSE)),"")</f>
        <v/>
      </c>
      <c r="L33" s="175" t="str">
        <f>IF(A33&lt;&gt;"",(VLOOKUP(A33,Total!$B$5:$AL$512,15,FALSE)),"")</f>
        <v/>
      </c>
      <c r="M33" s="202">
        <f t="shared" si="0"/>
        <v>0</v>
      </c>
      <c r="N33" s="202">
        <f t="shared" si="1"/>
        <v>0</v>
      </c>
      <c r="O33" s="145" t="str">
        <f>IF(A33&lt;&gt;"",(VLOOKUP(A33,Total!$B$5:$AL$512,26,FALSE)),"")</f>
        <v/>
      </c>
      <c r="P33" s="145" t="str">
        <f>IF(A33&lt;&gt;"",(VLOOKUP(A33,Total!$B$5:$AL$512,27,FALSE)),"")</f>
        <v/>
      </c>
      <c r="Q33" s="145" t="str">
        <f>IF(A33&lt;&gt;"",(VLOOKUP(A33,Total!$B$5:$AL$512,28,FALSE)),"")</f>
        <v/>
      </c>
      <c r="R33" s="145" t="str">
        <f>IF(A33&lt;&gt;"",(VLOOKUP(A33,Total!$B$5:$AL$512,29,FALSE)),"")</f>
        <v/>
      </c>
      <c r="S33" s="145" t="str">
        <f>IF(A33&lt;&gt;"",(VLOOKUP(A33,Total!$B$5:$AL$512,30,FALSE)),"")</f>
        <v/>
      </c>
      <c r="T33" s="145" t="str">
        <f>IF(A33&lt;&gt;"",(VLOOKUP(A33,Total!$B$5:$AL$512,31,FALSE)),"")</f>
        <v/>
      </c>
      <c r="U33" s="145" t="str">
        <f>IF(A33&lt;&gt;"",(VLOOKUP(A33,Total!$B$5:$AL$512,32,FALSE)),"")</f>
        <v/>
      </c>
      <c r="V33" s="145" t="str">
        <f>IF(A33&lt;&gt;"",(VLOOKUP(A33,Total!$B$5:$AL$512,33,FALSE)),"")</f>
        <v/>
      </c>
      <c r="W33" s="145" t="str">
        <f>IF(A33&lt;&gt;"",(VLOOKUP(A33,Total!$B$5:$AL$512,36,FALSE)),"")</f>
        <v/>
      </c>
      <c r="X33" s="145" t="str">
        <f>IF(A33&lt;&gt;"",(VLOOKUP(A33,Total!$B$5:$AM$512,37,FALSE)),"")</f>
        <v/>
      </c>
      <c r="AA33" s="163" t="str">
        <f>IF(A33&lt;&gt;"",(VLOOKUP(A33,Total!$B$5:$AV$512,40,FALSE)),"")</f>
        <v/>
      </c>
      <c r="AB33" s="163" t="str">
        <f>IF(A33&lt;&gt;"",(VLOOKUP(A33,Total!$B$5:$AV$512,41,FALSE)),"")</f>
        <v/>
      </c>
      <c r="AC33" s="163" t="str">
        <f>IF(A33&lt;&gt;"",(VLOOKUP(A33,Total!$B$5:$AV$512,42,FALSE)),"")</f>
        <v/>
      </c>
      <c r="AD33" s="163" t="str">
        <f>IF(A33&lt;&gt;"",(VLOOKUP(A33,Total!$B$5:$AV$512,43,FALSE)),"")</f>
        <v/>
      </c>
      <c r="AE33" s="163" t="str">
        <f>IF(A33&lt;&gt;"",(VLOOKUP(A33,Total!$B$5:$AV$512,44,FALSE)),"")</f>
        <v/>
      </c>
      <c r="AF33" s="163" t="str">
        <f>IF(A33&lt;&gt;"",(VLOOKUP(A33,Total!$B$5:$AV$512,45,FALSE)),"")</f>
        <v/>
      </c>
      <c r="AG33" s="163" t="str">
        <f>IF(A33&lt;&gt;"",(VLOOKUP(A33,Total!$B$5:$AV$512,46,FALSE)),"")</f>
        <v/>
      </c>
      <c r="AH33" s="163" t="str">
        <f>IF(A33&lt;&gt;"",(VLOOKUP(A33,Total!$B$5:$AV$512,47,FALSE)),"")</f>
        <v/>
      </c>
      <c r="AI33" s="163" t="e">
        <f>VLOOKUP(AA33,Scores!$A$1:$D$157,2,FALSE)</f>
        <v>#N/A</v>
      </c>
      <c r="AJ33" s="163" t="e">
        <f>VLOOKUP(AB33,Scores!$A$1:$D$157,2,FALSE)</f>
        <v>#N/A</v>
      </c>
      <c r="AK33" s="163" t="e">
        <f>VLOOKUP(AC33,Scores!$A$1:$D$157,2,FALSE)</f>
        <v>#N/A</v>
      </c>
      <c r="AL33" s="163" t="e">
        <f>VLOOKUP(AD33,Scores!$A$1:$D$157,2,FALSE)</f>
        <v>#N/A</v>
      </c>
      <c r="AM33" s="163" t="e">
        <f>VLOOKUP(AA33,Scores!$A$1:$D$157,3,FALSE)</f>
        <v>#N/A</v>
      </c>
      <c r="AN33" s="163" t="e">
        <f>VLOOKUP(AB33,Scores!$A$1:$D$157,3,FALSE)</f>
        <v>#N/A</v>
      </c>
      <c r="AO33" s="163" t="e">
        <f>VLOOKUP(AC33,Scores!$A$1:$D$157,3,FALSE)</f>
        <v>#N/A</v>
      </c>
      <c r="AP33" s="163" t="e">
        <f>VLOOKUP(AD33,Scores!$A$1:$D$157,3,FALSE)</f>
        <v>#N/A</v>
      </c>
      <c r="AQ33" s="163" t="str">
        <f t="shared" si="2"/>
        <v/>
      </c>
      <c r="AR33" s="163">
        <f t="shared" si="3"/>
        <v>0</v>
      </c>
      <c r="AS33" s="163">
        <f t="shared" si="4"/>
        <v>0</v>
      </c>
    </row>
    <row r="34" spans="1:45" x14ac:dyDescent="0.25">
      <c r="A34" s="195"/>
      <c r="B34" s="351" t="str">
        <f>IF(A34&lt;&gt;0,VLOOKUP(A34,Total!$B$5:$AZ$512,51,FALSE),"")</f>
        <v/>
      </c>
      <c r="C34" s="352"/>
      <c r="D34" s="144" t="str">
        <f>IF(A34&lt;&gt;"",(VLOOKUP(A34,Total!$B$5:$AL$512,2,FALSE)),"")</f>
        <v/>
      </c>
      <c r="E34" s="145" t="str">
        <f>IF(A34&lt;&gt;"",(VLOOKUP(A34,Total!$B$5:$AL$512,3,FALSE)),"")</f>
        <v/>
      </c>
      <c r="F34" s="145" t="str">
        <f>IF(A34&lt;&gt;"",(VLOOKUP(A34,Total!$B$5:$AL$512,12,FALSE)),"")</f>
        <v/>
      </c>
      <c r="G34" s="145" t="str">
        <f>IF(A34&lt;&gt;"",(VLOOKUP(A34,Total!$B$5:$AL$512,14,FALSE)),"")</f>
        <v/>
      </c>
      <c r="H34" s="145" t="str">
        <f>IF(A34&lt;&gt;"",(VLOOKUP(A34,Total!$B$5:$AL$512,8,FALSE)),"")</f>
        <v/>
      </c>
      <c r="I34" s="145" t="str">
        <f>IF(A34&lt;&gt;"",(VLOOKUP(A34,Total!$B$5:$AL$512,9,FALSE)),"")</f>
        <v/>
      </c>
      <c r="J34" s="145" t="str">
        <f>IF(A34&lt;&gt;"",(VLOOKUP(A34,Total!$B$5:$AL$512,10,FALSE)),"")</f>
        <v/>
      </c>
      <c r="K34" s="145" t="str">
        <f>IF(A34&lt;&gt;"",(VLOOKUP(A34,Total!$B$5:$AL$512,11,FALSE)),"")</f>
        <v/>
      </c>
      <c r="L34" s="175" t="str">
        <f>IF(A34&lt;&gt;"",(VLOOKUP(A34,Total!$B$5:$AL$512,15,FALSE)),"")</f>
        <v/>
      </c>
      <c r="M34" s="202">
        <f t="shared" si="0"/>
        <v>0</v>
      </c>
      <c r="N34" s="202">
        <f t="shared" si="1"/>
        <v>0</v>
      </c>
      <c r="O34" s="145" t="str">
        <f>IF(A34&lt;&gt;"",(VLOOKUP(A34,Total!$B$5:$AL$512,26,FALSE)),"")</f>
        <v/>
      </c>
      <c r="P34" s="145" t="str">
        <f>IF(A34&lt;&gt;"",(VLOOKUP(A34,Total!$B$5:$AL$512,27,FALSE)),"")</f>
        <v/>
      </c>
      <c r="Q34" s="145" t="str">
        <f>IF(A34&lt;&gt;"",(VLOOKUP(A34,Total!$B$5:$AL$512,28,FALSE)),"")</f>
        <v/>
      </c>
      <c r="R34" s="145" t="str">
        <f>IF(A34&lt;&gt;"",(VLOOKUP(A34,Total!$B$5:$AL$512,29,FALSE)),"")</f>
        <v/>
      </c>
      <c r="S34" s="145" t="str">
        <f>IF(A34&lt;&gt;"",(VLOOKUP(A34,Total!$B$5:$AL$512,30,FALSE)),"")</f>
        <v/>
      </c>
      <c r="T34" s="145" t="str">
        <f>IF(A34&lt;&gt;"",(VLOOKUP(A34,Total!$B$5:$AL$512,31,FALSE)),"")</f>
        <v/>
      </c>
      <c r="U34" s="145" t="str">
        <f>IF(A34&lt;&gt;"",(VLOOKUP(A34,Total!$B$5:$AL$512,32,FALSE)),"")</f>
        <v/>
      </c>
      <c r="V34" s="145" t="str">
        <f>IF(A34&lt;&gt;"",(VLOOKUP(A34,Total!$B$5:$AL$512,33,FALSE)),"")</f>
        <v/>
      </c>
      <c r="W34" s="145" t="str">
        <f>IF(A34&lt;&gt;"",(VLOOKUP(A34,Total!$B$5:$AL$512,36,FALSE)),"")</f>
        <v/>
      </c>
      <c r="X34" s="145" t="str">
        <f>IF(A34&lt;&gt;"",(VLOOKUP(A34,Total!$B$5:$AM$512,37,FALSE)),"")</f>
        <v/>
      </c>
      <c r="AA34" s="163" t="str">
        <f>IF(A34&lt;&gt;"",(VLOOKUP(A34,Total!$B$5:$AV$512,40,FALSE)),"")</f>
        <v/>
      </c>
      <c r="AB34" s="163" t="str">
        <f>IF(A34&lt;&gt;"",(VLOOKUP(A34,Total!$B$5:$AV$512,41,FALSE)),"")</f>
        <v/>
      </c>
      <c r="AC34" s="163" t="str">
        <f>IF(A34&lt;&gt;"",(VLOOKUP(A34,Total!$B$5:$AV$512,42,FALSE)),"")</f>
        <v/>
      </c>
      <c r="AD34" s="163" t="str">
        <f>IF(A34&lt;&gt;"",(VLOOKUP(A34,Total!$B$5:$AV$512,43,FALSE)),"")</f>
        <v/>
      </c>
      <c r="AE34" s="163" t="str">
        <f>IF(A34&lt;&gt;"",(VLOOKUP(A34,Total!$B$5:$AV$512,44,FALSE)),"")</f>
        <v/>
      </c>
      <c r="AF34" s="163" t="str">
        <f>IF(A34&lt;&gt;"",(VLOOKUP(A34,Total!$B$5:$AV$512,45,FALSE)),"")</f>
        <v/>
      </c>
      <c r="AG34" s="163" t="str">
        <f>IF(A34&lt;&gt;"",(VLOOKUP(A34,Total!$B$5:$AV$512,46,FALSE)),"")</f>
        <v/>
      </c>
      <c r="AH34" s="163" t="str">
        <f>IF(A34&lt;&gt;"",(VLOOKUP(A34,Total!$B$5:$AV$512,47,FALSE)),"")</f>
        <v/>
      </c>
      <c r="AI34" s="163" t="e">
        <f>VLOOKUP(AA34,Scores!$A$1:$D$157,2,FALSE)</f>
        <v>#N/A</v>
      </c>
      <c r="AJ34" s="163" t="e">
        <f>VLOOKUP(AB34,Scores!$A$1:$D$157,2,FALSE)</f>
        <v>#N/A</v>
      </c>
      <c r="AK34" s="163" t="e">
        <f>VLOOKUP(AC34,Scores!$A$1:$D$157,2,FALSE)</f>
        <v>#N/A</v>
      </c>
      <c r="AL34" s="163" t="e">
        <f>VLOOKUP(AD34,Scores!$A$1:$D$157,2,FALSE)</f>
        <v>#N/A</v>
      </c>
      <c r="AM34" s="163" t="e">
        <f>VLOOKUP(AA34,Scores!$A$1:$D$157,3,FALSE)</f>
        <v>#N/A</v>
      </c>
      <c r="AN34" s="163" t="e">
        <f>VLOOKUP(AB34,Scores!$A$1:$D$157,3,FALSE)</f>
        <v>#N/A</v>
      </c>
      <c r="AO34" s="163" t="e">
        <f>VLOOKUP(AC34,Scores!$A$1:$D$157,3,FALSE)</f>
        <v>#N/A</v>
      </c>
      <c r="AP34" s="163" t="e">
        <f>VLOOKUP(AD34,Scores!$A$1:$D$157,3,FALSE)</f>
        <v>#N/A</v>
      </c>
      <c r="AQ34" s="163" t="str">
        <f t="shared" si="2"/>
        <v/>
      </c>
      <c r="AR34" s="163">
        <f t="shared" si="3"/>
        <v>0</v>
      </c>
      <c r="AS34" s="163">
        <f t="shared" si="4"/>
        <v>0</v>
      </c>
    </row>
    <row r="35" spans="1:45" x14ac:dyDescent="0.25">
      <c r="A35" s="195"/>
      <c r="B35" s="351" t="str">
        <f>IF(A35&lt;&gt;0,VLOOKUP(A35,Total!$B$5:$AZ$512,51,FALSE),"")</f>
        <v/>
      </c>
      <c r="C35" s="352"/>
      <c r="D35" s="144" t="str">
        <f>IF(A35&lt;&gt;"",(VLOOKUP(A35,Total!$B$5:$AL$512,2,FALSE)),"")</f>
        <v/>
      </c>
      <c r="E35" s="145" t="str">
        <f>IF(A35&lt;&gt;"",(VLOOKUP(A35,Total!$B$5:$AL$512,3,FALSE)),"")</f>
        <v/>
      </c>
      <c r="F35" s="145" t="str">
        <f>IF(A35&lt;&gt;"",(VLOOKUP(A35,Total!$B$5:$AL$512,12,FALSE)),"")</f>
        <v/>
      </c>
      <c r="G35" s="145" t="str">
        <f>IF(A35&lt;&gt;"",(VLOOKUP(A35,Total!$B$5:$AL$512,14,FALSE)),"")</f>
        <v/>
      </c>
      <c r="H35" s="145" t="str">
        <f>IF(A35&lt;&gt;"",(VLOOKUP(A35,Total!$B$5:$AL$512,8,FALSE)),"")</f>
        <v/>
      </c>
      <c r="I35" s="145" t="str">
        <f>IF(A35&lt;&gt;"",(VLOOKUP(A35,Total!$B$5:$AL$512,9,FALSE)),"")</f>
        <v/>
      </c>
      <c r="J35" s="145" t="str">
        <f>IF(A35&lt;&gt;"",(VLOOKUP(A35,Total!$B$5:$AL$512,10,FALSE)),"")</f>
        <v/>
      </c>
      <c r="K35" s="145" t="str">
        <f>IF(A35&lt;&gt;"",(VLOOKUP(A35,Total!$B$5:$AL$512,11,FALSE)),"")</f>
        <v/>
      </c>
      <c r="L35" s="175" t="str">
        <f>IF(A35&lt;&gt;"",(VLOOKUP(A35,Total!$B$5:$AL$512,15,FALSE)),"")</f>
        <v/>
      </c>
      <c r="M35" s="202">
        <f t="shared" si="0"/>
        <v>0</v>
      </c>
      <c r="N35" s="202">
        <f t="shared" si="1"/>
        <v>0</v>
      </c>
      <c r="O35" s="145" t="str">
        <f>IF(A35&lt;&gt;"",(VLOOKUP(A35,Total!$B$5:$AL$512,26,FALSE)),"")</f>
        <v/>
      </c>
      <c r="P35" s="145" t="str">
        <f>IF(A35&lt;&gt;"",(VLOOKUP(A35,Total!$B$5:$AL$512,27,FALSE)),"")</f>
        <v/>
      </c>
      <c r="Q35" s="145" t="str">
        <f>IF(A35&lt;&gt;"",(VLOOKUP(A35,Total!$B$5:$AL$512,28,FALSE)),"")</f>
        <v/>
      </c>
      <c r="R35" s="145" t="str">
        <f>IF(A35&lt;&gt;"",(VLOOKUP(A35,Total!$B$5:$AL$512,29,FALSE)),"")</f>
        <v/>
      </c>
      <c r="S35" s="145" t="str">
        <f>IF(A35&lt;&gt;"",(VLOOKUP(A35,Total!$B$5:$AL$512,30,FALSE)),"")</f>
        <v/>
      </c>
      <c r="T35" s="145" t="str">
        <f>IF(A35&lt;&gt;"",(VLOOKUP(A35,Total!$B$5:$AL$512,31,FALSE)),"")</f>
        <v/>
      </c>
      <c r="U35" s="145" t="str">
        <f>IF(A35&lt;&gt;"",(VLOOKUP(A35,Total!$B$5:$AL$512,32,FALSE)),"")</f>
        <v/>
      </c>
      <c r="V35" s="145" t="str">
        <f>IF(A35&lt;&gt;"",(VLOOKUP(A35,Total!$B$5:$AL$512,33,FALSE)),"")</f>
        <v/>
      </c>
      <c r="W35" s="145" t="str">
        <f>IF(A35&lt;&gt;"",(VLOOKUP(A35,Total!$B$5:$AL$512,36,FALSE)),"")</f>
        <v/>
      </c>
      <c r="X35" s="145" t="str">
        <f>IF(A35&lt;&gt;"",(VLOOKUP(A35,Total!$B$5:$AM$512,37,FALSE)),"")</f>
        <v/>
      </c>
      <c r="AA35" s="163" t="str">
        <f>IF(A35&lt;&gt;"",(VLOOKUP(A35,Total!$B$5:$AV$512,40,FALSE)),"")</f>
        <v/>
      </c>
      <c r="AB35" s="163" t="str">
        <f>IF(A35&lt;&gt;"",(VLOOKUP(A35,Total!$B$5:$AV$512,41,FALSE)),"")</f>
        <v/>
      </c>
      <c r="AC35" s="163" t="str">
        <f>IF(A35&lt;&gt;"",(VLOOKUP(A35,Total!$B$5:$AV$512,42,FALSE)),"")</f>
        <v/>
      </c>
      <c r="AD35" s="163" t="str">
        <f>IF(A35&lt;&gt;"",(VLOOKUP(A35,Total!$B$5:$AV$512,43,FALSE)),"")</f>
        <v/>
      </c>
      <c r="AE35" s="163" t="str">
        <f>IF(A35&lt;&gt;"",(VLOOKUP(A35,Total!$B$5:$AV$512,44,FALSE)),"")</f>
        <v/>
      </c>
      <c r="AF35" s="163" t="str">
        <f>IF(A35&lt;&gt;"",(VLOOKUP(A35,Total!$B$5:$AV$512,45,FALSE)),"")</f>
        <v/>
      </c>
      <c r="AG35" s="163" t="str">
        <f>IF(A35&lt;&gt;"",(VLOOKUP(A35,Total!$B$5:$AV$512,46,FALSE)),"")</f>
        <v/>
      </c>
      <c r="AH35" s="163" t="str">
        <f>IF(A35&lt;&gt;"",(VLOOKUP(A35,Total!$B$5:$AV$512,47,FALSE)),"")</f>
        <v/>
      </c>
      <c r="AI35" s="163" t="e">
        <f>VLOOKUP(AA35,Scores!$A$1:$D$157,2,FALSE)</f>
        <v>#N/A</v>
      </c>
      <c r="AJ35" s="163" t="e">
        <f>VLOOKUP(AB35,Scores!$A$1:$D$157,2,FALSE)</f>
        <v>#N/A</v>
      </c>
      <c r="AK35" s="163" t="e">
        <f>VLOOKUP(AC35,Scores!$A$1:$D$157,2,FALSE)</f>
        <v>#N/A</v>
      </c>
      <c r="AL35" s="163" t="e">
        <f>VLOOKUP(AD35,Scores!$A$1:$D$157,2,FALSE)</f>
        <v>#N/A</v>
      </c>
      <c r="AM35" s="163" t="e">
        <f>VLOOKUP(AA35,Scores!$A$1:$D$157,3,FALSE)</f>
        <v>#N/A</v>
      </c>
      <c r="AN35" s="163" t="e">
        <f>VLOOKUP(AB35,Scores!$A$1:$D$157,3,FALSE)</f>
        <v>#N/A</v>
      </c>
      <c r="AO35" s="163" t="e">
        <f>VLOOKUP(AC35,Scores!$A$1:$D$157,3,FALSE)</f>
        <v>#N/A</v>
      </c>
      <c r="AP35" s="163" t="e">
        <f>VLOOKUP(AD35,Scores!$A$1:$D$157,3,FALSE)</f>
        <v>#N/A</v>
      </c>
      <c r="AQ35" s="163" t="str">
        <f t="shared" si="2"/>
        <v/>
      </c>
      <c r="AR35" s="163">
        <f t="shared" si="3"/>
        <v>0</v>
      </c>
      <c r="AS35" s="163">
        <f t="shared" si="4"/>
        <v>0</v>
      </c>
    </row>
    <row r="36" spans="1:45" x14ac:dyDescent="0.25">
      <c r="A36" s="195"/>
      <c r="B36" s="351" t="str">
        <f>IF(A36&lt;&gt;0,VLOOKUP(A36,Total!$B$5:$AZ$512,51,FALSE),"")</f>
        <v/>
      </c>
      <c r="C36" s="352"/>
      <c r="D36" s="144" t="str">
        <f>IF(A36&lt;&gt;"",(VLOOKUP(A36,Total!$B$5:$AL$512,2,FALSE)),"")</f>
        <v/>
      </c>
      <c r="E36" s="145" t="str">
        <f>IF(A36&lt;&gt;"",(VLOOKUP(A36,Total!$B$5:$AL$512,3,FALSE)),"")</f>
        <v/>
      </c>
      <c r="F36" s="145" t="str">
        <f>IF(A36&lt;&gt;"",(VLOOKUP(A36,Total!$B$5:$AL$512,12,FALSE)),"")</f>
        <v/>
      </c>
      <c r="G36" s="145" t="str">
        <f>IF(A36&lt;&gt;"",(VLOOKUP(A36,Total!$B$5:$AL$512,14,FALSE)),"")</f>
        <v/>
      </c>
      <c r="H36" s="145" t="str">
        <f>IF(A36&lt;&gt;"",(VLOOKUP(A36,Total!$B$5:$AL$512,8,FALSE)),"")</f>
        <v/>
      </c>
      <c r="I36" s="145" t="str">
        <f>IF(A36&lt;&gt;"",(VLOOKUP(A36,Total!$B$5:$AL$512,9,FALSE)),"")</f>
        <v/>
      </c>
      <c r="J36" s="145" t="str">
        <f>IF(A36&lt;&gt;"",(VLOOKUP(A36,Total!$B$5:$AL$512,10,FALSE)),"")</f>
        <v/>
      </c>
      <c r="K36" s="145" t="str">
        <f>IF(A36&lt;&gt;"",(VLOOKUP(A36,Total!$B$5:$AL$512,11,FALSE)),"")</f>
        <v/>
      </c>
      <c r="L36" s="175" t="str">
        <f>IF(A36&lt;&gt;"",(VLOOKUP(A36,Total!$B$5:$AL$512,15,FALSE)),"")</f>
        <v/>
      </c>
      <c r="M36" s="202">
        <f t="shared" si="0"/>
        <v>0</v>
      </c>
      <c r="N36" s="202">
        <f t="shared" si="1"/>
        <v>0</v>
      </c>
      <c r="O36" s="145" t="str">
        <f>IF(A36&lt;&gt;"",(VLOOKUP(A36,Total!$B$5:$AL$512,26,FALSE)),"")</f>
        <v/>
      </c>
      <c r="P36" s="145" t="str">
        <f>IF(A36&lt;&gt;"",(VLOOKUP(A36,Total!$B$5:$AL$512,27,FALSE)),"")</f>
        <v/>
      </c>
      <c r="Q36" s="145" t="str">
        <f>IF(A36&lt;&gt;"",(VLOOKUP(A36,Total!$B$5:$AL$512,28,FALSE)),"")</f>
        <v/>
      </c>
      <c r="R36" s="145" t="str">
        <f>IF(A36&lt;&gt;"",(VLOOKUP(A36,Total!$B$5:$AL$512,29,FALSE)),"")</f>
        <v/>
      </c>
      <c r="S36" s="145" t="str">
        <f>IF(A36&lt;&gt;"",(VLOOKUP(A36,Total!$B$5:$AL$512,30,FALSE)),"")</f>
        <v/>
      </c>
      <c r="T36" s="145" t="str">
        <f>IF(A36&lt;&gt;"",(VLOOKUP(A36,Total!$B$5:$AL$512,31,FALSE)),"")</f>
        <v/>
      </c>
      <c r="U36" s="145" t="str">
        <f>IF(A36&lt;&gt;"",(VLOOKUP(A36,Total!$B$5:$AL$512,32,FALSE)),"")</f>
        <v/>
      </c>
      <c r="V36" s="145" t="str">
        <f>IF(A36&lt;&gt;"",(VLOOKUP(A36,Total!$B$5:$AL$512,33,FALSE)),"")</f>
        <v/>
      </c>
      <c r="W36" s="145" t="str">
        <f>IF(A36&lt;&gt;"",(VLOOKUP(A36,Total!$B$5:$AL$512,36,FALSE)),"")</f>
        <v/>
      </c>
      <c r="X36" s="145" t="str">
        <f>IF(A36&lt;&gt;"",(VLOOKUP(A36,Total!$B$5:$AM$512,37,FALSE)),"")</f>
        <v/>
      </c>
      <c r="AA36" s="163" t="str">
        <f>IF(A36&lt;&gt;"",(VLOOKUP(A36,Total!$B$5:$AV$512,40,FALSE)),"")</f>
        <v/>
      </c>
      <c r="AB36" s="163" t="str">
        <f>IF(A36&lt;&gt;"",(VLOOKUP(A36,Total!$B$5:$AV$512,41,FALSE)),"")</f>
        <v/>
      </c>
      <c r="AC36" s="163" t="str">
        <f>IF(A36&lt;&gt;"",(VLOOKUP(A36,Total!$B$5:$AV$512,42,FALSE)),"")</f>
        <v/>
      </c>
      <c r="AD36" s="163" t="str">
        <f>IF(A36&lt;&gt;"",(VLOOKUP(A36,Total!$B$5:$AV$512,43,FALSE)),"")</f>
        <v/>
      </c>
      <c r="AE36" s="163" t="str">
        <f>IF(A36&lt;&gt;"",(VLOOKUP(A36,Total!$B$5:$AV$512,44,FALSE)),"")</f>
        <v/>
      </c>
      <c r="AF36" s="163" t="str">
        <f>IF(A36&lt;&gt;"",(VLOOKUP(A36,Total!$B$5:$AV$512,45,FALSE)),"")</f>
        <v/>
      </c>
      <c r="AG36" s="163" t="str">
        <f>IF(A36&lt;&gt;"",(VLOOKUP(A36,Total!$B$5:$AV$512,46,FALSE)),"")</f>
        <v/>
      </c>
      <c r="AH36" s="163" t="str">
        <f>IF(A36&lt;&gt;"",(VLOOKUP(A36,Total!$B$5:$AV$512,47,FALSE)),"")</f>
        <v/>
      </c>
      <c r="AI36" s="163" t="e">
        <f>VLOOKUP(AA36,Scores!$A$1:$D$157,2,FALSE)</f>
        <v>#N/A</v>
      </c>
      <c r="AJ36" s="163" t="e">
        <f>VLOOKUP(AB36,Scores!$A$1:$D$157,2,FALSE)</f>
        <v>#N/A</v>
      </c>
      <c r="AK36" s="163" t="e">
        <f>VLOOKUP(AC36,Scores!$A$1:$D$157,2,FALSE)</f>
        <v>#N/A</v>
      </c>
      <c r="AL36" s="163" t="e">
        <f>VLOOKUP(AD36,Scores!$A$1:$D$157,2,FALSE)</f>
        <v>#N/A</v>
      </c>
      <c r="AM36" s="163" t="e">
        <f>VLOOKUP(AA36,Scores!$A$1:$D$157,3,FALSE)</f>
        <v>#N/A</v>
      </c>
      <c r="AN36" s="163" t="e">
        <f>VLOOKUP(AB36,Scores!$A$1:$D$157,3,FALSE)</f>
        <v>#N/A</v>
      </c>
      <c r="AO36" s="163" t="e">
        <f>VLOOKUP(AC36,Scores!$A$1:$D$157,3,FALSE)</f>
        <v>#N/A</v>
      </c>
      <c r="AP36" s="163" t="e">
        <f>VLOOKUP(AD36,Scores!$A$1:$D$157,3,FALSE)</f>
        <v>#N/A</v>
      </c>
      <c r="AQ36" s="163" t="str">
        <f t="shared" si="2"/>
        <v/>
      </c>
      <c r="AR36" s="163">
        <f t="shared" si="3"/>
        <v>0</v>
      </c>
      <c r="AS36" s="163">
        <f t="shared" si="4"/>
        <v>0</v>
      </c>
    </row>
    <row r="37" spans="1:45" x14ac:dyDescent="0.25">
      <c r="A37" s="195"/>
      <c r="B37" s="351" t="str">
        <f>IF(A37&lt;&gt;0,VLOOKUP(A37,Total!$B$5:$AZ$512,51,FALSE),"")</f>
        <v/>
      </c>
      <c r="C37" s="352"/>
      <c r="D37" s="144" t="str">
        <f>IF(A37&lt;&gt;"",(VLOOKUP(A37,Total!$B$5:$AL$512,2,FALSE)),"")</f>
        <v/>
      </c>
      <c r="E37" s="145" t="str">
        <f>IF(A37&lt;&gt;"",(VLOOKUP(A37,Total!$B$5:$AL$512,3,FALSE)),"")</f>
        <v/>
      </c>
      <c r="F37" s="145" t="str">
        <f>IF(A37&lt;&gt;"",(VLOOKUP(A37,Total!$B$5:$AL$512,12,FALSE)),"")</f>
        <v/>
      </c>
      <c r="G37" s="145" t="str">
        <f>IF(A37&lt;&gt;"",(VLOOKUP(A37,Total!$B$5:$AL$512,14,FALSE)),"")</f>
        <v/>
      </c>
      <c r="H37" s="145" t="str">
        <f>IF(A37&lt;&gt;"",(VLOOKUP(A37,Total!$B$5:$AL$512,8,FALSE)),"")</f>
        <v/>
      </c>
      <c r="I37" s="145" t="str">
        <f>IF(A37&lt;&gt;"",(VLOOKUP(A37,Total!$B$5:$AL$512,9,FALSE)),"")</f>
        <v/>
      </c>
      <c r="J37" s="145" t="str">
        <f>IF(A37&lt;&gt;"",(VLOOKUP(A37,Total!$B$5:$AL$512,10,FALSE)),"")</f>
        <v/>
      </c>
      <c r="K37" s="145" t="str">
        <f>IF(A37&lt;&gt;"",(VLOOKUP(A37,Total!$B$5:$AL$512,11,FALSE)),"")</f>
        <v/>
      </c>
      <c r="L37" s="175" t="str">
        <f>IF(A37&lt;&gt;"",(VLOOKUP(A37,Total!$B$5:$AL$512,15,FALSE)),"")</f>
        <v/>
      </c>
      <c r="M37" s="202">
        <f t="shared" si="0"/>
        <v>0</v>
      </c>
      <c r="N37" s="202">
        <f t="shared" si="1"/>
        <v>0</v>
      </c>
      <c r="O37" s="145" t="str">
        <f>IF(A37&lt;&gt;"",(VLOOKUP(A37,Total!$B$5:$AL$512,26,FALSE)),"")</f>
        <v/>
      </c>
      <c r="P37" s="145" t="str">
        <f>IF(A37&lt;&gt;"",(VLOOKUP(A37,Total!$B$5:$AL$512,27,FALSE)),"")</f>
        <v/>
      </c>
      <c r="Q37" s="145" t="str">
        <f>IF(A37&lt;&gt;"",(VLOOKUP(A37,Total!$B$5:$AL$512,28,FALSE)),"")</f>
        <v/>
      </c>
      <c r="R37" s="145" t="str">
        <f>IF(A37&lt;&gt;"",(VLOOKUP(A37,Total!$B$5:$AL$512,29,FALSE)),"")</f>
        <v/>
      </c>
      <c r="S37" s="145" t="str">
        <f>IF(A37&lt;&gt;"",(VLOOKUP(A37,Total!$B$5:$AL$512,30,FALSE)),"")</f>
        <v/>
      </c>
      <c r="T37" s="145" t="str">
        <f>IF(A37&lt;&gt;"",(VLOOKUP(A37,Total!$B$5:$AL$512,31,FALSE)),"")</f>
        <v/>
      </c>
      <c r="U37" s="145" t="str">
        <f>IF(A37&lt;&gt;"",(VLOOKUP(A37,Total!$B$5:$AL$512,32,FALSE)),"")</f>
        <v/>
      </c>
      <c r="V37" s="145" t="str">
        <f>IF(A37&lt;&gt;"",(VLOOKUP(A37,Total!$B$5:$AL$512,33,FALSE)),"")</f>
        <v/>
      </c>
      <c r="W37" s="145" t="str">
        <f>IF(A37&lt;&gt;"",(VLOOKUP(A37,Total!$B$5:$AL$512,36,FALSE)),"")</f>
        <v/>
      </c>
      <c r="X37" s="145" t="str">
        <f>IF(A37&lt;&gt;"",(VLOOKUP(A37,Total!$B$5:$AM$512,37,FALSE)),"")</f>
        <v/>
      </c>
      <c r="AA37" s="163" t="str">
        <f>IF(A37&lt;&gt;"",(VLOOKUP(A37,Total!$B$5:$AV$512,40,FALSE)),"")</f>
        <v/>
      </c>
      <c r="AB37" s="163" t="str">
        <f>IF(A37&lt;&gt;"",(VLOOKUP(A37,Total!$B$5:$AV$512,41,FALSE)),"")</f>
        <v/>
      </c>
      <c r="AC37" s="163" t="str">
        <f>IF(A37&lt;&gt;"",(VLOOKUP(A37,Total!$B$5:$AV$512,42,FALSE)),"")</f>
        <v/>
      </c>
      <c r="AD37" s="163" t="str">
        <f>IF(A37&lt;&gt;"",(VLOOKUP(A37,Total!$B$5:$AV$512,43,FALSE)),"")</f>
        <v/>
      </c>
      <c r="AE37" s="163" t="str">
        <f>IF(A37&lt;&gt;"",(VLOOKUP(A37,Total!$B$5:$AV$512,44,FALSE)),"")</f>
        <v/>
      </c>
      <c r="AF37" s="163" t="str">
        <f>IF(A37&lt;&gt;"",(VLOOKUP(A37,Total!$B$5:$AV$512,45,FALSE)),"")</f>
        <v/>
      </c>
      <c r="AG37" s="163" t="str">
        <f>IF(A37&lt;&gt;"",(VLOOKUP(A37,Total!$B$5:$AV$512,46,FALSE)),"")</f>
        <v/>
      </c>
      <c r="AH37" s="163" t="str">
        <f>IF(A37&lt;&gt;"",(VLOOKUP(A37,Total!$B$5:$AV$512,47,FALSE)),"")</f>
        <v/>
      </c>
      <c r="AI37" s="163" t="e">
        <f>VLOOKUP(AA37,Scores!$A$1:$D$157,2,FALSE)</f>
        <v>#N/A</v>
      </c>
      <c r="AJ37" s="163" t="e">
        <f>VLOOKUP(AB37,Scores!$A$1:$D$157,2,FALSE)</f>
        <v>#N/A</v>
      </c>
      <c r="AK37" s="163" t="e">
        <f>VLOOKUP(AC37,Scores!$A$1:$D$157,2,FALSE)</f>
        <v>#N/A</v>
      </c>
      <c r="AL37" s="163" t="e">
        <f>VLOOKUP(AD37,Scores!$A$1:$D$157,2,FALSE)</f>
        <v>#N/A</v>
      </c>
      <c r="AM37" s="163" t="e">
        <f>VLOOKUP(AA37,Scores!$A$1:$D$157,3,FALSE)</f>
        <v>#N/A</v>
      </c>
      <c r="AN37" s="163" t="e">
        <f>VLOOKUP(AB37,Scores!$A$1:$D$157,3,FALSE)</f>
        <v>#N/A</v>
      </c>
      <c r="AO37" s="163" t="e">
        <f>VLOOKUP(AC37,Scores!$A$1:$D$157,3,FALSE)</f>
        <v>#N/A</v>
      </c>
      <c r="AP37" s="163" t="e">
        <f>VLOOKUP(AD37,Scores!$A$1:$D$157,3,FALSE)</f>
        <v>#N/A</v>
      </c>
      <c r="AQ37" s="163" t="str">
        <f t="shared" si="2"/>
        <v/>
      </c>
      <c r="AR37" s="163">
        <f t="shared" si="3"/>
        <v>0</v>
      </c>
      <c r="AS37" s="163">
        <f t="shared" si="4"/>
        <v>0</v>
      </c>
    </row>
    <row r="38" spans="1:45" x14ac:dyDescent="0.25">
      <c r="A38" s="195"/>
      <c r="B38" s="351" t="str">
        <f>IF(A38&lt;&gt;0,VLOOKUP(A38,Total!$B$5:$AZ$512,51,FALSE),"")</f>
        <v/>
      </c>
      <c r="C38" s="352"/>
      <c r="D38" s="144" t="str">
        <f>IF(A38&lt;&gt;"",(VLOOKUP(A38,Total!$B$5:$AL$512,2,FALSE)),"")</f>
        <v/>
      </c>
      <c r="E38" s="145" t="str">
        <f>IF(A38&lt;&gt;"",(VLOOKUP(A38,Total!$B$5:$AL$512,3,FALSE)),"")</f>
        <v/>
      </c>
      <c r="F38" s="145" t="str">
        <f>IF(A38&lt;&gt;"",(VLOOKUP(A38,Total!$B$5:$AL$512,12,FALSE)),"")</f>
        <v/>
      </c>
      <c r="G38" s="145" t="str">
        <f>IF(A38&lt;&gt;"",(VLOOKUP(A38,Total!$B$5:$AL$512,14,FALSE)),"")</f>
        <v/>
      </c>
      <c r="H38" s="145" t="str">
        <f>IF(A38&lt;&gt;"",(VLOOKUP(A38,Total!$B$5:$AL$512,8,FALSE)),"")</f>
        <v/>
      </c>
      <c r="I38" s="145" t="str">
        <f>IF(A38&lt;&gt;"",(VLOOKUP(A38,Total!$B$5:$AL$512,9,FALSE)),"")</f>
        <v/>
      </c>
      <c r="J38" s="145" t="str">
        <f>IF(A38&lt;&gt;"",(VLOOKUP(A38,Total!$B$5:$AL$512,10,FALSE)),"")</f>
        <v/>
      </c>
      <c r="K38" s="145" t="str">
        <f>IF(A38&lt;&gt;"",(VLOOKUP(A38,Total!$B$5:$AL$512,11,FALSE)),"")</f>
        <v/>
      </c>
      <c r="L38" s="175" t="str">
        <f>IF(A38&lt;&gt;"",(VLOOKUP(A38,Total!$B$5:$AL$512,15,FALSE)),"")</f>
        <v/>
      </c>
      <c r="M38" s="202">
        <f t="shared" si="0"/>
        <v>0</v>
      </c>
      <c r="N38" s="202">
        <f t="shared" si="1"/>
        <v>0</v>
      </c>
      <c r="O38" s="145" t="str">
        <f>IF(A38&lt;&gt;"",(VLOOKUP(A38,Total!$B$5:$AL$512,26,FALSE)),"")</f>
        <v/>
      </c>
      <c r="P38" s="145" t="str">
        <f>IF(A38&lt;&gt;"",(VLOOKUP(A38,Total!$B$5:$AL$512,27,FALSE)),"")</f>
        <v/>
      </c>
      <c r="Q38" s="145" t="str">
        <f>IF(A38&lt;&gt;"",(VLOOKUP(A38,Total!$B$5:$AL$512,28,FALSE)),"")</f>
        <v/>
      </c>
      <c r="R38" s="145" t="str">
        <f>IF(A38&lt;&gt;"",(VLOOKUP(A38,Total!$B$5:$AL$512,29,FALSE)),"")</f>
        <v/>
      </c>
      <c r="S38" s="145" t="str">
        <f>IF(A38&lt;&gt;"",(VLOOKUP(A38,Total!$B$5:$AL$512,30,FALSE)),"")</f>
        <v/>
      </c>
      <c r="T38" s="145" t="str">
        <f>IF(A38&lt;&gt;"",(VLOOKUP(A38,Total!$B$5:$AL$512,31,FALSE)),"")</f>
        <v/>
      </c>
      <c r="U38" s="145" t="str">
        <f>IF(A38&lt;&gt;"",(VLOOKUP(A38,Total!$B$5:$AL$512,32,FALSE)),"")</f>
        <v/>
      </c>
      <c r="V38" s="145" t="str">
        <f>IF(A38&lt;&gt;"",(VLOOKUP(A38,Total!$B$5:$AL$512,33,FALSE)),"")</f>
        <v/>
      </c>
      <c r="W38" s="145" t="str">
        <f>IF(A38&lt;&gt;"",(VLOOKUP(A38,Total!$B$5:$AL$512,36,FALSE)),"")</f>
        <v/>
      </c>
      <c r="X38" s="145" t="str">
        <f>IF(A38&lt;&gt;"",(VLOOKUP(A38,Total!$B$5:$AM$512,37,FALSE)),"")</f>
        <v/>
      </c>
      <c r="AA38" s="163" t="str">
        <f>IF(A38&lt;&gt;"",(VLOOKUP(A38,Total!$B$5:$AV$512,40,FALSE)),"")</f>
        <v/>
      </c>
      <c r="AB38" s="163" t="str">
        <f>IF(A38&lt;&gt;"",(VLOOKUP(A38,Total!$B$5:$AV$512,41,FALSE)),"")</f>
        <v/>
      </c>
      <c r="AC38" s="163" t="str">
        <f>IF(A38&lt;&gt;"",(VLOOKUP(A38,Total!$B$5:$AV$512,42,FALSE)),"")</f>
        <v/>
      </c>
      <c r="AD38" s="163" t="str">
        <f>IF(A38&lt;&gt;"",(VLOOKUP(A38,Total!$B$5:$AV$512,43,FALSE)),"")</f>
        <v/>
      </c>
      <c r="AE38" s="163" t="str">
        <f>IF(A38&lt;&gt;"",(VLOOKUP(A38,Total!$B$5:$AV$512,44,FALSE)),"")</f>
        <v/>
      </c>
      <c r="AF38" s="163" t="str">
        <f>IF(A38&lt;&gt;"",(VLOOKUP(A38,Total!$B$5:$AV$512,45,FALSE)),"")</f>
        <v/>
      </c>
      <c r="AG38" s="163" t="str">
        <f>IF(A38&lt;&gt;"",(VLOOKUP(A38,Total!$B$5:$AV$512,46,FALSE)),"")</f>
        <v/>
      </c>
      <c r="AH38" s="163" t="str">
        <f>IF(A38&lt;&gt;"",(VLOOKUP(A38,Total!$B$5:$AV$512,47,FALSE)),"")</f>
        <v/>
      </c>
      <c r="AI38" s="163" t="e">
        <f>VLOOKUP(AA38,Scores!$A$1:$D$157,2,FALSE)</f>
        <v>#N/A</v>
      </c>
      <c r="AJ38" s="163" t="e">
        <f>VLOOKUP(AB38,Scores!$A$1:$D$157,2,FALSE)</f>
        <v>#N/A</v>
      </c>
      <c r="AK38" s="163" t="e">
        <f>VLOOKUP(AC38,Scores!$A$1:$D$157,2,FALSE)</f>
        <v>#N/A</v>
      </c>
      <c r="AL38" s="163" t="e">
        <f>VLOOKUP(AD38,Scores!$A$1:$D$157,2,FALSE)</f>
        <v>#N/A</v>
      </c>
      <c r="AM38" s="163" t="e">
        <f>VLOOKUP(AA38,Scores!$A$1:$D$157,3,FALSE)</f>
        <v>#N/A</v>
      </c>
      <c r="AN38" s="163" t="e">
        <f>VLOOKUP(AB38,Scores!$A$1:$D$157,3,FALSE)</f>
        <v>#N/A</v>
      </c>
      <c r="AO38" s="163" t="e">
        <f>VLOOKUP(AC38,Scores!$A$1:$D$157,3,FALSE)</f>
        <v>#N/A</v>
      </c>
      <c r="AP38" s="163" t="e">
        <f>VLOOKUP(AD38,Scores!$A$1:$D$157,3,FALSE)</f>
        <v>#N/A</v>
      </c>
      <c r="AQ38" s="163" t="str">
        <f t="shared" si="2"/>
        <v/>
      </c>
      <c r="AR38" s="163">
        <f t="shared" si="3"/>
        <v>0</v>
      </c>
      <c r="AS38" s="163">
        <f t="shared" si="4"/>
        <v>0</v>
      </c>
    </row>
    <row r="39" spans="1:45" x14ac:dyDescent="0.25">
      <c r="A39" s="195"/>
      <c r="B39" s="351" t="str">
        <f>IF(A39&lt;&gt;0,VLOOKUP(A39,Total!$B$5:$AZ$512,51,FALSE),"")</f>
        <v/>
      </c>
      <c r="C39" s="352"/>
      <c r="D39" s="144" t="str">
        <f>IF(A39&lt;&gt;"",(VLOOKUP(A39,Total!$B$5:$AL$512,2,FALSE)),"")</f>
        <v/>
      </c>
      <c r="E39" s="145" t="str">
        <f>IF(A39&lt;&gt;"",(VLOOKUP(A39,Total!$B$5:$AL$512,3,FALSE)),"")</f>
        <v/>
      </c>
      <c r="F39" s="145" t="str">
        <f>IF(A39&lt;&gt;"",(VLOOKUP(A39,Total!$B$5:$AL$512,12,FALSE)),"")</f>
        <v/>
      </c>
      <c r="G39" s="145" t="str">
        <f>IF(A39&lt;&gt;"",(VLOOKUP(A39,Total!$B$5:$AL$512,14,FALSE)),"")</f>
        <v/>
      </c>
      <c r="H39" s="145" t="str">
        <f>IF(A39&lt;&gt;"",(VLOOKUP(A39,Total!$B$5:$AL$512,8,FALSE)),"")</f>
        <v/>
      </c>
      <c r="I39" s="145" t="str">
        <f>IF(A39&lt;&gt;"",(VLOOKUP(A39,Total!$B$5:$AL$512,9,FALSE)),"")</f>
        <v/>
      </c>
      <c r="J39" s="145" t="str">
        <f>IF(A39&lt;&gt;"",(VLOOKUP(A39,Total!$B$5:$AL$512,10,FALSE)),"")</f>
        <v/>
      </c>
      <c r="K39" s="145" t="str">
        <f>IF(A39&lt;&gt;"",(VLOOKUP(A39,Total!$B$5:$AL$512,11,FALSE)),"")</f>
        <v/>
      </c>
      <c r="L39" s="175" t="str">
        <f>IF(A39&lt;&gt;"",(VLOOKUP(A39,Total!$B$5:$AL$512,15,FALSE)),"")</f>
        <v/>
      </c>
      <c r="M39" s="202">
        <f t="shared" si="0"/>
        <v>0</v>
      </c>
      <c r="N39" s="202">
        <f t="shared" si="1"/>
        <v>0</v>
      </c>
      <c r="O39" s="145" t="str">
        <f>IF(A39&lt;&gt;"",(VLOOKUP(A39,Total!$B$5:$AL$512,26,FALSE)),"")</f>
        <v/>
      </c>
      <c r="P39" s="145" t="str">
        <f>IF(A39&lt;&gt;"",(VLOOKUP(A39,Total!$B$5:$AL$512,27,FALSE)),"")</f>
        <v/>
      </c>
      <c r="Q39" s="145" t="str">
        <f>IF(A39&lt;&gt;"",(VLOOKUP(A39,Total!$B$5:$AL$512,28,FALSE)),"")</f>
        <v/>
      </c>
      <c r="R39" s="145" t="str">
        <f>IF(A39&lt;&gt;"",(VLOOKUP(A39,Total!$B$5:$AL$512,29,FALSE)),"")</f>
        <v/>
      </c>
      <c r="S39" s="145" t="str">
        <f>IF(A39&lt;&gt;"",(VLOOKUP(A39,Total!$B$5:$AL$512,30,FALSE)),"")</f>
        <v/>
      </c>
      <c r="T39" s="145" t="str">
        <f>IF(A39&lt;&gt;"",(VLOOKUP(A39,Total!$B$5:$AL$512,31,FALSE)),"")</f>
        <v/>
      </c>
      <c r="U39" s="145" t="str">
        <f>IF(A39&lt;&gt;"",(VLOOKUP(A39,Total!$B$5:$AL$512,32,FALSE)),"")</f>
        <v/>
      </c>
      <c r="V39" s="145" t="str">
        <f>IF(A39&lt;&gt;"",(VLOOKUP(A39,Total!$B$5:$AL$512,33,FALSE)),"")</f>
        <v/>
      </c>
      <c r="W39" s="145" t="str">
        <f>IF(A39&lt;&gt;"",(VLOOKUP(A39,Total!$B$5:$AL$512,36,FALSE)),"")</f>
        <v/>
      </c>
      <c r="X39" s="145" t="str">
        <f>IF(A39&lt;&gt;"",(VLOOKUP(A39,Total!$B$5:$AM$512,37,FALSE)),"")</f>
        <v/>
      </c>
      <c r="AA39" s="163" t="str">
        <f>IF(A39&lt;&gt;"",(VLOOKUP(A39,Total!$B$5:$AV$512,40,FALSE)),"")</f>
        <v/>
      </c>
      <c r="AB39" s="163" t="str">
        <f>IF(A39&lt;&gt;"",(VLOOKUP(A39,Total!$B$5:$AV$512,41,FALSE)),"")</f>
        <v/>
      </c>
      <c r="AC39" s="163" t="str">
        <f>IF(A39&lt;&gt;"",(VLOOKUP(A39,Total!$B$5:$AV$512,42,FALSE)),"")</f>
        <v/>
      </c>
      <c r="AD39" s="163" t="str">
        <f>IF(A39&lt;&gt;"",(VLOOKUP(A39,Total!$B$5:$AV$512,43,FALSE)),"")</f>
        <v/>
      </c>
      <c r="AE39" s="163" t="str">
        <f>IF(A39&lt;&gt;"",(VLOOKUP(A39,Total!$B$5:$AV$512,44,FALSE)),"")</f>
        <v/>
      </c>
      <c r="AF39" s="163" t="str">
        <f>IF(A39&lt;&gt;"",(VLOOKUP(A39,Total!$B$5:$AV$512,45,FALSE)),"")</f>
        <v/>
      </c>
      <c r="AG39" s="163" t="str">
        <f>IF(A39&lt;&gt;"",(VLOOKUP(A39,Total!$B$5:$AV$512,46,FALSE)),"")</f>
        <v/>
      </c>
      <c r="AH39" s="163" t="str">
        <f>IF(A39&lt;&gt;"",(VLOOKUP(A39,Total!$B$5:$AV$512,47,FALSE)),"")</f>
        <v/>
      </c>
      <c r="AI39" s="163" t="e">
        <f>VLOOKUP(AA39,Scores!$A$1:$D$157,2,FALSE)</f>
        <v>#N/A</v>
      </c>
      <c r="AJ39" s="163" t="e">
        <f>VLOOKUP(AB39,Scores!$A$1:$D$157,2,FALSE)</f>
        <v>#N/A</v>
      </c>
      <c r="AK39" s="163" t="e">
        <f>VLOOKUP(AC39,Scores!$A$1:$D$157,2,FALSE)</f>
        <v>#N/A</v>
      </c>
      <c r="AL39" s="163" t="e">
        <f>VLOOKUP(AD39,Scores!$A$1:$D$157,2,FALSE)</f>
        <v>#N/A</v>
      </c>
      <c r="AM39" s="163" t="e">
        <f>VLOOKUP(AA39,Scores!$A$1:$D$157,3,FALSE)</f>
        <v>#N/A</v>
      </c>
      <c r="AN39" s="163" t="e">
        <f>VLOOKUP(AB39,Scores!$A$1:$D$157,3,FALSE)</f>
        <v>#N/A</v>
      </c>
      <c r="AO39" s="163" t="e">
        <f>VLOOKUP(AC39,Scores!$A$1:$D$157,3,FALSE)</f>
        <v>#N/A</v>
      </c>
      <c r="AP39" s="163" t="e">
        <f>VLOOKUP(AD39,Scores!$A$1:$D$157,3,FALSE)</f>
        <v>#N/A</v>
      </c>
      <c r="AQ39" s="163" t="str">
        <f t="shared" si="2"/>
        <v/>
      </c>
      <c r="AR39" s="163">
        <f t="shared" si="3"/>
        <v>0</v>
      </c>
      <c r="AS39" s="163">
        <f t="shared" si="4"/>
        <v>0</v>
      </c>
    </row>
    <row r="40" spans="1:45" x14ac:dyDescent="0.25">
      <c r="A40" s="195"/>
      <c r="B40" s="351" t="str">
        <f>IF(A40&lt;&gt;0,VLOOKUP(A40,Total!$B$5:$AZ$512,51,FALSE),"")</f>
        <v/>
      </c>
      <c r="C40" s="352"/>
      <c r="D40" s="144" t="str">
        <f>IF(A40&lt;&gt;"",(VLOOKUP(A40,Total!$B$5:$AL$512,2,FALSE)),"")</f>
        <v/>
      </c>
      <c r="E40" s="145" t="str">
        <f>IF(A40&lt;&gt;"",(VLOOKUP(A40,Total!$B$5:$AL$512,3,FALSE)),"")</f>
        <v/>
      </c>
      <c r="F40" s="145" t="str">
        <f>IF(A40&lt;&gt;"",(VLOOKUP(A40,Total!$B$5:$AL$512,12,FALSE)),"")</f>
        <v/>
      </c>
      <c r="G40" s="145" t="str">
        <f>IF(A40&lt;&gt;"",(VLOOKUP(A40,Total!$B$5:$AL$512,14,FALSE)),"")</f>
        <v/>
      </c>
      <c r="H40" s="145" t="str">
        <f>IF(A40&lt;&gt;"",(VLOOKUP(A40,Total!$B$5:$AL$512,8,FALSE)),"")</f>
        <v/>
      </c>
      <c r="I40" s="145" t="str">
        <f>IF(A40&lt;&gt;"",(VLOOKUP(A40,Total!$B$5:$AL$512,9,FALSE)),"")</f>
        <v/>
      </c>
      <c r="J40" s="145" t="str">
        <f>IF(A40&lt;&gt;"",(VLOOKUP(A40,Total!$B$5:$AL$512,10,FALSE)),"")</f>
        <v/>
      </c>
      <c r="K40" s="145" t="str">
        <f>IF(A40&lt;&gt;"",(VLOOKUP(A40,Total!$B$5:$AL$512,11,FALSE)),"")</f>
        <v/>
      </c>
      <c r="L40" s="175" t="str">
        <f>IF(A40&lt;&gt;"",(VLOOKUP(A40,Total!$B$5:$AL$512,15,FALSE)),"")</f>
        <v/>
      </c>
      <c r="M40" s="202">
        <f t="shared" si="0"/>
        <v>0</v>
      </c>
      <c r="N40" s="202">
        <f t="shared" si="1"/>
        <v>0</v>
      </c>
      <c r="O40" s="145" t="str">
        <f>IF(A40&lt;&gt;"",(VLOOKUP(A40,Total!$B$5:$AL$512,26,FALSE)),"")</f>
        <v/>
      </c>
      <c r="P40" s="145" t="str">
        <f>IF(A40&lt;&gt;"",(VLOOKUP(A40,Total!$B$5:$AL$512,27,FALSE)),"")</f>
        <v/>
      </c>
      <c r="Q40" s="145" t="str">
        <f>IF(A40&lt;&gt;"",(VLOOKUP(A40,Total!$B$5:$AL$512,28,FALSE)),"")</f>
        <v/>
      </c>
      <c r="R40" s="145" t="str">
        <f>IF(A40&lt;&gt;"",(VLOOKUP(A40,Total!$B$5:$AL$512,29,FALSE)),"")</f>
        <v/>
      </c>
      <c r="S40" s="145" t="str">
        <f>IF(A40&lt;&gt;"",(VLOOKUP(A40,Total!$B$5:$AL$512,30,FALSE)),"")</f>
        <v/>
      </c>
      <c r="T40" s="145" t="str">
        <f>IF(A40&lt;&gt;"",(VLOOKUP(A40,Total!$B$5:$AL$512,31,FALSE)),"")</f>
        <v/>
      </c>
      <c r="U40" s="145" t="str">
        <f>IF(A40&lt;&gt;"",(VLOOKUP(A40,Total!$B$5:$AL$512,32,FALSE)),"")</f>
        <v/>
      </c>
      <c r="V40" s="145" t="str">
        <f>IF(A40&lt;&gt;"",(VLOOKUP(A40,Total!$B$5:$AL$512,33,FALSE)),"")</f>
        <v/>
      </c>
      <c r="W40" s="145" t="str">
        <f>IF(A40&lt;&gt;"",(VLOOKUP(A40,Total!$B$5:$AL$512,36,FALSE)),"")</f>
        <v/>
      </c>
      <c r="X40" s="145" t="str">
        <f>IF(A40&lt;&gt;"",(VLOOKUP(A40,Total!$B$5:$AM$512,37,FALSE)),"")</f>
        <v/>
      </c>
      <c r="AA40" s="163" t="str">
        <f>IF(A40&lt;&gt;"",(VLOOKUP(A40,Total!$B$5:$AV$512,40,FALSE)),"")</f>
        <v/>
      </c>
      <c r="AB40" s="163" t="str">
        <f>IF(A40&lt;&gt;"",(VLOOKUP(A40,Total!$B$5:$AV$512,41,FALSE)),"")</f>
        <v/>
      </c>
      <c r="AC40" s="163" t="str">
        <f>IF(A40&lt;&gt;"",(VLOOKUP(A40,Total!$B$5:$AV$512,42,FALSE)),"")</f>
        <v/>
      </c>
      <c r="AD40" s="163" t="str">
        <f>IF(A40&lt;&gt;"",(VLOOKUP(A40,Total!$B$5:$AV$512,43,FALSE)),"")</f>
        <v/>
      </c>
      <c r="AE40" s="163" t="str">
        <f>IF(A40&lt;&gt;"",(VLOOKUP(A40,Total!$B$5:$AV$512,44,FALSE)),"")</f>
        <v/>
      </c>
      <c r="AF40" s="163" t="str">
        <f>IF(A40&lt;&gt;"",(VLOOKUP(A40,Total!$B$5:$AV$512,45,FALSE)),"")</f>
        <v/>
      </c>
      <c r="AG40" s="163" t="str">
        <f>IF(A40&lt;&gt;"",(VLOOKUP(A40,Total!$B$5:$AV$512,46,FALSE)),"")</f>
        <v/>
      </c>
      <c r="AH40" s="163" t="str">
        <f>IF(A40&lt;&gt;"",(VLOOKUP(A40,Total!$B$5:$AV$512,47,FALSE)),"")</f>
        <v/>
      </c>
      <c r="AI40" s="163" t="e">
        <f>VLOOKUP(AA40,Scores!$A$1:$D$157,2,FALSE)</f>
        <v>#N/A</v>
      </c>
      <c r="AJ40" s="163" t="e">
        <f>VLOOKUP(AB40,Scores!$A$1:$D$157,2,FALSE)</f>
        <v>#N/A</v>
      </c>
      <c r="AK40" s="163" t="e">
        <f>VLOOKUP(AC40,Scores!$A$1:$D$157,2,FALSE)</f>
        <v>#N/A</v>
      </c>
      <c r="AL40" s="163" t="e">
        <f>VLOOKUP(AD40,Scores!$A$1:$D$157,2,FALSE)</f>
        <v>#N/A</v>
      </c>
      <c r="AM40" s="163" t="e">
        <f>VLOOKUP(AA40,Scores!$A$1:$D$157,3,FALSE)</f>
        <v>#N/A</v>
      </c>
      <c r="AN40" s="163" t="e">
        <f>VLOOKUP(AB40,Scores!$A$1:$D$157,3,FALSE)</f>
        <v>#N/A</v>
      </c>
      <c r="AO40" s="163" t="e">
        <f>VLOOKUP(AC40,Scores!$A$1:$D$157,3,FALSE)</f>
        <v>#N/A</v>
      </c>
      <c r="AP40" s="163" t="e">
        <f>VLOOKUP(AD40,Scores!$A$1:$D$157,3,FALSE)</f>
        <v>#N/A</v>
      </c>
      <c r="AQ40" s="163" t="str">
        <f t="shared" si="2"/>
        <v/>
      </c>
      <c r="AR40" s="163">
        <f t="shared" si="3"/>
        <v>0</v>
      </c>
      <c r="AS40" s="163">
        <f t="shared" si="4"/>
        <v>0</v>
      </c>
    </row>
    <row r="41" spans="1:45" x14ac:dyDescent="0.25">
      <c r="A41" s="195"/>
      <c r="B41" s="351" t="str">
        <f>IF(A41&lt;&gt;0,VLOOKUP(A41,Total!$B$5:$AZ$512,51,FALSE),"")</f>
        <v/>
      </c>
      <c r="C41" s="352"/>
      <c r="D41" s="144" t="str">
        <f>IF(A41&lt;&gt;"",(VLOOKUP(A41,Total!$B$5:$AL$512,2,FALSE)),"")</f>
        <v/>
      </c>
      <c r="E41" s="145" t="str">
        <f>IF(A41&lt;&gt;"",(VLOOKUP(A41,Total!$B$5:$AL$512,3,FALSE)),"")</f>
        <v/>
      </c>
      <c r="F41" s="145" t="str">
        <f>IF(A41&lt;&gt;"",(VLOOKUP(A41,Total!$B$5:$AL$512,12,FALSE)),"")</f>
        <v/>
      </c>
      <c r="G41" s="145" t="str">
        <f>IF(A41&lt;&gt;"",(VLOOKUP(A41,Total!$B$5:$AL$512,14,FALSE)),"")</f>
        <v/>
      </c>
      <c r="H41" s="145" t="str">
        <f>IF(A41&lt;&gt;"",(VLOOKUP(A41,Total!$B$5:$AL$512,8,FALSE)),"")</f>
        <v/>
      </c>
      <c r="I41" s="145" t="str">
        <f>IF(A41&lt;&gt;"",(VLOOKUP(A41,Total!$B$5:$AL$512,9,FALSE)),"")</f>
        <v/>
      </c>
      <c r="J41" s="145" t="str">
        <f>IF(A41&lt;&gt;"",(VLOOKUP(A41,Total!$B$5:$AL$512,10,FALSE)),"")</f>
        <v/>
      </c>
      <c r="K41" s="145" t="str">
        <f>IF(A41&lt;&gt;"",(VLOOKUP(A41,Total!$B$5:$AL$512,11,FALSE)),"")</f>
        <v/>
      </c>
      <c r="L41" s="175" t="str">
        <f>IF(A41&lt;&gt;"",(VLOOKUP(A41,Total!$B$5:$AL$512,15,FALSE)),"")</f>
        <v/>
      </c>
      <c r="M41" s="202">
        <f t="shared" si="0"/>
        <v>0</v>
      </c>
      <c r="N41" s="202">
        <f t="shared" si="1"/>
        <v>0</v>
      </c>
      <c r="O41" s="145" t="str">
        <f>IF(A41&lt;&gt;"",(VLOOKUP(A41,Total!$B$5:$AL$512,26,FALSE)),"")</f>
        <v/>
      </c>
      <c r="P41" s="145" t="str">
        <f>IF(A41&lt;&gt;"",(VLOOKUP(A41,Total!$B$5:$AL$512,27,FALSE)),"")</f>
        <v/>
      </c>
      <c r="Q41" s="145" t="str">
        <f>IF(A41&lt;&gt;"",(VLOOKUP(A41,Total!$B$5:$AL$512,28,FALSE)),"")</f>
        <v/>
      </c>
      <c r="R41" s="145" t="str">
        <f>IF(A41&lt;&gt;"",(VLOOKUP(A41,Total!$B$5:$AL$512,29,FALSE)),"")</f>
        <v/>
      </c>
      <c r="S41" s="145" t="str">
        <f>IF(A41&lt;&gt;"",(VLOOKUP(A41,Total!$B$5:$AL$512,30,FALSE)),"")</f>
        <v/>
      </c>
      <c r="T41" s="145" t="str">
        <f>IF(A41&lt;&gt;"",(VLOOKUP(A41,Total!$B$5:$AL$512,31,FALSE)),"")</f>
        <v/>
      </c>
      <c r="U41" s="145" t="str">
        <f>IF(A41&lt;&gt;"",(VLOOKUP(A41,Total!$B$5:$AL$512,32,FALSE)),"")</f>
        <v/>
      </c>
      <c r="V41" s="145" t="str">
        <f>IF(A41&lt;&gt;"",(VLOOKUP(A41,Total!$B$5:$AL$512,33,FALSE)),"")</f>
        <v/>
      </c>
      <c r="W41" s="145" t="str">
        <f>IF(A41&lt;&gt;"",(VLOOKUP(A41,Total!$B$5:$AL$512,36,FALSE)),"")</f>
        <v/>
      </c>
      <c r="X41" s="145" t="str">
        <f>IF(A41&lt;&gt;"",(VLOOKUP(A41,Total!$B$5:$AM$512,37,FALSE)),"")</f>
        <v/>
      </c>
      <c r="AA41" s="163" t="str">
        <f>IF(A41&lt;&gt;"",(VLOOKUP(A41,Total!$B$5:$AV$512,40,FALSE)),"")</f>
        <v/>
      </c>
      <c r="AB41" s="163" t="str">
        <f>IF(A41&lt;&gt;"",(VLOOKUP(A41,Total!$B$5:$AV$512,41,FALSE)),"")</f>
        <v/>
      </c>
      <c r="AC41" s="163" t="str">
        <f>IF(A41&lt;&gt;"",(VLOOKUP(A41,Total!$B$5:$AV$512,42,FALSE)),"")</f>
        <v/>
      </c>
      <c r="AD41" s="163" t="str">
        <f>IF(A41&lt;&gt;"",(VLOOKUP(A41,Total!$B$5:$AV$512,43,FALSE)),"")</f>
        <v/>
      </c>
      <c r="AE41" s="163" t="str">
        <f>IF(A41&lt;&gt;"",(VLOOKUP(A41,Total!$B$5:$AV$512,44,FALSE)),"")</f>
        <v/>
      </c>
      <c r="AF41" s="163" t="str">
        <f>IF(A41&lt;&gt;"",(VLOOKUP(A41,Total!$B$5:$AV$512,45,FALSE)),"")</f>
        <v/>
      </c>
      <c r="AG41" s="163" t="str">
        <f>IF(A41&lt;&gt;"",(VLOOKUP(A41,Total!$B$5:$AV$512,46,FALSE)),"")</f>
        <v/>
      </c>
      <c r="AH41" s="163" t="str">
        <f>IF(A41&lt;&gt;"",(VLOOKUP(A41,Total!$B$5:$AV$512,47,FALSE)),"")</f>
        <v/>
      </c>
      <c r="AI41" s="163" t="e">
        <f>VLOOKUP(AA41,Scores!$A$1:$D$157,2,FALSE)</f>
        <v>#N/A</v>
      </c>
      <c r="AJ41" s="163" t="e">
        <f>VLOOKUP(AB41,Scores!$A$1:$D$157,2,FALSE)</f>
        <v>#N/A</v>
      </c>
      <c r="AK41" s="163" t="e">
        <f>VLOOKUP(AC41,Scores!$A$1:$D$157,2,FALSE)</f>
        <v>#N/A</v>
      </c>
      <c r="AL41" s="163" t="e">
        <f>VLOOKUP(AD41,Scores!$A$1:$D$157,2,FALSE)</f>
        <v>#N/A</v>
      </c>
      <c r="AM41" s="163" t="e">
        <f>VLOOKUP(AA41,Scores!$A$1:$D$157,3,FALSE)</f>
        <v>#N/A</v>
      </c>
      <c r="AN41" s="163" t="e">
        <f>VLOOKUP(AB41,Scores!$A$1:$D$157,3,FALSE)</f>
        <v>#N/A</v>
      </c>
      <c r="AO41" s="163" t="e">
        <f>VLOOKUP(AC41,Scores!$A$1:$D$157,3,FALSE)</f>
        <v>#N/A</v>
      </c>
      <c r="AP41" s="163" t="e">
        <f>VLOOKUP(AD41,Scores!$A$1:$D$157,3,FALSE)</f>
        <v>#N/A</v>
      </c>
      <c r="AQ41" s="163" t="str">
        <f t="shared" si="2"/>
        <v/>
      </c>
      <c r="AR41" s="163">
        <f t="shared" si="3"/>
        <v>0</v>
      </c>
      <c r="AS41" s="163">
        <f t="shared" si="4"/>
        <v>0</v>
      </c>
    </row>
    <row r="42" spans="1:45" x14ac:dyDescent="0.25">
      <c r="A42" s="195"/>
      <c r="B42" s="351" t="str">
        <f>IF(A42&lt;&gt;0,VLOOKUP(A42,Total!$B$5:$AZ$512,51,FALSE),"")</f>
        <v/>
      </c>
      <c r="C42" s="352"/>
      <c r="D42" s="144" t="str">
        <f>IF(A42&lt;&gt;"",(VLOOKUP(A42,Total!$B$5:$AL$512,2,FALSE)),"")</f>
        <v/>
      </c>
      <c r="E42" s="145" t="str">
        <f>IF(A42&lt;&gt;"",(VLOOKUP(A42,Total!$B$5:$AL$512,3,FALSE)),"")</f>
        <v/>
      </c>
      <c r="F42" s="145" t="str">
        <f>IF(A42&lt;&gt;"",(VLOOKUP(A42,Total!$B$5:$AL$512,12,FALSE)),"")</f>
        <v/>
      </c>
      <c r="G42" s="145" t="str">
        <f>IF(A42&lt;&gt;"",(VLOOKUP(A42,Total!$B$5:$AL$512,14,FALSE)),"")</f>
        <v/>
      </c>
      <c r="H42" s="145" t="str">
        <f>IF(A42&lt;&gt;"",(VLOOKUP(A42,Total!$B$5:$AL$512,8,FALSE)),"")</f>
        <v/>
      </c>
      <c r="I42" s="145" t="str">
        <f>IF(A42&lt;&gt;"",(VLOOKUP(A42,Total!$B$5:$AL$512,9,FALSE)),"")</f>
        <v/>
      </c>
      <c r="J42" s="145" t="str">
        <f>IF(A42&lt;&gt;"",(VLOOKUP(A42,Total!$B$5:$AL$512,10,FALSE)),"")</f>
        <v/>
      </c>
      <c r="K42" s="145" t="str">
        <f>IF(A42&lt;&gt;"",(VLOOKUP(A42,Total!$B$5:$AL$512,11,FALSE)),"")</f>
        <v/>
      </c>
      <c r="L42" s="175" t="str">
        <f>IF(A42&lt;&gt;"",(VLOOKUP(A42,Total!$B$5:$AL$512,15,FALSE)),"")</f>
        <v/>
      </c>
      <c r="M42" s="202">
        <f t="shared" si="0"/>
        <v>0</v>
      </c>
      <c r="N42" s="202">
        <f t="shared" si="1"/>
        <v>0</v>
      </c>
      <c r="O42" s="145" t="str">
        <f>IF(A42&lt;&gt;"",(VLOOKUP(A42,Total!$B$5:$AL$512,26,FALSE)),"")</f>
        <v/>
      </c>
      <c r="P42" s="145" t="str">
        <f>IF(A42&lt;&gt;"",(VLOOKUP(A42,Total!$B$5:$AL$512,27,FALSE)),"")</f>
        <v/>
      </c>
      <c r="Q42" s="145" t="str">
        <f>IF(A42&lt;&gt;"",(VLOOKUP(A42,Total!$B$5:$AL$512,28,FALSE)),"")</f>
        <v/>
      </c>
      <c r="R42" s="145" t="str">
        <f>IF(A42&lt;&gt;"",(VLOOKUP(A42,Total!$B$5:$AL$512,29,FALSE)),"")</f>
        <v/>
      </c>
      <c r="S42" s="145" t="str">
        <f>IF(A42&lt;&gt;"",(VLOOKUP(A42,Total!$B$5:$AL$512,30,FALSE)),"")</f>
        <v/>
      </c>
      <c r="T42" s="145" t="str">
        <f>IF(A42&lt;&gt;"",(VLOOKUP(A42,Total!$B$5:$AL$512,31,FALSE)),"")</f>
        <v/>
      </c>
      <c r="U42" s="145" t="str">
        <f>IF(A42&lt;&gt;"",(VLOOKUP(A42,Total!$B$5:$AL$512,32,FALSE)),"")</f>
        <v/>
      </c>
      <c r="V42" s="145" t="str">
        <f>IF(A42&lt;&gt;"",(VLOOKUP(A42,Total!$B$5:$AL$512,33,FALSE)),"")</f>
        <v/>
      </c>
      <c r="W42" s="145" t="str">
        <f>IF(A42&lt;&gt;"",(VLOOKUP(A42,Total!$B$5:$AL$512,36,FALSE)),"")</f>
        <v/>
      </c>
      <c r="X42" s="145" t="str">
        <f>IF(A42&lt;&gt;"",(VLOOKUP(A42,Total!$B$5:$AM$512,37,FALSE)),"")</f>
        <v/>
      </c>
      <c r="AA42" s="163" t="str">
        <f>IF(A42&lt;&gt;"",(VLOOKUP(A42,Total!$B$5:$AV$512,40,FALSE)),"")</f>
        <v/>
      </c>
      <c r="AB42" s="163" t="str">
        <f>IF(A42&lt;&gt;"",(VLOOKUP(A42,Total!$B$5:$AV$512,41,FALSE)),"")</f>
        <v/>
      </c>
      <c r="AC42" s="163" t="str">
        <f>IF(A42&lt;&gt;"",(VLOOKUP(A42,Total!$B$5:$AV$512,42,FALSE)),"")</f>
        <v/>
      </c>
      <c r="AD42" s="163" t="str">
        <f>IF(A42&lt;&gt;"",(VLOOKUP(A42,Total!$B$5:$AV$512,43,FALSE)),"")</f>
        <v/>
      </c>
      <c r="AE42" s="163" t="str">
        <f>IF(A42&lt;&gt;"",(VLOOKUP(A42,Total!$B$5:$AV$512,44,FALSE)),"")</f>
        <v/>
      </c>
      <c r="AF42" s="163" t="str">
        <f>IF(A42&lt;&gt;"",(VLOOKUP(A42,Total!$B$5:$AV$512,45,FALSE)),"")</f>
        <v/>
      </c>
      <c r="AG42" s="163" t="str">
        <f>IF(A42&lt;&gt;"",(VLOOKUP(A42,Total!$B$5:$AV$512,46,FALSE)),"")</f>
        <v/>
      </c>
      <c r="AH42" s="163" t="str">
        <f>IF(A42&lt;&gt;"",(VLOOKUP(A42,Total!$B$5:$AV$512,47,FALSE)),"")</f>
        <v/>
      </c>
      <c r="AI42" s="163" t="e">
        <f>VLOOKUP(AA42,Scores!$A$1:$D$157,2,FALSE)</f>
        <v>#N/A</v>
      </c>
      <c r="AJ42" s="163" t="e">
        <f>VLOOKUP(AB42,Scores!$A$1:$D$157,2,FALSE)</f>
        <v>#N/A</v>
      </c>
      <c r="AK42" s="163" t="e">
        <f>VLOOKUP(AC42,Scores!$A$1:$D$157,2,FALSE)</f>
        <v>#N/A</v>
      </c>
      <c r="AL42" s="163" t="e">
        <f>VLOOKUP(AD42,Scores!$A$1:$D$157,2,FALSE)</f>
        <v>#N/A</v>
      </c>
      <c r="AM42" s="163" t="e">
        <f>VLOOKUP(AA42,Scores!$A$1:$D$157,3,FALSE)</f>
        <v>#N/A</v>
      </c>
      <c r="AN42" s="163" t="e">
        <f>VLOOKUP(AB42,Scores!$A$1:$D$157,3,FALSE)</f>
        <v>#N/A</v>
      </c>
      <c r="AO42" s="163" t="e">
        <f>VLOOKUP(AC42,Scores!$A$1:$D$157,3,FALSE)</f>
        <v>#N/A</v>
      </c>
      <c r="AP42" s="163" t="e">
        <f>VLOOKUP(AD42,Scores!$A$1:$D$157,3,FALSE)</f>
        <v>#N/A</v>
      </c>
      <c r="AQ42" s="163" t="str">
        <f t="shared" si="2"/>
        <v/>
      </c>
      <c r="AR42" s="163">
        <f t="shared" si="3"/>
        <v>0</v>
      </c>
      <c r="AS42" s="163">
        <f t="shared" si="4"/>
        <v>0</v>
      </c>
    </row>
    <row r="43" spans="1:45" x14ac:dyDescent="0.25">
      <c r="A43" s="195"/>
      <c r="B43" s="351" t="str">
        <f>IF(A43&lt;&gt;0,VLOOKUP(A43,Total!$B$5:$AZ$512,51,FALSE),"")</f>
        <v/>
      </c>
      <c r="C43" s="352"/>
      <c r="D43" s="144" t="str">
        <f>IF(A43&lt;&gt;"",(VLOOKUP(A43,Total!$B$5:$AL$512,2,FALSE)),"")</f>
        <v/>
      </c>
      <c r="E43" s="145" t="str">
        <f>IF(A43&lt;&gt;"",(VLOOKUP(A43,Total!$B$5:$AL$512,3,FALSE)),"")</f>
        <v/>
      </c>
      <c r="F43" s="145" t="str">
        <f>IF(A43&lt;&gt;"",(VLOOKUP(A43,Total!$B$5:$AL$512,12,FALSE)),"")</f>
        <v/>
      </c>
      <c r="G43" s="145" t="str">
        <f>IF(A43&lt;&gt;"",(VLOOKUP(A43,Total!$B$5:$AL$512,14,FALSE)),"")</f>
        <v/>
      </c>
      <c r="H43" s="145" t="str">
        <f>IF(A43&lt;&gt;"",(VLOOKUP(A43,Total!$B$5:$AL$512,8,FALSE)),"")</f>
        <v/>
      </c>
      <c r="I43" s="145" t="str">
        <f>IF(A43&lt;&gt;"",(VLOOKUP(A43,Total!$B$5:$AL$512,9,FALSE)),"")</f>
        <v/>
      </c>
      <c r="J43" s="145" t="str">
        <f>IF(A43&lt;&gt;"",(VLOOKUP(A43,Total!$B$5:$AL$512,10,FALSE)),"")</f>
        <v/>
      </c>
      <c r="K43" s="145" t="str">
        <f>IF(A43&lt;&gt;"",(VLOOKUP(A43,Total!$B$5:$AL$512,11,FALSE)),"")</f>
        <v/>
      </c>
      <c r="L43" s="175" t="str">
        <f>IF(A43&lt;&gt;"",(VLOOKUP(A43,Total!$B$5:$AL$512,15,FALSE)),"")</f>
        <v/>
      </c>
      <c r="M43" s="202">
        <f t="shared" si="0"/>
        <v>0</v>
      </c>
      <c r="N43" s="202">
        <f t="shared" si="1"/>
        <v>0</v>
      </c>
      <c r="O43" s="145" t="str">
        <f>IF(A43&lt;&gt;"",(VLOOKUP(A43,Total!$B$5:$AL$512,26,FALSE)),"")</f>
        <v/>
      </c>
      <c r="P43" s="145" t="str">
        <f>IF(A43&lt;&gt;"",(VLOOKUP(A43,Total!$B$5:$AL$512,27,FALSE)),"")</f>
        <v/>
      </c>
      <c r="Q43" s="145" t="str">
        <f>IF(A43&lt;&gt;"",(VLOOKUP(A43,Total!$B$5:$AL$512,28,FALSE)),"")</f>
        <v/>
      </c>
      <c r="R43" s="145" t="str">
        <f>IF(A43&lt;&gt;"",(VLOOKUP(A43,Total!$B$5:$AL$512,29,FALSE)),"")</f>
        <v/>
      </c>
      <c r="S43" s="145" t="str">
        <f>IF(A43&lt;&gt;"",(VLOOKUP(A43,Total!$B$5:$AL$512,30,FALSE)),"")</f>
        <v/>
      </c>
      <c r="T43" s="145" t="str">
        <f>IF(A43&lt;&gt;"",(VLOOKUP(A43,Total!$B$5:$AL$512,31,FALSE)),"")</f>
        <v/>
      </c>
      <c r="U43" s="145" t="str">
        <f>IF(A43&lt;&gt;"",(VLOOKUP(A43,Total!$B$5:$AL$512,32,FALSE)),"")</f>
        <v/>
      </c>
      <c r="V43" s="145" t="str">
        <f>IF(A43&lt;&gt;"",(VLOOKUP(A43,Total!$B$5:$AL$512,33,FALSE)),"")</f>
        <v/>
      </c>
      <c r="W43" s="145" t="str">
        <f>IF(A43&lt;&gt;"",(VLOOKUP(A43,Total!$B$5:$AL$512,36,FALSE)),"")</f>
        <v/>
      </c>
      <c r="X43" s="145" t="str">
        <f>IF(A43&lt;&gt;"",(VLOOKUP(A43,Total!$B$5:$AM$512,37,FALSE)),"")</f>
        <v/>
      </c>
      <c r="AA43" s="163" t="str">
        <f>IF(A43&lt;&gt;"",(VLOOKUP(A43,Total!$B$5:$AV$512,40,FALSE)),"")</f>
        <v/>
      </c>
      <c r="AB43" s="163" t="str">
        <f>IF(A43&lt;&gt;"",(VLOOKUP(A43,Total!$B$5:$AV$512,41,FALSE)),"")</f>
        <v/>
      </c>
      <c r="AC43" s="163" t="str">
        <f>IF(A43&lt;&gt;"",(VLOOKUP(A43,Total!$B$5:$AV$512,42,FALSE)),"")</f>
        <v/>
      </c>
      <c r="AD43" s="163" t="str">
        <f>IF(A43&lt;&gt;"",(VLOOKUP(A43,Total!$B$5:$AV$512,43,FALSE)),"")</f>
        <v/>
      </c>
      <c r="AE43" s="163" t="str">
        <f>IF(A43&lt;&gt;"",(VLOOKUP(A43,Total!$B$5:$AV$512,44,FALSE)),"")</f>
        <v/>
      </c>
      <c r="AF43" s="163" t="str">
        <f>IF(A43&lt;&gt;"",(VLOOKUP(A43,Total!$B$5:$AV$512,45,FALSE)),"")</f>
        <v/>
      </c>
      <c r="AG43" s="163" t="str">
        <f>IF(A43&lt;&gt;"",(VLOOKUP(A43,Total!$B$5:$AV$512,46,FALSE)),"")</f>
        <v/>
      </c>
      <c r="AH43" s="163" t="str">
        <f>IF(A43&lt;&gt;"",(VLOOKUP(A43,Total!$B$5:$AV$512,47,FALSE)),"")</f>
        <v/>
      </c>
      <c r="AI43" s="163" t="e">
        <f>VLOOKUP(AA43,Scores!$A$1:$D$157,2,FALSE)</f>
        <v>#N/A</v>
      </c>
      <c r="AJ43" s="163" t="e">
        <f>VLOOKUP(AB43,Scores!$A$1:$D$157,2,FALSE)</f>
        <v>#N/A</v>
      </c>
      <c r="AK43" s="163" t="e">
        <f>VLOOKUP(AC43,Scores!$A$1:$D$157,2,FALSE)</f>
        <v>#N/A</v>
      </c>
      <c r="AL43" s="163" t="e">
        <f>VLOOKUP(AD43,Scores!$A$1:$D$157,2,FALSE)</f>
        <v>#N/A</v>
      </c>
      <c r="AM43" s="163" t="e">
        <f>VLOOKUP(AA43,Scores!$A$1:$D$157,3,FALSE)</f>
        <v>#N/A</v>
      </c>
      <c r="AN43" s="163" t="e">
        <f>VLOOKUP(AB43,Scores!$A$1:$D$157,3,FALSE)</f>
        <v>#N/A</v>
      </c>
      <c r="AO43" s="163" t="e">
        <f>VLOOKUP(AC43,Scores!$A$1:$D$157,3,FALSE)</f>
        <v>#N/A</v>
      </c>
      <c r="AP43" s="163" t="e">
        <f>VLOOKUP(AD43,Scores!$A$1:$D$157,3,FALSE)</f>
        <v>#N/A</v>
      </c>
      <c r="AQ43" s="163" t="str">
        <f t="shared" si="2"/>
        <v/>
      </c>
      <c r="AR43" s="163">
        <f t="shared" si="3"/>
        <v>0</v>
      </c>
      <c r="AS43" s="163">
        <f t="shared" si="4"/>
        <v>0</v>
      </c>
    </row>
    <row r="44" spans="1:45" x14ac:dyDescent="0.25">
      <c r="A44" s="195"/>
      <c r="B44" s="351" t="str">
        <f>IF(A44&lt;&gt;0,VLOOKUP(A44,Total!$B$5:$AZ$512,51,FALSE),"")</f>
        <v/>
      </c>
      <c r="C44" s="352"/>
      <c r="D44" s="144" t="str">
        <f>IF(A44&lt;&gt;"",(VLOOKUP(A44,Total!$B$5:$AL$512,2,FALSE)),"")</f>
        <v/>
      </c>
      <c r="E44" s="145" t="str">
        <f>IF(A44&lt;&gt;"",(VLOOKUP(A44,Total!$B$5:$AL$512,3,FALSE)),"")</f>
        <v/>
      </c>
      <c r="F44" s="145" t="str">
        <f>IF(A44&lt;&gt;"",(VLOOKUP(A44,Total!$B$5:$AL$512,12,FALSE)),"")</f>
        <v/>
      </c>
      <c r="G44" s="145" t="str">
        <f>IF(A44&lt;&gt;"",(VLOOKUP(A44,Total!$B$5:$AL$512,14,FALSE)),"")</f>
        <v/>
      </c>
      <c r="H44" s="145" t="str">
        <f>IF(A44&lt;&gt;"",(VLOOKUP(A44,Total!$B$5:$AL$512,8,FALSE)),"")</f>
        <v/>
      </c>
      <c r="I44" s="145" t="str">
        <f>IF(A44&lt;&gt;"",(VLOOKUP(A44,Total!$B$5:$AL$512,9,FALSE)),"")</f>
        <v/>
      </c>
      <c r="J44" s="145" t="str">
        <f>IF(A44&lt;&gt;"",(VLOOKUP(A44,Total!$B$5:$AL$512,10,FALSE)),"")</f>
        <v/>
      </c>
      <c r="K44" s="145" t="str">
        <f>IF(A44&lt;&gt;"",(VLOOKUP(A44,Total!$B$5:$AL$512,11,FALSE)),"")</f>
        <v/>
      </c>
      <c r="L44" s="175" t="str">
        <f>IF(A44&lt;&gt;"",(VLOOKUP(A44,Total!$B$5:$AL$512,15,FALSE)),"")</f>
        <v/>
      </c>
      <c r="M44" s="202">
        <f t="shared" si="0"/>
        <v>0</v>
      </c>
      <c r="N44" s="202">
        <f t="shared" si="1"/>
        <v>0</v>
      </c>
      <c r="O44" s="145" t="str">
        <f>IF(A44&lt;&gt;"",(VLOOKUP(A44,Total!$B$5:$AL$512,26,FALSE)),"")</f>
        <v/>
      </c>
      <c r="P44" s="145" t="str">
        <f>IF(A44&lt;&gt;"",(VLOOKUP(A44,Total!$B$5:$AL$512,27,FALSE)),"")</f>
        <v/>
      </c>
      <c r="Q44" s="145" t="str">
        <f>IF(A44&lt;&gt;"",(VLOOKUP(A44,Total!$B$5:$AL$512,28,FALSE)),"")</f>
        <v/>
      </c>
      <c r="R44" s="145" t="str">
        <f>IF(A44&lt;&gt;"",(VLOOKUP(A44,Total!$B$5:$AL$512,29,FALSE)),"")</f>
        <v/>
      </c>
      <c r="S44" s="145" t="str">
        <f>IF(A44&lt;&gt;"",(VLOOKUP(A44,Total!$B$5:$AL$512,30,FALSE)),"")</f>
        <v/>
      </c>
      <c r="T44" s="145" t="str">
        <f>IF(A44&lt;&gt;"",(VLOOKUP(A44,Total!$B$5:$AL$512,31,FALSE)),"")</f>
        <v/>
      </c>
      <c r="U44" s="145" t="str">
        <f>IF(A44&lt;&gt;"",(VLOOKUP(A44,Total!$B$5:$AL$512,32,FALSE)),"")</f>
        <v/>
      </c>
      <c r="V44" s="145" t="str">
        <f>IF(A44&lt;&gt;"",(VLOOKUP(A44,Total!$B$5:$AL$512,33,FALSE)),"")</f>
        <v/>
      </c>
      <c r="W44" s="145" t="str">
        <f>IF(A44&lt;&gt;"",(VLOOKUP(A44,Total!$B$5:$AL$512,36,FALSE)),"")</f>
        <v/>
      </c>
      <c r="X44" s="145" t="str">
        <f>IF(A44&lt;&gt;"",(VLOOKUP(A44,Total!$B$5:$AM$512,37,FALSE)),"")</f>
        <v/>
      </c>
      <c r="AA44" s="163" t="str">
        <f>IF(A44&lt;&gt;"",(VLOOKUP(A44,Total!$B$5:$AV$512,40,FALSE)),"")</f>
        <v/>
      </c>
      <c r="AB44" s="163" t="str">
        <f>IF(A44&lt;&gt;"",(VLOOKUP(A44,Total!$B$5:$AV$512,41,FALSE)),"")</f>
        <v/>
      </c>
      <c r="AC44" s="163" t="str">
        <f>IF(A44&lt;&gt;"",(VLOOKUP(A44,Total!$B$5:$AV$512,42,FALSE)),"")</f>
        <v/>
      </c>
      <c r="AD44" s="163" t="str">
        <f>IF(A44&lt;&gt;"",(VLOOKUP(A44,Total!$B$5:$AV$512,43,FALSE)),"")</f>
        <v/>
      </c>
      <c r="AE44" s="163" t="str">
        <f>IF(A44&lt;&gt;"",(VLOOKUP(A44,Total!$B$5:$AV$512,44,FALSE)),"")</f>
        <v/>
      </c>
      <c r="AF44" s="163" t="str">
        <f>IF(A44&lt;&gt;"",(VLOOKUP(A44,Total!$B$5:$AV$512,45,FALSE)),"")</f>
        <v/>
      </c>
      <c r="AG44" s="163" t="str">
        <f>IF(A44&lt;&gt;"",(VLOOKUP(A44,Total!$B$5:$AV$512,46,FALSE)),"")</f>
        <v/>
      </c>
      <c r="AH44" s="163" t="str">
        <f>IF(A44&lt;&gt;"",(VLOOKUP(A44,Total!$B$5:$AV$512,47,FALSE)),"")</f>
        <v/>
      </c>
      <c r="AI44" s="163" t="e">
        <f>VLOOKUP(AA44,Scores!$A$1:$D$157,2,FALSE)</f>
        <v>#N/A</v>
      </c>
      <c r="AJ44" s="163" t="e">
        <f>VLOOKUP(AB44,Scores!$A$1:$D$157,2,FALSE)</f>
        <v>#N/A</v>
      </c>
      <c r="AK44" s="163" t="e">
        <f>VLOOKUP(AC44,Scores!$A$1:$D$157,2,FALSE)</f>
        <v>#N/A</v>
      </c>
      <c r="AL44" s="163" t="e">
        <f>VLOOKUP(AD44,Scores!$A$1:$D$157,2,FALSE)</f>
        <v>#N/A</v>
      </c>
      <c r="AM44" s="163" t="e">
        <f>VLOOKUP(AA44,Scores!$A$1:$D$157,3,FALSE)</f>
        <v>#N/A</v>
      </c>
      <c r="AN44" s="163" t="e">
        <f>VLOOKUP(AB44,Scores!$A$1:$D$157,3,FALSE)</f>
        <v>#N/A</v>
      </c>
      <c r="AO44" s="163" t="e">
        <f>VLOOKUP(AC44,Scores!$A$1:$D$157,3,FALSE)</f>
        <v>#N/A</v>
      </c>
      <c r="AP44" s="163" t="e">
        <f>VLOOKUP(AD44,Scores!$A$1:$D$157,3,FALSE)</f>
        <v>#N/A</v>
      </c>
      <c r="AQ44" s="163" t="str">
        <f t="shared" si="2"/>
        <v/>
      </c>
      <c r="AR44" s="163">
        <f t="shared" si="3"/>
        <v>0</v>
      </c>
      <c r="AS44" s="163">
        <f t="shared" si="4"/>
        <v>0</v>
      </c>
    </row>
    <row r="45" spans="1:45" x14ac:dyDescent="0.25">
      <c r="A45" s="195"/>
      <c r="B45" s="351" t="str">
        <f>IF(A45&lt;&gt;0,VLOOKUP(A45,Total!$B$5:$AZ$512,51,FALSE),"")</f>
        <v/>
      </c>
      <c r="C45" s="352"/>
      <c r="D45" s="144" t="str">
        <f>IF(A45&lt;&gt;"",(VLOOKUP(A45,Total!$B$5:$AL$512,2,FALSE)),"")</f>
        <v/>
      </c>
      <c r="E45" s="145" t="str">
        <f>IF(A45&lt;&gt;"",(VLOOKUP(A45,Total!$B$5:$AL$512,3,FALSE)),"")</f>
        <v/>
      </c>
      <c r="F45" s="145" t="str">
        <f>IF(A45&lt;&gt;"",(VLOOKUP(A45,Total!$B$5:$AL$512,12,FALSE)),"")</f>
        <v/>
      </c>
      <c r="G45" s="145" t="str">
        <f>IF(A45&lt;&gt;"",(VLOOKUP(A45,Total!$B$5:$AL$512,14,FALSE)),"")</f>
        <v/>
      </c>
      <c r="H45" s="145" t="str">
        <f>IF(A45&lt;&gt;"",(VLOOKUP(A45,Total!$B$5:$AL$512,8,FALSE)),"")</f>
        <v/>
      </c>
      <c r="I45" s="145" t="str">
        <f>IF(A45&lt;&gt;"",(VLOOKUP(A45,Total!$B$5:$AL$512,9,FALSE)),"")</f>
        <v/>
      </c>
      <c r="J45" s="145" t="str">
        <f>IF(A45&lt;&gt;"",(VLOOKUP(A45,Total!$B$5:$AL$512,10,FALSE)),"")</f>
        <v/>
      </c>
      <c r="K45" s="145" t="str">
        <f>IF(A45&lt;&gt;"",(VLOOKUP(A45,Total!$B$5:$AL$512,11,FALSE)),"")</f>
        <v/>
      </c>
      <c r="L45" s="175" t="str">
        <f>IF(A45&lt;&gt;"",(VLOOKUP(A45,Total!$B$5:$AL$512,15,FALSE)),"")</f>
        <v/>
      </c>
      <c r="M45" s="202">
        <f t="shared" si="0"/>
        <v>0</v>
      </c>
      <c r="N45" s="202">
        <f t="shared" si="1"/>
        <v>0</v>
      </c>
      <c r="O45" s="145" t="str">
        <f>IF(A45&lt;&gt;"",(VLOOKUP(A45,Total!$B$5:$AL$512,26,FALSE)),"")</f>
        <v/>
      </c>
      <c r="P45" s="145" t="str">
        <f>IF(A45&lt;&gt;"",(VLOOKUP(A45,Total!$B$5:$AL$512,27,FALSE)),"")</f>
        <v/>
      </c>
      <c r="Q45" s="145" t="str">
        <f>IF(A45&lt;&gt;"",(VLOOKUP(A45,Total!$B$5:$AL$512,28,FALSE)),"")</f>
        <v/>
      </c>
      <c r="R45" s="145" t="str">
        <f>IF(A45&lt;&gt;"",(VLOOKUP(A45,Total!$B$5:$AL$512,29,FALSE)),"")</f>
        <v/>
      </c>
      <c r="S45" s="145" t="str">
        <f>IF(A45&lt;&gt;"",(VLOOKUP(A45,Total!$B$5:$AL$512,30,FALSE)),"")</f>
        <v/>
      </c>
      <c r="T45" s="145" t="str">
        <f>IF(A45&lt;&gt;"",(VLOOKUP(A45,Total!$B$5:$AL$512,31,FALSE)),"")</f>
        <v/>
      </c>
      <c r="U45" s="145" t="str">
        <f>IF(A45&lt;&gt;"",(VLOOKUP(A45,Total!$B$5:$AL$512,32,FALSE)),"")</f>
        <v/>
      </c>
      <c r="V45" s="145" t="str">
        <f>IF(A45&lt;&gt;"",(VLOOKUP(A45,Total!$B$5:$AL$512,33,FALSE)),"")</f>
        <v/>
      </c>
      <c r="W45" s="145" t="str">
        <f>IF(A45&lt;&gt;"",(VLOOKUP(A45,Total!$B$5:$AL$512,36,FALSE)),"")</f>
        <v/>
      </c>
      <c r="X45" s="145" t="str">
        <f>IF(A45&lt;&gt;"",(VLOOKUP(A45,Total!$B$5:$AM$512,37,FALSE)),"")</f>
        <v/>
      </c>
      <c r="AA45" s="163" t="str">
        <f>IF(A45&lt;&gt;"",(VLOOKUP(A45,Total!$B$5:$AV$512,40,FALSE)),"")</f>
        <v/>
      </c>
      <c r="AB45" s="163" t="str">
        <f>IF(A45&lt;&gt;"",(VLOOKUP(A45,Total!$B$5:$AV$512,41,FALSE)),"")</f>
        <v/>
      </c>
      <c r="AC45" s="163" t="str">
        <f>IF(A45&lt;&gt;"",(VLOOKUP(A45,Total!$B$5:$AV$512,42,FALSE)),"")</f>
        <v/>
      </c>
      <c r="AD45" s="163" t="str">
        <f>IF(A45&lt;&gt;"",(VLOOKUP(A45,Total!$B$5:$AV$512,43,FALSE)),"")</f>
        <v/>
      </c>
      <c r="AE45" s="163" t="str">
        <f>IF(A45&lt;&gt;"",(VLOOKUP(A45,Total!$B$5:$AV$512,44,FALSE)),"")</f>
        <v/>
      </c>
      <c r="AF45" s="163" t="str">
        <f>IF(A45&lt;&gt;"",(VLOOKUP(A45,Total!$B$5:$AV$512,45,FALSE)),"")</f>
        <v/>
      </c>
      <c r="AG45" s="163" t="str">
        <f>IF(A45&lt;&gt;"",(VLOOKUP(A45,Total!$B$5:$AV$512,46,FALSE)),"")</f>
        <v/>
      </c>
      <c r="AH45" s="163" t="str">
        <f>IF(A45&lt;&gt;"",(VLOOKUP(A45,Total!$B$5:$AV$512,47,FALSE)),"")</f>
        <v/>
      </c>
      <c r="AI45" s="163" t="e">
        <f>VLOOKUP(AA45,Scores!$A$1:$D$157,2,FALSE)</f>
        <v>#N/A</v>
      </c>
      <c r="AJ45" s="163" t="e">
        <f>VLOOKUP(AB45,Scores!$A$1:$D$157,2,FALSE)</f>
        <v>#N/A</v>
      </c>
      <c r="AK45" s="163" t="e">
        <f>VLOOKUP(AC45,Scores!$A$1:$D$157,2,FALSE)</f>
        <v>#N/A</v>
      </c>
      <c r="AL45" s="163" t="e">
        <f>VLOOKUP(AD45,Scores!$A$1:$D$157,2,FALSE)</f>
        <v>#N/A</v>
      </c>
      <c r="AM45" s="163" t="e">
        <f>VLOOKUP(AA45,Scores!$A$1:$D$157,3,FALSE)</f>
        <v>#N/A</v>
      </c>
      <c r="AN45" s="163" t="e">
        <f>VLOOKUP(AB45,Scores!$A$1:$D$157,3,FALSE)</f>
        <v>#N/A</v>
      </c>
      <c r="AO45" s="163" t="e">
        <f>VLOOKUP(AC45,Scores!$A$1:$D$157,3,FALSE)</f>
        <v>#N/A</v>
      </c>
      <c r="AP45" s="163" t="e">
        <f>VLOOKUP(AD45,Scores!$A$1:$D$157,3,FALSE)</f>
        <v>#N/A</v>
      </c>
      <c r="AQ45" s="163" t="str">
        <f t="shared" si="2"/>
        <v/>
      </c>
      <c r="AR45" s="163">
        <f t="shared" si="3"/>
        <v>0</v>
      </c>
      <c r="AS45" s="163">
        <f t="shared" si="4"/>
        <v>0</v>
      </c>
    </row>
    <row r="46" spans="1:45" x14ac:dyDescent="0.25">
      <c r="A46" s="195"/>
      <c r="B46" s="351" t="str">
        <f>IF(A46&lt;&gt;0,VLOOKUP(A46,Total!$B$5:$AZ$512,51,FALSE),"")</f>
        <v/>
      </c>
      <c r="C46" s="352"/>
      <c r="D46" s="144" t="str">
        <f>IF(A46&lt;&gt;"",(VLOOKUP(A46,Total!$B$5:$AL$512,2,FALSE)),"")</f>
        <v/>
      </c>
      <c r="E46" s="145" t="str">
        <f>IF(A46&lt;&gt;"",(VLOOKUP(A46,Total!$B$5:$AL$512,3,FALSE)),"")</f>
        <v/>
      </c>
      <c r="F46" s="145" t="str">
        <f>IF(A46&lt;&gt;"",(VLOOKUP(A46,Total!$B$5:$AL$512,12,FALSE)),"")</f>
        <v/>
      </c>
      <c r="G46" s="145" t="str">
        <f>IF(A46&lt;&gt;"",(VLOOKUP(A46,Total!$B$5:$AL$512,14,FALSE)),"")</f>
        <v/>
      </c>
      <c r="H46" s="145" t="str">
        <f>IF(A46&lt;&gt;"",(VLOOKUP(A46,Total!$B$5:$AL$512,8,FALSE)),"")</f>
        <v/>
      </c>
      <c r="I46" s="145" t="str">
        <f>IF(A46&lt;&gt;"",(VLOOKUP(A46,Total!$B$5:$AL$512,9,FALSE)),"")</f>
        <v/>
      </c>
      <c r="J46" s="145" t="str">
        <f>IF(A46&lt;&gt;"",(VLOOKUP(A46,Total!$B$5:$AL$512,10,FALSE)),"")</f>
        <v/>
      </c>
      <c r="K46" s="145" t="str">
        <f>IF(A46&lt;&gt;"",(VLOOKUP(A46,Total!$B$5:$AL$512,11,FALSE)),"")</f>
        <v/>
      </c>
      <c r="L46" s="175" t="str">
        <f>IF(A46&lt;&gt;"",(VLOOKUP(A46,Total!$B$5:$AL$512,15,FALSE)),"")</f>
        <v/>
      </c>
      <c r="M46" s="202">
        <f t="shared" si="0"/>
        <v>0</v>
      </c>
      <c r="N46" s="202">
        <f t="shared" si="1"/>
        <v>0</v>
      </c>
      <c r="O46" s="145" t="str">
        <f>IF(A46&lt;&gt;"",(VLOOKUP(A46,Total!$B$5:$AL$512,26,FALSE)),"")</f>
        <v/>
      </c>
      <c r="P46" s="145" t="str">
        <f>IF(A46&lt;&gt;"",(VLOOKUP(A46,Total!$B$5:$AL$512,27,FALSE)),"")</f>
        <v/>
      </c>
      <c r="Q46" s="145" t="str">
        <f>IF(A46&lt;&gt;"",(VLOOKUP(A46,Total!$B$5:$AL$512,28,FALSE)),"")</f>
        <v/>
      </c>
      <c r="R46" s="145" t="str">
        <f>IF(A46&lt;&gt;"",(VLOOKUP(A46,Total!$B$5:$AL$512,29,FALSE)),"")</f>
        <v/>
      </c>
      <c r="S46" s="145" t="str">
        <f>IF(A46&lt;&gt;"",(VLOOKUP(A46,Total!$B$5:$AL$512,30,FALSE)),"")</f>
        <v/>
      </c>
      <c r="T46" s="145" t="str">
        <f>IF(A46&lt;&gt;"",(VLOOKUP(A46,Total!$B$5:$AL$512,31,FALSE)),"")</f>
        <v/>
      </c>
      <c r="U46" s="145" t="str">
        <f>IF(A46&lt;&gt;"",(VLOOKUP(A46,Total!$B$5:$AL$512,32,FALSE)),"")</f>
        <v/>
      </c>
      <c r="V46" s="145" t="str">
        <f>IF(A46&lt;&gt;"",(VLOOKUP(A46,Total!$B$5:$AL$512,33,FALSE)),"")</f>
        <v/>
      </c>
      <c r="W46" s="145" t="str">
        <f>IF(A46&lt;&gt;"",(VLOOKUP(A46,Total!$B$5:$AL$512,36,FALSE)),"")</f>
        <v/>
      </c>
      <c r="X46" s="145" t="str">
        <f>IF(A46&lt;&gt;"",(VLOOKUP(A46,Total!$B$5:$AM$512,37,FALSE)),"")</f>
        <v/>
      </c>
      <c r="AA46" s="163" t="str">
        <f>IF(A46&lt;&gt;"",(VLOOKUP(A46,Total!$B$5:$AV$512,40,FALSE)),"")</f>
        <v/>
      </c>
      <c r="AB46" s="163" t="str">
        <f>IF(A46&lt;&gt;"",(VLOOKUP(A46,Total!$B$5:$AV$512,41,FALSE)),"")</f>
        <v/>
      </c>
      <c r="AC46" s="163" t="str">
        <f>IF(A46&lt;&gt;"",(VLOOKUP(A46,Total!$B$5:$AV$512,42,FALSE)),"")</f>
        <v/>
      </c>
      <c r="AD46" s="163" t="str">
        <f>IF(A46&lt;&gt;"",(VLOOKUP(A46,Total!$B$5:$AV$512,43,FALSE)),"")</f>
        <v/>
      </c>
      <c r="AE46" s="163" t="str">
        <f>IF(A46&lt;&gt;"",(VLOOKUP(A46,Total!$B$5:$AV$512,44,FALSE)),"")</f>
        <v/>
      </c>
      <c r="AF46" s="163" t="str">
        <f>IF(A46&lt;&gt;"",(VLOOKUP(A46,Total!$B$5:$AV$512,45,FALSE)),"")</f>
        <v/>
      </c>
      <c r="AG46" s="163" t="str">
        <f>IF(A46&lt;&gt;"",(VLOOKUP(A46,Total!$B$5:$AV$512,46,FALSE)),"")</f>
        <v/>
      </c>
      <c r="AH46" s="163" t="str">
        <f>IF(A46&lt;&gt;"",(VLOOKUP(A46,Total!$B$5:$AV$512,47,FALSE)),"")</f>
        <v/>
      </c>
      <c r="AI46" s="163" t="e">
        <f>VLOOKUP(AA46,Scores!$A$1:$D$157,2,FALSE)</f>
        <v>#N/A</v>
      </c>
      <c r="AJ46" s="163" t="e">
        <f>VLOOKUP(AB46,Scores!$A$1:$D$157,2,FALSE)</f>
        <v>#N/A</v>
      </c>
      <c r="AK46" s="163" t="e">
        <f>VLOOKUP(AC46,Scores!$A$1:$D$157,2,FALSE)</f>
        <v>#N/A</v>
      </c>
      <c r="AL46" s="163" t="e">
        <f>VLOOKUP(AD46,Scores!$A$1:$D$157,2,FALSE)</f>
        <v>#N/A</v>
      </c>
      <c r="AM46" s="163" t="e">
        <f>VLOOKUP(AA46,Scores!$A$1:$D$157,3,FALSE)</f>
        <v>#N/A</v>
      </c>
      <c r="AN46" s="163" t="e">
        <f>VLOOKUP(AB46,Scores!$A$1:$D$157,3,FALSE)</f>
        <v>#N/A</v>
      </c>
      <c r="AO46" s="163" t="e">
        <f>VLOOKUP(AC46,Scores!$A$1:$D$157,3,FALSE)</f>
        <v>#N/A</v>
      </c>
      <c r="AP46" s="163" t="e">
        <f>VLOOKUP(AD46,Scores!$A$1:$D$157,3,FALSE)</f>
        <v>#N/A</v>
      </c>
      <c r="AQ46" s="163" t="str">
        <f t="shared" si="2"/>
        <v/>
      </c>
      <c r="AR46" s="163">
        <f t="shared" si="3"/>
        <v>0</v>
      </c>
      <c r="AS46" s="163">
        <f t="shared" si="4"/>
        <v>0</v>
      </c>
    </row>
    <row r="47" spans="1:45" x14ac:dyDescent="0.25">
      <c r="A47" s="195"/>
      <c r="B47" s="351" t="str">
        <f>IF(A47&lt;&gt;0,VLOOKUP(A47,Total!$B$5:$AZ$512,51,FALSE),"")</f>
        <v/>
      </c>
      <c r="C47" s="352"/>
      <c r="D47" s="144" t="str">
        <f>IF(A47&lt;&gt;"",(VLOOKUP(A47,Total!$B$5:$AL$512,2,FALSE)),"")</f>
        <v/>
      </c>
      <c r="E47" s="145" t="str">
        <f>IF(A47&lt;&gt;"",(VLOOKUP(A47,Total!$B$5:$AL$512,3,FALSE)),"")</f>
        <v/>
      </c>
      <c r="F47" s="145" t="str">
        <f>IF(A47&lt;&gt;"",(VLOOKUP(A47,Total!$B$5:$AL$512,12,FALSE)),"")</f>
        <v/>
      </c>
      <c r="G47" s="145" t="str">
        <f>IF(A47&lt;&gt;"",(VLOOKUP(A47,Total!$B$5:$AL$512,14,FALSE)),"")</f>
        <v/>
      </c>
      <c r="H47" s="145" t="str">
        <f>IF(A47&lt;&gt;"",(VLOOKUP(A47,Total!$B$5:$AL$512,8,FALSE)),"")</f>
        <v/>
      </c>
      <c r="I47" s="145" t="str">
        <f>IF(A47&lt;&gt;"",(VLOOKUP(A47,Total!$B$5:$AL$512,9,FALSE)),"")</f>
        <v/>
      </c>
      <c r="J47" s="145" t="str">
        <f>IF(A47&lt;&gt;"",(VLOOKUP(A47,Total!$B$5:$AL$512,10,FALSE)),"")</f>
        <v/>
      </c>
      <c r="K47" s="145" t="str">
        <f>IF(A47&lt;&gt;"",(VLOOKUP(A47,Total!$B$5:$AL$512,11,FALSE)),"")</f>
        <v/>
      </c>
      <c r="L47" s="175" t="str">
        <f>IF(A47&lt;&gt;"",(VLOOKUP(A47,Total!$B$5:$AL$512,15,FALSE)),"")</f>
        <v/>
      </c>
      <c r="M47" s="202">
        <f t="shared" si="0"/>
        <v>0</v>
      </c>
      <c r="N47" s="202">
        <f t="shared" si="1"/>
        <v>0</v>
      </c>
      <c r="O47" s="145" t="str">
        <f>IF(A47&lt;&gt;"",(VLOOKUP(A47,Total!$B$5:$AL$512,26,FALSE)),"")</f>
        <v/>
      </c>
      <c r="P47" s="145" t="str">
        <f>IF(A47&lt;&gt;"",(VLOOKUP(A47,Total!$B$5:$AL$512,27,FALSE)),"")</f>
        <v/>
      </c>
      <c r="Q47" s="145" t="str">
        <f>IF(A47&lt;&gt;"",(VLOOKUP(A47,Total!$B$5:$AL$512,28,FALSE)),"")</f>
        <v/>
      </c>
      <c r="R47" s="145" t="str">
        <f>IF(A47&lt;&gt;"",(VLOOKUP(A47,Total!$B$5:$AL$512,29,FALSE)),"")</f>
        <v/>
      </c>
      <c r="S47" s="145" t="str">
        <f>IF(A47&lt;&gt;"",(VLOOKUP(A47,Total!$B$5:$AL$512,30,FALSE)),"")</f>
        <v/>
      </c>
      <c r="T47" s="145" t="str">
        <f>IF(A47&lt;&gt;"",(VLOOKUP(A47,Total!$B$5:$AL$512,31,FALSE)),"")</f>
        <v/>
      </c>
      <c r="U47" s="145" t="str">
        <f>IF(A47&lt;&gt;"",(VLOOKUP(A47,Total!$B$5:$AL$512,32,FALSE)),"")</f>
        <v/>
      </c>
      <c r="V47" s="145" t="str">
        <f>IF(A47&lt;&gt;"",(VLOOKUP(A47,Total!$B$5:$AL$512,33,FALSE)),"")</f>
        <v/>
      </c>
      <c r="W47" s="145" t="str">
        <f>IF(A47&lt;&gt;"",(VLOOKUP(A47,Total!$B$5:$AL$512,36,FALSE)),"")</f>
        <v/>
      </c>
      <c r="X47" s="145" t="str">
        <f>IF(A47&lt;&gt;"",(VLOOKUP(A47,Total!$B$5:$AM$512,37,FALSE)),"")</f>
        <v/>
      </c>
      <c r="AA47" s="163" t="str">
        <f>IF(A47&lt;&gt;"",(VLOOKUP(A47,Total!$B$5:$AV$512,40,FALSE)),"")</f>
        <v/>
      </c>
      <c r="AB47" s="163" t="str">
        <f>IF(A47&lt;&gt;"",(VLOOKUP(A47,Total!$B$5:$AV$512,41,FALSE)),"")</f>
        <v/>
      </c>
      <c r="AC47" s="163" t="str">
        <f>IF(A47&lt;&gt;"",(VLOOKUP(A47,Total!$B$5:$AV$512,42,FALSE)),"")</f>
        <v/>
      </c>
      <c r="AD47" s="163" t="str">
        <f>IF(A47&lt;&gt;"",(VLOOKUP(A47,Total!$B$5:$AV$512,43,FALSE)),"")</f>
        <v/>
      </c>
      <c r="AE47" s="163" t="str">
        <f>IF(A47&lt;&gt;"",(VLOOKUP(A47,Total!$B$5:$AV$512,44,FALSE)),"")</f>
        <v/>
      </c>
      <c r="AF47" s="163" t="str">
        <f>IF(A47&lt;&gt;"",(VLOOKUP(A47,Total!$B$5:$AV$512,45,FALSE)),"")</f>
        <v/>
      </c>
      <c r="AG47" s="163" t="str">
        <f>IF(A47&lt;&gt;"",(VLOOKUP(A47,Total!$B$5:$AV$512,46,FALSE)),"")</f>
        <v/>
      </c>
      <c r="AH47" s="163" t="str">
        <f>IF(A47&lt;&gt;"",(VLOOKUP(A47,Total!$B$5:$AV$512,47,FALSE)),"")</f>
        <v/>
      </c>
      <c r="AI47" s="163" t="e">
        <f>VLOOKUP(AA47,Scores!$A$1:$D$157,2,FALSE)</f>
        <v>#N/A</v>
      </c>
      <c r="AJ47" s="163" t="e">
        <f>VLOOKUP(AB47,Scores!$A$1:$D$157,2,FALSE)</f>
        <v>#N/A</v>
      </c>
      <c r="AK47" s="163" t="e">
        <f>VLOOKUP(AC47,Scores!$A$1:$D$157,2,FALSE)</f>
        <v>#N/A</v>
      </c>
      <c r="AL47" s="163" t="e">
        <f>VLOOKUP(AD47,Scores!$A$1:$D$157,2,FALSE)</f>
        <v>#N/A</v>
      </c>
      <c r="AM47" s="163" t="e">
        <f>VLOOKUP(AA47,Scores!$A$1:$D$157,3,FALSE)</f>
        <v>#N/A</v>
      </c>
      <c r="AN47" s="163" t="e">
        <f>VLOOKUP(AB47,Scores!$A$1:$D$157,3,FALSE)</f>
        <v>#N/A</v>
      </c>
      <c r="AO47" s="163" t="e">
        <f>VLOOKUP(AC47,Scores!$A$1:$D$157,3,FALSE)</f>
        <v>#N/A</v>
      </c>
      <c r="AP47" s="163" t="e">
        <f>VLOOKUP(AD47,Scores!$A$1:$D$157,3,FALSE)</f>
        <v>#N/A</v>
      </c>
      <c r="AQ47" s="163" t="str">
        <f t="shared" si="2"/>
        <v/>
      </c>
      <c r="AR47" s="163">
        <f t="shared" si="3"/>
        <v>0</v>
      </c>
      <c r="AS47" s="163">
        <f t="shared" si="4"/>
        <v>0</v>
      </c>
    </row>
    <row r="48" spans="1:45" x14ac:dyDescent="0.25">
      <c r="A48" s="195"/>
      <c r="B48" s="351" t="str">
        <f>IF(A48&lt;&gt;0,VLOOKUP(A48,Total!$B$5:$AZ$512,51,FALSE),"")</f>
        <v/>
      </c>
      <c r="C48" s="352"/>
      <c r="D48" s="144" t="str">
        <f>IF(A48&lt;&gt;"",(VLOOKUP(A48,Total!$B$5:$AL$512,2,FALSE)),"")</f>
        <v/>
      </c>
      <c r="E48" s="145" t="str">
        <f>IF(A48&lt;&gt;"",(VLOOKUP(A48,Total!$B$5:$AL$512,3,FALSE)),"")</f>
        <v/>
      </c>
      <c r="F48" s="145" t="str">
        <f>IF(A48&lt;&gt;"",(VLOOKUP(A48,Total!$B$5:$AL$512,12,FALSE)),"")</f>
        <v/>
      </c>
      <c r="G48" s="145" t="str">
        <f>IF(A48&lt;&gt;"",(VLOOKUP(A48,Total!$B$5:$AL$512,14,FALSE)),"")</f>
        <v/>
      </c>
      <c r="H48" s="145" t="str">
        <f>IF(A48&lt;&gt;"",(VLOOKUP(A48,Total!$B$5:$AL$512,8,FALSE)),"")</f>
        <v/>
      </c>
      <c r="I48" s="145" t="str">
        <f>IF(A48&lt;&gt;"",(VLOOKUP(A48,Total!$B$5:$AL$512,9,FALSE)),"")</f>
        <v/>
      </c>
      <c r="J48" s="145" t="str">
        <f>IF(A48&lt;&gt;"",(VLOOKUP(A48,Total!$B$5:$AL$512,10,FALSE)),"")</f>
        <v/>
      </c>
      <c r="K48" s="145" t="str">
        <f>IF(A48&lt;&gt;"",(VLOOKUP(A48,Total!$B$5:$AL$512,11,FALSE)),"")</f>
        <v/>
      </c>
      <c r="L48" s="175" t="str">
        <f>IF(A48&lt;&gt;"",(VLOOKUP(A48,Total!$B$5:$AL$512,15,FALSE)),"")</f>
        <v/>
      </c>
      <c r="M48" s="202">
        <f t="shared" si="0"/>
        <v>0</v>
      </c>
      <c r="N48" s="202">
        <f t="shared" si="1"/>
        <v>0</v>
      </c>
      <c r="O48" s="145" t="str">
        <f>IF(A48&lt;&gt;"",(VLOOKUP(A48,Total!$B$5:$AL$512,26,FALSE)),"")</f>
        <v/>
      </c>
      <c r="P48" s="145" t="str">
        <f>IF(A48&lt;&gt;"",(VLOOKUP(A48,Total!$B$5:$AL$512,27,FALSE)),"")</f>
        <v/>
      </c>
      <c r="Q48" s="145" t="str">
        <f>IF(A48&lt;&gt;"",(VLOOKUP(A48,Total!$B$5:$AL$512,28,FALSE)),"")</f>
        <v/>
      </c>
      <c r="R48" s="145" t="str">
        <f>IF(A48&lt;&gt;"",(VLOOKUP(A48,Total!$B$5:$AL$512,29,FALSE)),"")</f>
        <v/>
      </c>
      <c r="S48" s="145" t="str">
        <f>IF(A48&lt;&gt;"",(VLOOKUP(A48,Total!$B$5:$AL$512,30,FALSE)),"")</f>
        <v/>
      </c>
      <c r="T48" s="145" t="str">
        <f>IF(A48&lt;&gt;"",(VLOOKUP(A48,Total!$B$5:$AL$512,31,FALSE)),"")</f>
        <v/>
      </c>
      <c r="U48" s="145" t="str">
        <f>IF(A48&lt;&gt;"",(VLOOKUP(A48,Total!$B$5:$AL$512,32,FALSE)),"")</f>
        <v/>
      </c>
      <c r="V48" s="145" t="str">
        <f>IF(A48&lt;&gt;"",(VLOOKUP(A48,Total!$B$5:$AL$512,33,FALSE)),"")</f>
        <v/>
      </c>
      <c r="W48" s="145" t="str">
        <f>IF(A48&lt;&gt;"",(VLOOKUP(A48,Total!$B$5:$AL$512,36,FALSE)),"")</f>
        <v/>
      </c>
      <c r="X48" s="145" t="str">
        <f>IF(A48&lt;&gt;"",(VLOOKUP(A48,Total!$B$5:$AM$512,37,FALSE)),"")</f>
        <v/>
      </c>
      <c r="AA48" s="163" t="str">
        <f>IF(A48&lt;&gt;"",(VLOOKUP(A48,Total!$B$5:$AV$512,40,FALSE)),"")</f>
        <v/>
      </c>
      <c r="AB48" s="163" t="str">
        <f>IF(A48&lt;&gt;"",(VLOOKUP(A48,Total!$B$5:$AV$512,41,FALSE)),"")</f>
        <v/>
      </c>
      <c r="AC48" s="163" t="str">
        <f>IF(A48&lt;&gt;"",(VLOOKUP(A48,Total!$B$5:$AV$512,42,FALSE)),"")</f>
        <v/>
      </c>
      <c r="AD48" s="163" t="str">
        <f>IF(A48&lt;&gt;"",(VLOOKUP(A48,Total!$B$5:$AV$512,43,FALSE)),"")</f>
        <v/>
      </c>
      <c r="AE48" s="163" t="str">
        <f>IF(A48&lt;&gt;"",(VLOOKUP(A48,Total!$B$5:$AV$512,44,FALSE)),"")</f>
        <v/>
      </c>
      <c r="AF48" s="163" t="str">
        <f>IF(A48&lt;&gt;"",(VLOOKUP(A48,Total!$B$5:$AV$512,45,FALSE)),"")</f>
        <v/>
      </c>
      <c r="AG48" s="163" t="str">
        <f>IF(A48&lt;&gt;"",(VLOOKUP(A48,Total!$B$5:$AV$512,46,FALSE)),"")</f>
        <v/>
      </c>
      <c r="AH48" s="163" t="str">
        <f>IF(A48&lt;&gt;"",(VLOOKUP(A48,Total!$B$5:$AV$512,47,FALSE)),"")</f>
        <v/>
      </c>
      <c r="AI48" s="163" t="e">
        <f>VLOOKUP(AA48,Scores!$A$1:$D$157,2,FALSE)</f>
        <v>#N/A</v>
      </c>
      <c r="AJ48" s="163" t="e">
        <f>VLOOKUP(AB48,Scores!$A$1:$D$157,2,FALSE)</f>
        <v>#N/A</v>
      </c>
      <c r="AK48" s="163" t="e">
        <f>VLOOKUP(AC48,Scores!$A$1:$D$157,2,FALSE)</f>
        <v>#N/A</v>
      </c>
      <c r="AL48" s="163" t="e">
        <f>VLOOKUP(AD48,Scores!$A$1:$D$157,2,FALSE)</f>
        <v>#N/A</v>
      </c>
      <c r="AM48" s="163" t="e">
        <f>VLOOKUP(AA48,Scores!$A$1:$D$157,3,FALSE)</f>
        <v>#N/A</v>
      </c>
      <c r="AN48" s="163" t="e">
        <f>VLOOKUP(AB48,Scores!$A$1:$D$157,3,FALSE)</f>
        <v>#N/A</v>
      </c>
      <c r="AO48" s="163" t="e">
        <f>VLOOKUP(AC48,Scores!$A$1:$D$157,3,FALSE)</f>
        <v>#N/A</v>
      </c>
      <c r="AP48" s="163" t="e">
        <f>VLOOKUP(AD48,Scores!$A$1:$D$157,3,FALSE)</f>
        <v>#N/A</v>
      </c>
      <c r="AQ48" s="163" t="str">
        <f t="shared" si="2"/>
        <v/>
      </c>
      <c r="AR48" s="163">
        <f t="shared" si="3"/>
        <v>0</v>
      </c>
      <c r="AS48" s="163">
        <f t="shared" si="4"/>
        <v>0</v>
      </c>
    </row>
    <row r="49" spans="1:45" x14ac:dyDescent="0.25">
      <c r="A49" s="195"/>
      <c r="B49" s="351" t="str">
        <f>IF(A49&lt;&gt;0,VLOOKUP(A49,Total!$B$5:$AZ$512,51,FALSE),"")</f>
        <v/>
      </c>
      <c r="C49" s="352"/>
      <c r="D49" s="144" t="str">
        <f>IF(A49&lt;&gt;"",(VLOOKUP(A49,Total!$B$5:$AL$512,2,FALSE)),"")</f>
        <v/>
      </c>
      <c r="E49" s="145" t="str">
        <f>IF(A49&lt;&gt;"",(VLOOKUP(A49,Total!$B$5:$AL$512,3,FALSE)),"")</f>
        <v/>
      </c>
      <c r="F49" s="145" t="str">
        <f>IF(A49&lt;&gt;"",(VLOOKUP(A49,Total!$B$5:$AL$512,12,FALSE)),"")</f>
        <v/>
      </c>
      <c r="G49" s="145" t="str">
        <f>IF(A49&lt;&gt;"",(VLOOKUP(A49,Total!$B$5:$AL$512,14,FALSE)),"")</f>
        <v/>
      </c>
      <c r="H49" s="145" t="str">
        <f>IF(A49&lt;&gt;"",(VLOOKUP(A49,Total!$B$5:$AL$512,8,FALSE)),"")</f>
        <v/>
      </c>
      <c r="I49" s="145" t="str">
        <f>IF(A49&lt;&gt;"",(VLOOKUP(A49,Total!$B$5:$AL$512,9,FALSE)),"")</f>
        <v/>
      </c>
      <c r="J49" s="145" t="str">
        <f>IF(A49&lt;&gt;"",(VLOOKUP(A49,Total!$B$5:$AL$512,10,FALSE)),"")</f>
        <v/>
      </c>
      <c r="K49" s="145" t="str">
        <f>IF(A49&lt;&gt;"",(VLOOKUP(A49,Total!$B$5:$AL$512,11,FALSE)),"")</f>
        <v/>
      </c>
      <c r="L49" s="175" t="str">
        <f>IF(A49&lt;&gt;"",(VLOOKUP(A49,Total!$B$5:$AL$512,15,FALSE)),"")</f>
        <v/>
      </c>
      <c r="M49" s="202">
        <f t="shared" si="0"/>
        <v>0</v>
      </c>
      <c r="N49" s="202">
        <f t="shared" si="1"/>
        <v>0</v>
      </c>
      <c r="O49" s="145" t="str">
        <f>IF(A49&lt;&gt;"",(VLOOKUP(A49,Total!$B$5:$AL$512,26,FALSE)),"")</f>
        <v/>
      </c>
      <c r="P49" s="145" t="str">
        <f>IF(A49&lt;&gt;"",(VLOOKUP(A49,Total!$B$5:$AL$512,27,FALSE)),"")</f>
        <v/>
      </c>
      <c r="Q49" s="145" t="str">
        <f>IF(A49&lt;&gt;"",(VLOOKUP(A49,Total!$B$5:$AL$512,28,FALSE)),"")</f>
        <v/>
      </c>
      <c r="R49" s="145" t="str">
        <f>IF(A49&lt;&gt;"",(VLOOKUP(A49,Total!$B$5:$AL$512,29,FALSE)),"")</f>
        <v/>
      </c>
      <c r="S49" s="145" t="str">
        <f>IF(A49&lt;&gt;"",(VLOOKUP(A49,Total!$B$5:$AL$512,30,FALSE)),"")</f>
        <v/>
      </c>
      <c r="T49" s="145" t="str">
        <f>IF(A49&lt;&gt;"",(VLOOKUP(A49,Total!$B$5:$AL$512,31,FALSE)),"")</f>
        <v/>
      </c>
      <c r="U49" s="145" t="str">
        <f>IF(A49&lt;&gt;"",(VLOOKUP(A49,Total!$B$5:$AL$512,32,FALSE)),"")</f>
        <v/>
      </c>
      <c r="V49" s="145" t="str">
        <f>IF(A49&lt;&gt;"",(VLOOKUP(A49,Total!$B$5:$AL$512,33,FALSE)),"")</f>
        <v/>
      </c>
      <c r="W49" s="145" t="str">
        <f>IF(A49&lt;&gt;"",(VLOOKUP(A49,Total!$B$5:$AL$512,36,FALSE)),"")</f>
        <v/>
      </c>
      <c r="X49" s="145" t="str">
        <f>IF(A49&lt;&gt;"",(VLOOKUP(A49,Total!$B$5:$AM$512,37,FALSE)),"")</f>
        <v/>
      </c>
      <c r="AA49" s="163" t="str">
        <f>IF(A49&lt;&gt;"",(VLOOKUP(A49,Total!$B$5:$AV$512,40,FALSE)),"")</f>
        <v/>
      </c>
      <c r="AB49" s="163" t="str">
        <f>IF(A49&lt;&gt;"",(VLOOKUP(A49,Total!$B$5:$AV$512,41,FALSE)),"")</f>
        <v/>
      </c>
      <c r="AC49" s="163" t="str">
        <f>IF(A49&lt;&gt;"",(VLOOKUP(A49,Total!$B$5:$AV$512,42,FALSE)),"")</f>
        <v/>
      </c>
      <c r="AD49" s="163" t="str">
        <f>IF(A49&lt;&gt;"",(VLOOKUP(A49,Total!$B$5:$AV$512,43,FALSE)),"")</f>
        <v/>
      </c>
      <c r="AE49" s="163" t="str">
        <f>IF(A49&lt;&gt;"",(VLOOKUP(A49,Total!$B$5:$AV$512,44,FALSE)),"")</f>
        <v/>
      </c>
      <c r="AF49" s="163" t="str">
        <f>IF(A49&lt;&gt;"",(VLOOKUP(A49,Total!$B$5:$AV$512,45,FALSE)),"")</f>
        <v/>
      </c>
      <c r="AG49" s="163" t="str">
        <f>IF(A49&lt;&gt;"",(VLOOKUP(A49,Total!$B$5:$AV$512,46,FALSE)),"")</f>
        <v/>
      </c>
      <c r="AH49" s="163" t="str">
        <f>IF(A49&lt;&gt;"",(VLOOKUP(A49,Total!$B$5:$AV$512,47,FALSE)),"")</f>
        <v/>
      </c>
      <c r="AI49" s="163" t="e">
        <f>VLOOKUP(AA49,Scores!$A$1:$D$157,2,FALSE)</f>
        <v>#N/A</v>
      </c>
      <c r="AJ49" s="163" t="e">
        <f>VLOOKUP(AB49,Scores!$A$1:$D$157,2,FALSE)</f>
        <v>#N/A</v>
      </c>
      <c r="AK49" s="163" t="e">
        <f>VLOOKUP(AC49,Scores!$A$1:$D$157,2,FALSE)</f>
        <v>#N/A</v>
      </c>
      <c r="AL49" s="163" t="e">
        <f>VLOOKUP(AD49,Scores!$A$1:$D$157,2,FALSE)</f>
        <v>#N/A</v>
      </c>
      <c r="AM49" s="163" t="e">
        <f>VLOOKUP(AA49,Scores!$A$1:$D$157,3,FALSE)</f>
        <v>#N/A</v>
      </c>
      <c r="AN49" s="163" t="e">
        <f>VLOOKUP(AB49,Scores!$A$1:$D$157,3,FALSE)</f>
        <v>#N/A</v>
      </c>
      <c r="AO49" s="163" t="e">
        <f>VLOOKUP(AC49,Scores!$A$1:$D$157,3,FALSE)</f>
        <v>#N/A</v>
      </c>
      <c r="AP49" s="163" t="e">
        <f>VLOOKUP(AD49,Scores!$A$1:$D$157,3,FALSE)</f>
        <v>#N/A</v>
      </c>
      <c r="AQ49" s="163" t="str">
        <f t="shared" si="2"/>
        <v/>
      </c>
      <c r="AR49" s="163">
        <f t="shared" si="3"/>
        <v>0</v>
      </c>
      <c r="AS49" s="163">
        <f t="shared" si="4"/>
        <v>0</v>
      </c>
    </row>
    <row r="50" spans="1:45" x14ac:dyDescent="0.25">
      <c r="A50" s="195"/>
      <c r="B50" s="351" t="str">
        <f>IF(A50&lt;&gt;0,VLOOKUP(A50,Total!$B$5:$AZ$512,51,FALSE),"")</f>
        <v/>
      </c>
      <c r="C50" s="352"/>
      <c r="D50" s="144" t="str">
        <f>IF(A50&lt;&gt;"",(VLOOKUP(A50,Total!$B$5:$AL$512,2,FALSE)),"")</f>
        <v/>
      </c>
      <c r="E50" s="145" t="str">
        <f>IF(A50&lt;&gt;"",(VLOOKUP(A50,Total!$B$5:$AL$512,3,FALSE)),"")</f>
        <v/>
      </c>
      <c r="F50" s="145" t="str">
        <f>IF(A50&lt;&gt;"",(VLOOKUP(A50,Total!$B$5:$AL$512,12,FALSE)),"")</f>
        <v/>
      </c>
      <c r="G50" s="145" t="str">
        <f>IF(A50&lt;&gt;"",(VLOOKUP(A50,Total!$B$5:$AL$512,14,FALSE)),"")</f>
        <v/>
      </c>
      <c r="H50" s="145" t="str">
        <f>IF(A50&lt;&gt;"",(VLOOKUP(A50,Total!$B$5:$AL$512,8,FALSE)),"")</f>
        <v/>
      </c>
      <c r="I50" s="145" t="str">
        <f>IF(A50&lt;&gt;"",(VLOOKUP(A50,Total!$B$5:$AL$512,9,FALSE)),"")</f>
        <v/>
      </c>
      <c r="J50" s="145" t="str">
        <f>IF(A50&lt;&gt;"",(VLOOKUP(A50,Total!$B$5:$AL$512,10,FALSE)),"")</f>
        <v/>
      </c>
      <c r="K50" s="145" t="str">
        <f>IF(A50&lt;&gt;"",(VLOOKUP(A50,Total!$B$5:$AL$512,11,FALSE)),"")</f>
        <v/>
      </c>
      <c r="L50" s="175" t="str">
        <f>IF(A50&lt;&gt;"",(VLOOKUP(A50,Total!$B$5:$AL$512,15,FALSE)),"")</f>
        <v/>
      </c>
      <c r="M50" s="202">
        <f t="shared" si="0"/>
        <v>0</v>
      </c>
      <c r="N50" s="202">
        <f t="shared" si="1"/>
        <v>0</v>
      </c>
      <c r="O50" s="145" t="str">
        <f>IF(A50&lt;&gt;"",(VLOOKUP(A50,Total!$B$5:$AL$512,26,FALSE)),"")</f>
        <v/>
      </c>
      <c r="P50" s="145" t="str">
        <f>IF(A50&lt;&gt;"",(VLOOKUP(A50,Total!$B$5:$AL$512,27,FALSE)),"")</f>
        <v/>
      </c>
      <c r="Q50" s="145" t="str">
        <f>IF(A50&lt;&gt;"",(VLOOKUP(A50,Total!$B$5:$AL$512,28,FALSE)),"")</f>
        <v/>
      </c>
      <c r="R50" s="145" t="str">
        <f>IF(A50&lt;&gt;"",(VLOOKUP(A50,Total!$B$5:$AL$512,29,FALSE)),"")</f>
        <v/>
      </c>
      <c r="S50" s="145" t="str">
        <f>IF(A50&lt;&gt;"",(VLOOKUP(A50,Total!$B$5:$AL$512,30,FALSE)),"")</f>
        <v/>
      </c>
      <c r="T50" s="145" t="str">
        <f>IF(A50&lt;&gt;"",(VLOOKUP(A50,Total!$B$5:$AL$512,31,FALSE)),"")</f>
        <v/>
      </c>
      <c r="U50" s="145" t="str">
        <f>IF(A50&lt;&gt;"",(VLOOKUP(A50,Total!$B$5:$AL$512,32,FALSE)),"")</f>
        <v/>
      </c>
      <c r="V50" s="145" t="str">
        <f>IF(A50&lt;&gt;"",(VLOOKUP(A50,Total!$B$5:$AL$512,33,FALSE)),"")</f>
        <v/>
      </c>
      <c r="W50" s="145" t="str">
        <f>IF(A50&lt;&gt;"",(VLOOKUP(A50,Total!$B$5:$AL$512,36,FALSE)),"")</f>
        <v/>
      </c>
      <c r="X50" s="145" t="str">
        <f>IF(A50&lt;&gt;"",(VLOOKUP(A50,Total!$B$5:$AM$512,37,FALSE)),"")</f>
        <v/>
      </c>
      <c r="AA50" s="163" t="str">
        <f>IF(A50&lt;&gt;"",(VLOOKUP(A50,Total!$B$5:$AV$512,40,FALSE)),"")</f>
        <v/>
      </c>
      <c r="AB50" s="163" t="str">
        <f>IF(A50&lt;&gt;"",(VLOOKUP(A50,Total!$B$5:$AV$512,41,FALSE)),"")</f>
        <v/>
      </c>
      <c r="AC50" s="163" t="str">
        <f>IF(A50&lt;&gt;"",(VLOOKUP(A50,Total!$B$5:$AV$512,42,FALSE)),"")</f>
        <v/>
      </c>
      <c r="AD50" s="163" t="str">
        <f>IF(A50&lt;&gt;"",(VLOOKUP(A50,Total!$B$5:$AV$512,43,FALSE)),"")</f>
        <v/>
      </c>
      <c r="AE50" s="163" t="str">
        <f>IF(A50&lt;&gt;"",(VLOOKUP(A50,Total!$B$5:$AV$512,44,FALSE)),"")</f>
        <v/>
      </c>
      <c r="AF50" s="163" t="str">
        <f>IF(A50&lt;&gt;"",(VLOOKUP(A50,Total!$B$5:$AV$512,45,FALSE)),"")</f>
        <v/>
      </c>
      <c r="AG50" s="163" t="str">
        <f>IF(A50&lt;&gt;"",(VLOOKUP(A50,Total!$B$5:$AV$512,46,FALSE)),"")</f>
        <v/>
      </c>
      <c r="AH50" s="163" t="str">
        <f>IF(A50&lt;&gt;"",(VLOOKUP(A50,Total!$B$5:$AV$512,47,FALSE)),"")</f>
        <v/>
      </c>
      <c r="AI50" s="163" t="e">
        <f>VLOOKUP(AA50,Scores!$A$1:$D$157,2,FALSE)</f>
        <v>#N/A</v>
      </c>
      <c r="AJ50" s="163" t="e">
        <f>VLOOKUP(AB50,Scores!$A$1:$D$157,2,FALSE)</f>
        <v>#N/A</v>
      </c>
      <c r="AK50" s="163" t="e">
        <f>VLOOKUP(AC50,Scores!$A$1:$D$157,2,FALSE)</f>
        <v>#N/A</v>
      </c>
      <c r="AL50" s="163" t="e">
        <f>VLOOKUP(AD50,Scores!$A$1:$D$157,2,FALSE)</f>
        <v>#N/A</v>
      </c>
      <c r="AM50" s="163" t="e">
        <f>VLOOKUP(AA50,Scores!$A$1:$D$157,3,FALSE)</f>
        <v>#N/A</v>
      </c>
      <c r="AN50" s="163" t="e">
        <f>VLOOKUP(AB50,Scores!$A$1:$D$157,3,FALSE)</f>
        <v>#N/A</v>
      </c>
      <c r="AO50" s="163" t="e">
        <f>VLOOKUP(AC50,Scores!$A$1:$D$157,3,FALSE)</f>
        <v>#N/A</v>
      </c>
      <c r="AP50" s="163" t="e">
        <f>VLOOKUP(AD50,Scores!$A$1:$D$157,3,FALSE)</f>
        <v>#N/A</v>
      </c>
      <c r="AQ50" s="163" t="str">
        <f t="shared" si="2"/>
        <v/>
      </c>
      <c r="AR50" s="163">
        <f t="shared" si="3"/>
        <v>0</v>
      </c>
      <c r="AS50" s="163">
        <f t="shared" si="4"/>
        <v>0</v>
      </c>
    </row>
    <row r="51" spans="1:45" x14ac:dyDescent="0.25">
      <c r="A51" s="195"/>
      <c r="B51" s="351" t="str">
        <f>IF(A51&lt;&gt;0,VLOOKUP(A51,Total!$B$5:$AZ$512,51,FALSE),"")</f>
        <v/>
      </c>
      <c r="C51" s="352"/>
      <c r="D51" s="144" t="str">
        <f>IF(A51&lt;&gt;"",(VLOOKUP(A51,Total!$B$5:$AL$512,2,FALSE)),"")</f>
        <v/>
      </c>
      <c r="E51" s="145" t="str">
        <f>IF(A51&lt;&gt;"",(VLOOKUP(A51,Total!$B$5:$AL$512,3,FALSE)),"")</f>
        <v/>
      </c>
      <c r="F51" s="145" t="str">
        <f>IF(A51&lt;&gt;"",(VLOOKUP(A51,Total!$B$5:$AL$512,12,FALSE)),"")</f>
        <v/>
      </c>
      <c r="G51" s="145" t="str">
        <f>IF(A51&lt;&gt;"",(VLOOKUP(A51,Total!$B$5:$AL$512,14,FALSE)),"")</f>
        <v/>
      </c>
      <c r="H51" s="145" t="str">
        <f>IF(A51&lt;&gt;"",(VLOOKUP(A51,Total!$B$5:$AL$512,8,FALSE)),"")</f>
        <v/>
      </c>
      <c r="I51" s="145" t="str">
        <f>IF(A51&lt;&gt;"",(VLOOKUP(A51,Total!$B$5:$AL$512,9,FALSE)),"")</f>
        <v/>
      </c>
      <c r="J51" s="145" t="str">
        <f>IF(A51&lt;&gt;"",(VLOOKUP(A51,Total!$B$5:$AL$512,10,FALSE)),"")</f>
        <v/>
      </c>
      <c r="K51" s="145" t="str">
        <f>IF(A51&lt;&gt;"",(VLOOKUP(A51,Total!$B$5:$AL$512,11,FALSE)),"")</f>
        <v/>
      </c>
      <c r="L51" s="175" t="str">
        <f>IF(A51&lt;&gt;"",(VLOOKUP(A51,Total!$B$5:$AL$512,15,FALSE)),"")</f>
        <v/>
      </c>
      <c r="M51" s="202">
        <f t="shared" si="0"/>
        <v>0</v>
      </c>
      <c r="N51" s="202">
        <f t="shared" si="1"/>
        <v>0</v>
      </c>
      <c r="O51" s="145" t="str">
        <f>IF(A51&lt;&gt;"",(VLOOKUP(A51,Total!$B$5:$AL$512,26,FALSE)),"")</f>
        <v/>
      </c>
      <c r="P51" s="145" t="str">
        <f>IF(A51&lt;&gt;"",(VLOOKUP(A51,Total!$B$5:$AL$512,27,FALSE)),"")</f>
        <v/>
      </c>
      <c r="Q51" s="145" t="str">
        <f>IF(A51&lt;&gt;"",(VLOOKUP(A51,Total!$B$5:$AL$512,28,FALSE)),"")</f>
        <v/>
      </c>
      <c r="R51" s="145" t="str">
        <f>IF(A51&lt;&gt;"",(VLOOKUP(A51,Total!$B$5:$AL$512,29,FALSE)),"")</f>
        <v/>
      </c>
      <c r="S51" s="145" t="str">
        <f>IF(A51&lt;&gt;"",(VLOOKUP(A51,Total!$B$5:$AL$512,30,FALSE)),"")</f>
        <v/>
      </c>
      <c r="T51" s="145" t="str">
        <f>IF(A51&lt;&gt;"",(VLOOKUP(A51,Total!$B$5:$AL$512,31,FALSE)),"")</f>
        <v/>
      </c>
      <c r="U51" s="145" t="str">
        <f>IF(A51&lt;&gt;"",(VLOOKUP(A51,Total!$B$5:$AL$512,32,FALSE)),"")</f>
        <v/>
      </c>
      <c r="V51" s="145" t="str">
        <f>IF(A51&lt;&gt;"",(VLOOKUP(A51,Total!$B$5:$AL$512,33,FALSE)),"")</f>
        <v/>
      </c>
      <c r="W51" s="145" t="str">
        <f>IF(A51&lt;&gt;"",(VLOOKUP(A51,Total!$B$5:$AL$512,36,FALSE)),"")</f>
        <v/>
      </c>
      <c r="X51" s="145" t="str">
        <f>IF(A51&lt;&gt;"",(VLOOKUP(A51,Total!$B$5:$AM$512,37,FALSE)),"")</f>
        <v/>
      </c>
      <c r="AA51" s="163" t="str">
        <f>IF(A51&lt;&gt;"",(VLOOKUP(A51,Total!$B$5:$AV$512,40,FALSE)),"")</f>
        <v/>
      </c>
      <c r="AB51" s="163" t="str">
        <f>IF(A51&lt;&gt;"",(VLOOKUP(A51,Total!$B$5:$AV$512,41,FALSE)),"")</f>
        <v/>
      </c>
      <c r="AC51" s="163" t="str">
        <f>IF(A51&lt;&gt;"",(VLOOKUP(A51,Total!$B$5:$AV$512,42,FALSE)),"")</f>
        <v/>
      </c>
      <c r="AD51" s="163" t="str">
        <f>IF(A51&lt;&gt;"",(VLOOKUP(A51,Total!$B$5:$AV$512,43,FALSE)),"")</f>
        <v/>
      </c>
      <c r="AE51" s="163" t="str">
        <f>IF(A51&lt;&gt;"",(VLOOKUP(A51,Total!$B$5:$AV$512,44,FALSE)),"")</f>
        <v/>
      </c>
      <c r="AF51" s="163" t="str">
        <f>IF(A51&lt;&gt;"",(VLOOKUP(A51,Total!$B$5:$AV$512,45,FALSE)),"")</f>
        <v/>
      </c>
      <c r="AG51" s="163" t="str">
        <f>IF(A51&lt;&gt;"",(VLOOKUP(A51,Total!$B$5:$AV$512,46,FALSE)),"")</f>
        <v/>
      </c>
      <c r="AH51" s="163" t="str">
        <f>IF(A51&lt;&gt;"",(VLOOKUP(A51,Total!$B$5:$AV$512,47,FALSE)),"")</f>
        <v/>
      </c>
      <c r="AI51" s="163" t="e">
        <f>VLOOKUP(AA51,Scores!$A$1:$D$157,2,FALSE)</f>
        <v>#N/A</v>
      </c>
      <c r="AJ51" s="163" t="e">
        <f>VLOOKUP(AB51,Scores!$A$1:$D$157,2,FALSE)</f>
        <v>#N/A</v>
      </c>
      <c r="AK51" s="163" t="e">
        <f>VLOOKUP(AC51,Scores!$A$1:$D$157,2,FALSE)</f>
        <v>#N/A</v>
      </c>
      <c r="AL51" s="163" t="e">
        <f>VLOOKUP(AD51,Scores!$A$1:$D$157,2,FALSE)</f>
        <v>#N/A</v>
      </c>
      <c r="AM51" s="163" t="e">
        <f>VLOOKUP(AA51,Scores!$A$1:$D$157,3,FALSE)</f>
        <v>#N/A</v>
      </c>
      <c r="AN51" s="163" t="e">
        <f>VLOOKUP(AB51,Scores!$A$1:$D$157,3,FALSE)</f>
        <v>#N/A</v>
      </c>
      <c r="AO51" s="163" t="e">
        <f>VLOOKUP(AC51,Scores!$A$1:$D$157,3,FALSE)</f>
        <v>#N/A</v>
      </c>
      <c r="AP51" s="163" t="e">
        <f>VLOOKUP(AD51,Scores!$A$1:$D$157,3,FALSE)</f>
        <v>#N/A</v>
      </c>
      <c r="AQ51" s="163" t="str">
        <f t="shared" si="2"/>
        <v/>
      </c>
      <c r="AR51" s="163">
        <f t="shared" si="3"/>
        <v>0</v>
      </c>
      <c r="AS51" s="163">
        <f t="shared" si="4"/>
        <v>0</v>
      </c>
    </row>
    <row r="52" spans="1:45" x14ac:dyDescent="0.25">
      <c r="A52" s="195"/>
      <c r="B52" s="351" t="str">
        <f>IF(A52&lt;&gt;0,VLOOKUP(A52,Total!$B$5:$AZ$512,51,FALSE),"")</f>
        <v/>
      </c>
      <c r="C52" s="352"/>
      <c r="D52" s="144" t="str">
        <f>IF(A52&lt;&gt;"",(VLOOKUP(A52,Total!$B$5:$AL$512,2,FALSE)),"")</f>
        <v/>
      </c>
      <c r="E52" s="145" t="str">
        <f>IF(A52&lt;&gt;"",(VLOOKUP(A52,Total!$B$5:$AL$512,3,FALSE)),"")</f>
        <v/>
      </c>
      <c r="F52" s="145" t="str">
        <f>IF(A52&lt;&gt;"",(VLOOKUP(A52,Total!$B$5:$AL$512,12,FALSE)),"")</f>
        <v/>
      </c>
      <c r="G52" s="145" t="str">
        <f>IF(A52&lt;&gt;"",(VLOOKUP(A52,Total!$B$5:$AL$512,14,FALSE)),"")</f>
        <v/>
      </c>
      <c r="H52" s="145" t="str">
        <f>IF(A52&lt;&gt;"",(VLOOKUP(A52,Total!$B$5:$AL$512,8,FALSE)),"")</f>
        <v/>
      </c>
      <c r="I52" s="145" t="str">
        <f>IF(A52&lt;&gt;"",(VLOOKUP(A52,Total!$B$5:$AL$512,9,FALSE)),"")</f>
        <v/>
      </c>
      <c r="J52" s="145" t="str">
        <f>IF(A52&lt;&gt;"",(VLOOKUP(A52,Total!$B$5:$AL$512,10,FALSE)),"")</f>
        <v/>
      </c>
      <c r="K52" s="145" t="str">
        <f>IF(A52&lt;&gt;"",(VLOOKUP(A52,Total!$B$5:$AL$512,11,FALSE)),"")</f>
        <v/>
      </c>
      <c r="L52" s="175" t="str">
        <f>IF(A52&lt;&gt;"",(VLOOKUP(A52,Total!$B$5:$AL$512,15,FALSE)),"")</f>
        <v/>
      </c>
      <c r="M52" s="202">
        <f t="shared" si="0"/>
        <v>0</v>
      </c>
      <c r="N52" s="202">
        <f t="shared" si="1"/>
        <v>0</v>
      </c>
      <c r="O52" s="145" t="str">
        <f>IF(A52&lt;&gt;"",(VLOOKUP(A52,Total!$B$5:$AL$512,26,FALSE)),"")</f>
        <v/>
      </c>
      <c r="P52" s="145" t="str">
        <f>IF(A52&lt;&gt;"",(VLOOKUP(A52,Total!$B$5:$AL$512,27,FALSE)),"")</f>
        <v/>
      </c>
      <c r="Q52" s="145" t="str">
        <f>IF(A52&lt;&gt;"",(VLOOKUP(A52,Total!$B$5:$AL$512,28,FALSE)),"")</f>
        <v/>
      </c>
      <c r="R52" s="145" t="str">
        <f>IF(A52&lt;&gt;"",(VLOOKUP(A52,Total!$B$5:$AL$512,29,FALSE)),"")</f>
        <v/>
      </c>
      <c r="S52" s="145" t="str">
        <f>IF(A52&lt;&gt;"",(VLOOKUP(A52,Total!$B$5:$AL$512,30,FALSE)),"")</f>
        <v/>
      </c>
      <c r="T52" s="145" t="str">
        <f>IF(A52&lt;&gt;"",(VLOOKUP(A52,Total!$B$5:$AL$512,31,FALSE)),"")</f>
        <v/>
      </c>
      <c r="U52" s="145" t="str">
        <f>IF(A52&lt;&gt;"",(VLOOKUP(A52,Total!$B$5:$AL$512,32,FALSE)),"")</f>
        <v/>
      </c>
      <c r="V52" s="145" t="str">
        <f>IF(A52&lt;&gt;"",(VLOOKUP(A52,Total!$B$5:$AL$512,33,FALSE)),"")</f>
        <v/>
      </c>
      <c r="W52" s="145" t="str">
        <f>IF(A52&lt;&gt;"",(VLOOKUP(A52,Total!$B$5:$AL$512,36,FALSE)),"")</f>
        <v/>
      </c>
      <c r="X52" s="145" t="str">
        <f>IF(A52&lt;&gt;"",(VLOOKUP(A52,Total!$B$5:$AM$512,37,FALSE)),"")</f>
        <v/>
      </c>
      <c r="AA52" s="163" t="str">
        <f>IF(A52&lt;&gt;"",(VLOOKUP(A52,Total!$B$5:$AV$512,40,FALSE)),"")</f>
        <v/>
      </c>
      <c r="AB52" s="163" t="str">
        <f>IF(A52&lt;&gt;"",(VLOOKUP(A52,Total!$B$5:$AV$512,41,FALSE)),"")</f>
        <v/>
      </c>
      <c r="AC52" s="163" t="str">
        <f>IF(A52&lt;&gt;"",(VLOOKUP(A52,Total!$B$5:$AV$512,42,FALSE)),"")</f>
        <v/>
      </c>
      <c r="AD52" s="163" t="str">
        <f>IF(A52&lt;&gt;"",(VLOOKUP(A52,Total!$B$5:$AV$512,43,FALSE)),"")</f>
        <v/>
      </c>
      <c r="AE52" s="163" t="str">
        <f>IF(A52&lt;&gt;"",(VLOOKUP(A52,Total!$B$5:$AV$512,44,FALSE)),"")</f>
        <v/>
      </c>
      <c r="AF52" s="163" t="str">
        <f>IF(A52&lt;&gt;"",(VLOOKUP(A52,Total!$B$5:$AV$512,45,FALSE)),"")</f>
        <v/>
      </c>
      <c r="AG52" s="163" t="str">
        <f>IF(A52&lt;&gt;"",(VLOOKUP(A52,Total!$B$5:$AV$512,46,FALSE)),"")</f>
        <v/>
      </c>
      <c r="AH52" s="163" t="str">
        <f>IF(A52&lt;&gt;"",(VLOOKUP(A52,Total!$B$5:$AV$512,47,FALSE)),"")</f>
        <v/>
      </c>
      <c r="AI52" s="163" t="e">
        <f>VLOOKUP(AA52,Scores!$A$1:$D$157,2,FALSE)</f>
        <v>#N/A</v>
      </c>
      <c r="AJ52" s="163" t="e">
        <f>VLOOKUP(AB52,Scores!$A$1:$D$157,2,FALSE)</f>
        <v>#N/A</v>
      </c>
      <c r="AK52" s="163" t="e">
        <f>VLOOKUP(AC52,Scores!$A$1:$D$157,2,FALSE)</f>
        <v>#N/A</v>
      </c>
      <c r="AL52" s="163" t="e">
        <f>VLOOKUP(AD52,Scores!$A$1:$D$157,2,FALSE)</f>
        <v>#N/A</v>
      </c>
      <c r="AM52" s="163" t="e">
        <f>VLOOKUP(AA52,Scores!$A$1:$D$157,3,FALSE)</f>
        <v>#N/A</v>
      </c>
      <c r="AN52" s="163" t="e">
        <f>VLOOKUP(AB52,Scores!$A$1:$D$157,3,FALSE)</f>
        <v>#N/A</v>
      </c>
      <c r="AO52" s="163" t="e">
        <f>VLOOKUP(AC52,Scores!$A$1:$D$157,3,FALSE)</f>
        <v>#N/A</v>
      </c>
      <c r="AP52" s="163" t="e">
        <f>VLOOKUP(AD52,Scores!$A$1:$D$157,3,FALSE)</f>
        <v>#N/A</v>
      </c>
      <c r="AQ52" s="163" t="str">
        <f t="shared" si="2"/>
        <v/>
      </c>
      <c r="AR52" s="163">
        <f t="shared" si="3"/>
        <v>0</v>
      </c>
      <c r="AS52" s="163">
        <f t="shared" si="4"/>
        <v>0</v>
      </c>
    </row>
    <row r="53" spans="1:45" x14ac:dyDescent="0.25">
      <c r="A53" s="195"/>
      <c r="B53" s="351" t="str">
        <f>IF(A53&lt;&gt;0,VLOOKUP(A53,Total!$B$5:$AZ$512,51,FALSE),"")</f>
        <v/>
      </c>
      <c r="C53" s="352"/>
      <c r="D53" s="144" t="str">
        <f>IF(A53&lt;&gt;"",(VLOOKUP(A53,Total!$B$5:$AL$512,2,FALSE)),"")</f>
        <v/>
      </c>
      <c r="E53" s="145" t="str">
        <f>IF(A53&lt;&gt;"",(VLOOKUP(A53,Total!$B$5:$AL$512,3,FALSE)),"")</f>
        <v/>
      </c>
      <c r="F53" s="145" t="str">
        <f>IF(A53&lt;&gt;"",(VLOOKUP(A53,Total!$B$5:$AL$512,12,FALSE)),"")</f>
        <v/>
      </c>
      <c r="G53" s="145" t="str">
        <f>IF(A53&lt;&gt;"",(VLOOKUP(A53,Total!$B$5:$AL$512,14,FALSE)),"")</f>
        <v/>
      </c>
      <c r="H53" s="145" t="str">
        <f>IF(A53&lt;&gt;"",(VLOOKUP(A53,Total!$B$5:$AL$512,8,FALSE)),"")</f>
        <v/>
      </c>
      <c r="I53" s="145" t="str">
        <f>IF(A53&lt;&gt;"",(VLOOKUP(A53,Total!$B$5:$AL$512,9,FALSE)),"")</f>
        <v/>
      </c>
      <c r="J53" s="145" t="str">
        <f>IF(A53&lt;&gt;"",(VLOOKUP(A53,Total!$B$5:$AL$512,10,FALSE)),"")</f>
        <v/>
      </c>
      <c r="K53" s="145" t="str">
        <f>IF(A53&lt;&gt;"",(VLOOKUP(A53,Total!$B$5:$AL$512,11,FALSE)),"")</f>
        <v/>
      </c>
      <c r="L53" s="175" t="str">
        <f>IF(A53&lt;&gt;"",(VLOOKUP(A53,Total!$B$5:$AL$512,15,FALSE)),"")</f>
        <v/>
      </c>
      <c r="M53" s="202">
        <f t="shared" si="0"/>
        <v>0</v>
      </c>
      <c r="N53" s="202">
        <f t="shared" si="1"/>
        <v>0</v>
      </c>
      <c r="O53" s="145" t="str">
        <f>IF(A53&lt;&gt;"",(VLOOKUP(A53,Total!$B$5:$AL$512,26,FALSE)),"")</f>
        <v/>
      </c>
      <c r="P53" s="145" t="str">
        <f>IF(A53&lt;&gt;"",(VLOOKUP(A53,Total!$B$5:$AL$512,27,FALSE)),"")</f>
        <v/>
      </c>
      <c r="Q53" s="145" t="str">
        <f>IF(A53&lt;&gt;"",(VLOOKUP(A53,Total!$B$5:$AL$512,28,FALSE)),"")</f>
        <v/>
      </c>
      <c r="R53" s="145" t="str">
        <f>IF(A53&lt;&gt;"",(VLOOKUP(A53,Total!$B$5:$AL$512,29,FALSE)),"")</f>
        <v/>
      </c>
      <c r="S53" s="145" t="str">
        <f>IF(A53&lt;&gt;"",(VLOOKUP(A53,Total!$B$5:$AL$512,30,FALSE)),"")</f>
        <v/>
      </c>
      <c r="T53" s="145" t="str">
        <f>IF(A53&lt;&gt;"",(VLOOKUP(A53,Total!$B$5:$AL$512,31,FALSE)),"")</f>
        <v/>
      </c>
      <c r="U53" s="145" t="str">
        <f>IF(A53&lt;&gt;"",(VLOOKUP(A53,Total!$B$5:$AL$512,32,FALSE)),"")</f>
        <v/>
      </c>
      <c r="V53" s="145" t="str">
        <f>IF(A53&lt;&gt;"",(VLOOKUP(A53,Total!$B$5:$AL$512,33,FALSE)),"")</f>
        <v/>
      </c>
      <c r="W53" s="145" t="str">
        <f>IF(A53&lt;&gt;"",(VLOOKUP(A53,Total!$B$5:$AL$512,36,FALSE)),"")</f>
        <v/>
      </c>
      <c r="X53" s="145" t="str">
        <f>IF(A53&lt;&gt;"",(VLOOKUP(A53,Total!$B$5:$AM$512,37,FALSE)),"")</f>
        <v/>
      </c>
      <c r="AA53" s="163" t="str">
        <f>IF(A53&lt;&gt;"",(VLOOKUP(A53,Total!$B$5:$AV$512,40,FALSE)),"")</f>
        <v/>
      </c>
      <c r="AB53" s="163" t="str">
        <f>IF(A53&lt;&gt;"",(VLOOKUP(A53,Total!$B$5:$AV$512,41,FALSE)),"")</f>
        <v/>
      </c>
      <c r="AC53" s="163" t="str">
        <f>IF(A53&lt;&gt;"",(VLOOKUP(A53,Total!$B$5:$AV$512,42,FALSE)),"")</f>
        <v/>
      </c>
      <c r="AD53" s="163" t="str">
        <f>IF(A53&lt;&gt;"",(VLOOKUP(A53,Total!$B$5:$AV$512,43,FALSE)),"")</f>
        <v/>
      </c>
      <c r="AE53" s="163" t="str">
        <f>IF(A53&lt;&gt;"",(VLOOKUP(A53,Total!$B$5:$AV$512,44,FALSE)),"")</f>
        <v/>
      </c>
      <c r="AF53" s="163" t="str">
        <f>IF(A53&lt;&gt;"",(VLOOKUP(A53,Total!$B$5:$AV$512,45,FALSE)),"")</f>
        <v/>
      </c>
      <c r="AG53" s="163" t="str">
        <f>IF(A53&lt;&gt;"",(VLOOKUP(A53,Total!$B$5:$AV$512,46,FALSE)),"")</f>
        <v/>
      </c>
      <c r="AH53" s="163" t="str">
        <f>IF(A53&lt;&gt;"",(VLOOKUP(A53,Total!$B$5:$AV$512,47,FALSE)),"")</f>
        <v/>
      </c>
      <c r="AI53" s="163" t="e">
        <f>VLOOKUP(AA53,Scores!$A$1:$D$157,2,FALSE)</f>
        <v>#N/A</v>
      </c>
      <c r="AJ53" s="163" t="e">
        <f>VLOOKUP(AB53,Scores!$A$1:$D$157,2,FALSE)</f>
        <v>#N/A</v>
      </c>
      <c r="AK53" s="163" t="e">
        <f>VLOOKUP(AC53,Scores!$A$1:$D$157,2,FALSE)</f>
        <v>#N/A</v>
      </c>
      <c r="AL53" s="163" t="e">
        <f>VLOOKUP(AD53,Scores!$A$1:$D$157,2,FALSE)</f>
        <v>#N/A</v>
      </c>
      <c r="AM53" s="163" t="e">
        <f>VLOOKUP(AA53,Scores!$A$1:$D$157,3,FALSE)</f>
        <v>#N/A</v>
      </c>
      <c r="AN53" s="163" t="e">
        <f>VLOOKUP(AB53,Scores!$A$1:$D$157,3,FALSE)</f>
        <v>#N/A</v>
      </c>
      <c r="AO53" s="163" t="e">
        <f>VLOOKUP(AC53,Scores!$A$1:$D$157,3,FALSE)</f>
        <v>#N/A</v>
      </c>
      <c r="AP53" s="163" t="e">
        <f>VLOOKUP(AD53,Scores!$A$1:$D$157,3,FALSE)</f>
        <v>#N/A</v>
      </c>
      <c r="AQ53" s="163" t="str">
        <f t="shared" si="2"/>
        <v/>
      </c>
      <c r="AR53" s="163">
        <f t="shared" si="3"/>
        <v>0</v>
      </c>
      <c r="AS53" s="163">
        <f t="shared" si="4"/>
        <v>0</v>
      </c>
    </row>
    <row r="54" spans="1:45" x14ac:dyDescent="0.25">
      <c r="A54" s="195"/>
      <c r="B54" s="351" t="str">
        <f>IF(A54&lt;&gt;0,VLOOKUP(A54,Total!$B$5:$AZ$512,51,FALSE),"")</f>
        <v/>
      </c>
      <c r="C54" s="352"/>
      <c r="D54" s="144" t="str">
        <f>IF(A54&lt;&gt;"",(VLOOKUP(A54,Total!$B$5:$AL$512,2,FALSE)),"")</f>
        <v/>
      </c>
      <c r="E54" s="145" t="str">
        <f>IF(A54&lt;&gt;"",(VLOOKUP(A54,Total!$B$5:$AL$512,3,FALSE)),"")</f>
        <v/>
      </c>
      <c r="F54" s="145" t="str">
        <f>IF(A54&lt;&gt;"",(VLOOKUP(A54,Total!$B$5:$AL$512,12,FALSE)),"")</f>
        <v/>
      </c>
      <c r="G54" s="145" t="str">
        <f>IF(A54&lt;&gt;"",(VLOOKUP(A54,Total!$B$5:$AL$512,14,FALSE)),"")</f>
        <v/>
      </c>
      <c r="H54" s="145" t="str">
        <f>IF(A54&lt;&gt;"",(VLOOKUP(A54,Total!$B$5:$AL$512,8,FALSE)),"")</f>
        <v/>
      </c>
      <c r="I54" s="145" t="str">
        <f>IF(A54&lt;&gt;"",(VLOOKUP(A54,Total!$B$5:$AL$512,9,FALSE)),"")</f>
        <v/>
      </c>
      <c r="J54" s="145" t="str">
        <f>IF(A54&lt;&gt;"",(VLOOKUP(A54,Total!$B$5:$AL$512,10,FALSE)),"")</f>
        <v/>
      </c>
      <c r="K54" s="145" t="str">
        <f>IF(A54&lt;&gt;"",(VLOOKUP(A54,Total!$B$5:$AL$512,11,FALSE)),"")</f>
        <v/>
      </c>
      <c r="L54" s="175" t="str">
        <f>IF(A54&lt;&gt;"",(VLOOKUP(A54,Total!$B$5:$AL$512,15,FALSE)),"")</f>
        <v/>
      </c>
      <c r="M54" s="202">
        <f t="shared" si="0"/>
        <v>0</v>
      </c>
      <c r="N54" s="202">
        <f t="shared" si="1"/>
        <v>0</v>
      </c>
      <c r="O54" s="145" t="str">
        <f>IF(A54&lt;&gt;"",(VLOOKUP(A54,Total!$B$5:$AL$512,26,FALSE)),"")</f>
        <v/>
      </c>
      <c r="P54" s="145" t="str">
        <f>IF(A54&lt;&gt;"",(VLOOKUP(A54,Total!$B$5:$AL$512,27,FALSE)),"")</f>
        <v/>
      </c>
      <c r="Q54" s="145" t="str">
        <f>IF(A54&lt;&gt;"",(VLOOKUP(A54,Total!$B$5:$AL$512,28,FALSE)),"")</f>
        <v/>
      </c>
      <c r="R54" s="145" t="str">
        <f>IF(A54&lt;&gt;"",(VLOOKUP(A54,Total!$B$5:$AL$512,29,FALSE)),"")</f>
        <v/>
      </c>
      <c r="S54" s="145" t="str">
        <f>IF(A54&lt;&gt;"",(VLOOKUP(A54,Total!$B$5:$AL$512,30,FALSE)),"")</f>
        <v/>
      </c>
      <c r="T54" s="145" t="str">
        <f>IF(A54&lt;&gt;"",(VLOOKUP(A54,Total!$B$5:$AL$512,31,FALSE)),"")</f>
        <v/>
      </c>
      <c r="U54" s="145" t="str">
        <f>IF(A54&lt;&gt;"",(VLOOKUP(A54,Total!$B$5:$AL$512,32,FALSE)),"")</f>
        <v/>
      </c>
      <c r="V54" s="145" t="str">
        <f>IF(A54&lt;&gt;"",(VLOOKUP(A54,Total!$B$5:$AL$512,33,FALSE)),"")</f>
        <v/>
      </c>
      <c r="W54" s="145" t="str">
        <f>IF(A54&lt;&gt;"",(VLOOKUP(A54,Total!$B$5:$AL$512,36,FALSE)),"")</f>
        <v/>
      </c>
      <c r="X54" s="145" t="str">
        <f>IF(A54&lt;&gt;"",(VLOOKUP(A54,Total!$B$5:$AM$512,37,FALSE)),"")</f>
        <v/>
      </c>
      <c r="AA54" s="163" t="str">
        <f>IF(A54&lt;&gt;"",(VLOOKUP(A54,Total!$B$5:$AV$512,40,FALSE)),"")</f>
        <v/>
      </c>
      <c r="AB54" s="163" t="str">
        <f>IF(A54&lt;&gt;"",(VLOOKUP(A54,Total!$B$5:$AV$512,41,FALSE)),"")</f>
        <v/>
      </c>
      <c r="AC54" s="163" t="str">
        <f>IF(A54&lt;&gt;"",(VLOOKUP(A54,Total!$B$5:$AV$512,42,FALSE)),"")</f>
        <v/>
      </c>
      <c r="AD54" s="163" t="str">
        <f>IF(A54&lt;&gt;"",(VLOOKUP(A54,Total!$B$5:$AV$512,43,FALSE)),"")</f>
        <v/>
      </c>
      <c r="AE54" s="163" t="str">
        <f>IF(A54&lt;&gt;"",(VLOOKUP(A54,Total!$B$5:$AV$512,44,FALSE)),"")</f>
        <v/>
      </c>
      <c r="AF54" s="163" t="str">
        <f>IF(A54&lt;&gt;"",(VLOOKUP(A54,Total!$B$5:$AV$512,45,FALSE)),"")</f>
        <v/>
      </c>
      <c r="AG54" s="163" t="str">
        <f>IF(A54&lt;&gt;"",(VLOOKUP(A54,Total!$B$5:$AV$512,46,FALSE)),"")</f>
        <v/>
      </c>
      <c r="AH54" s="163" t="str">
        <f>IF(A54&lt;&gt;"",(VLOOKUP(A54,Total!$B$5:$AV$512,47,FALSE)),"")</f>
        <v/>
      </c>
      <c r="AI54" s="163" t="e">
        <f>VLOOKUP(AA54,Scores!$A$1:$D$157,2,FALSE)</f>
        <v>#N/A</v>
      </c>
      <c r="AJ54" s="163" t="e">
        <f>VLOOKUP(AB54,Scores!$A$1:$D$157,2,FALSE)</f>
        <v>#N/A</v>
      </c>
      <c r="AK54" s="163" t="e">
        <f>VLOOKUP(AC54,Scores!$A$1:$D$157,2,FALSE)</f>
        <v>#N/A</v>
      </c>
      <c r="AL54" s="163" t="e">
        <f>VLOOKUP(AD54,Scores!$A$1:$D$157,2,FALSE)</f>
        <v>#N/A</v>
      </c>
      <c r="AM54" s="163" t="e">
        <f>VLOOKUP(AA54,Scores!$A$1:$D$157,3,FALSE)</f>
        <v>#N/A</v>
      </c>
      <c r="AN54" s="163" t="e">
        <f>VLOOKUP(AB54,Scores!$A$1:$D$157,3,FALSE)</f>
        <v>#N/A</v>
      </c>
      <c r="AO54" s="163" t="e">
        <f>VLOOKUP(AC54,Scores!$A$1:$D$157,3,FALSE)</f>
        <v>#N/A</v>
      </c>
      <c r="AP54" s="163" t="e">
        <f>VLOOKUP(AD54,Scores!$A$1:$D$157,3,FALSE)</f>
        <v>#N/A</v>
      </c>
      <c r="AQ54" s="163" t="str">
        <f t="shared" si="2"/>
        <v/>
      </c>
      <c r="AR54" s="163">
        <f t="shared" si="3"/>
        <v>0</v>
      </c>
      <c r="AS54" s="163">
        <f t="shared" si="4"/>
        <v>0</v>
      </c>
    </row>
    <row r="55" spans="1:45" x14ac:dyDescent="0.25">
      <c r="A55" s="195"/>
      <c r="B55" s="351" t="str">
        <f>IF(A55&lt;&gt;0,VLOOKUP(A55,Total!$B$5:$AZ$512,51,FALSE),"")</f>
        <v/>
      </c>
      <c r="C55" s="352"/>
      <c r="D55" s="144" t="str">
        <f>IF(A55&lt;&gt;"",(VLOOKUP(A55,Total!$B$5:$AL$512,2,FALSE)),"")</f>
        <v/>
      </c>
      <c r="E55" s="145" t="str">
        <f>IF(A55&lt;&gt;"",(VLOOKUP(A55,Total!$B$5:$AL$512,3,FALSE)),"")</f>
        <v/>
      </c>
      <c r="F55" s="145" t="str">
        <f>IF(A55&lt;&gt;"",(VLOOKUP(A55,Total!$B$5:$AL$512,12,FALSE)),"")</f>
        <v/>
      </c>
      <c r="G55" s="145" t="str">
        <f>IF(A55&lt;&gt;"",(VLOOKUP(A55,Total!$B$5:$AL$512,14,FALSE)),"")</f>
        <v/>
      </c>
      <c r="H55" s="145" t="str">
        <f>IF(A55&lt;&gt;"",(VLOOKUP(A55,Total!$B$5:$AL$512,8,FALSE)),"")</f>
        <v/>
      </c>
      <c r="I55" s="145" t="str">
        <f>IF(A55&lt;&gt;"",(VLOOKUP(A55,Total!$B$5:$AL$512,9,FALSE)),"")</f>
        <v/>
      </c>
      <c r="J55" s="145" t="str">
        <f>IF(A55&lt;&gt;"",(VLOOKUP(A55,Total!$B$5:$AL$512,10,FALSE)),"")</f>
        <v/>
      </c>
      <c r="K55" s="145" t="str">
        <f>IF(A55&lt;&gt;"",(VLOOKUP(A55,Total!$B$5:$AL$512,11,FALSE)),"")</f>
        <v/>
      </c>
      <c r="L55" s="175" t="str">
        <f>IF(A55&lt;&gt;"",(VLOOKUP(A55,Total!$B$5:$AL$512,15,FALSE)),"")</f>
        <v/>
      </c>
      <c r="M55" s="202">
        <f t="shared" si="0"/>
        <v>0</v>
      </c>
      <c r="N55" s="202">
        <f t="shared" si="1"/>
        <v>0</v>
      </c>
      <c r="O55" s="145" t="str">
        <f>IF(A55&lt;&gt;"",(VLOOKUP(A55,Total!$B$5:$AL$512,26,FALSE)),"")</f>
        <v/>
      </c>
      <c r="P55" s="145" t="str">
        <f>IF(A55&lt;&gt;"",(VLOOKUP(A55,Total!$B$5:$AL$512,27,FALSE)),"")</f>
        <v/>
      </c>
      <c r="Q55" s="145" t="str">
        <f>IF(A55&lt;&gt;"",(VLOOKUP(A55,Total!$B$5:$AL$512,28,FALSE)),"")</f>
        <v/>
      </c>
      <c r="R55" s="145" t="str">
        <f>IF(A55&lt;&gt;"",(VLOOKUP(A55,Total!$B$5:$AL$512,29,FALSE)),"")</f>
        <v/>
      </c>
      <c r="S55" s="145" t="str">
        <f>IF(A55&lt;&gt;"",(VLOOKUP(A55,Total!$B$5:$AL$512,30,FALSE)),"")</f>
        <v/>
      </c>
      <c r="T55" s="145" t="str">
        <f>IF(A55&lt;&gt;"",(VLOOKUP(A55,Total!$B$5:$AL$512,31,FALSE)),"")</f>
        <v/>
      </c>
      <c r="U55" s="145" t="str">
        <f>IF(A55&lt;&gt;"",(VLOOKUP(A55,Total!$B$5:$AL$512,32,FALSE)),"")</f>
        <v/>
      </c>
      <c r="V55" s="145" t="str">
        <f>IF(A55&lt;&gt;"",(VLOOKUP(A55,Total!$B$5:$AL$512,33,FALSE)),"")</f>
        <v/>
      </c>
      <c r="W55" s="145" t="str">
        <f>IF(A55&lt;&gt;"",(VLOOKUP(A55,Total!$B$5:$AL$512,36,FALSE)),"")</f>
        <v/>
      </c>
      <c r="X55" s="145" t="str">
        <f>IF(A55&lt;&gt;"",(VLOOKUP(A55,Total!$B$5:$AM$512,37,FALSE)),"")</f>
        <v/>
      </c>
      <c r="AA55" s="163" t="str">
        <f>IF(A55&lt;&gt;"",(VLOOKUP(A55,Total!$B$5:$AV$512,40,FALSE)),"")</f>
        <v/>
      </c>
      <c r="AB55" s="163" t="str">
        <f>IF(A55&lt;&gt;"",(VLOOKUP(A55,Total!$B$5:$AV$512,41,FALSE)),"")</f>
        <v/>
      </c>
      <c r="AC55" s="163" t="str">
        <f>IF(A55&lt;&gt;"",(VLOOKUP(A55,Total!$B$5:$AV$512,42,FALSE)),"")</f>
        <v/>
      </c>
      <c r="AD55" s="163" t="str">
        <f>IF(A55&lt;&gt;"",(VLOOKUP(A55,Total!$B$5:$AV$512,43,FALSE)),"")</f>
        <v/>
      </c>
      <c r="AE55" s="163" t="str">
        <f>IF(A55&lt;&gt;"",(VLOOKUP(A55,Total!$B$5:$AV$512,44,FALSE)),"")</f>
        <v/>
      </c>
      <c r="AF55" s="163" t="str">
        <f>IF(A55&lt;&gt;"",(VLOOKUP(A55,Total!$B$5:$AV$512,45,FALSE)),"")</f>
        <v/>
      </c>
      <c r="AG55" s="163" t="str">
        <f>IF(A55&lt;&gt;"",(VLOOKUP(A55,Total!$B$5:$AV$512,46,FALSE)),"")</f>
        <v/>
      </c>
      <c r="AH55" s="163" t="str">
        <f>IF(A55&lt;&gt;"",(VLOOKUP(A55,Total!$B$5:$AV$512,47,FALSE)),"")</f>
        <v/>
      </c>
      <c r="AI55" s="163" t="e">
        <f>VLOOKUP(AA55,Scores!$A$1:$D$157,2,FALSE)</f>
        <v>#N/A</v>
      </c>
      <c r="AJ55" s="163" t="e">
        <f>VLOOKUP(AB55,Scores!$A$1:$D$157,2,FALSE)</f>
        <v>#N/A</v>
      </c>
      <c r="AK55" s="163" t="e">
        <f>VLOOKUP(AC55,Scores!$A$1:$D$157,2,FALSE)</f>
        <v>#N/A</v>
      </c>
      <c r="AL55" s="163" t="e">
        <f>VLOOKUP(AD55,Scores!$A$1:$D$157,2,FALSE)</f>
        <v>#N/A</v>
      </c>
      <c r="AM55" s="163" t="e">
        <f>VLOOKUP(AA55,Scores!$A$1:$D$157,3,FALSE)</f>
        <v>#N/A</v>
      </c>
      <c r="AN55" s="163" t="e">
        <f>VLOOKUP(AB55,Scores!$A$1:$D$157,3,FALSE)</f>
        <v>#N/A</v>
      </c>
      <c r="AO55" s="163" t="e">
        <f>VLOOKUP(AC55,Scores!$A$1:$D$157,3,FALSE)</f>
        <v>#N/A</v>
      </c>
      <c r="AP55" s="163" t="e">
        <f>VLOOKUP(AD55,Scores!$A$1:$D$157,3,FALSE)</f>
        <v>#N/A</v>
      </c>
      <c r="AQ55" s="163" t="str">
        <f t="shared" si="2"/>
        <v/>
      </c>
      <c r="AR55" s="163">
        <f t="shared" si="3"/>
        <v>0</v>
      </c>
      <c r="AS55" s="163">
        <f t="shared" si="4"/>
        <v>0</v>
      </c>
    </row>
    <row r="56" spans="1:45" x14ac:dyDescent="0.25">
      <c r="A56" s="195"/>
      <c r="B56" s="351" t="str">
        <f>IF(A56&lt;&gt;0,VLOOKUP(A56,Total!$B$5:$AZ$512,51,FALSE),"")</f>
        <v/>
      </c>
      <c r="C56" s="352"/>
      <c r="D56" s="144" t="str">
        <f>IF(A56&lt;&gt;"",(VLOOKUP(A56,Total!$B$5:$AL$512,2,FALSE)),"")</f>
        <v/>
      </c>
      <c r="E56" s="145" t="str">
        <f>IF(A56&lt;&gt;"",(VLOOKUP(A56,Total!$B$5:$AL$512,3,FALSE)),"")</f>
        <v/>
      </c>
      <c r="F56" s="145" t="str">
        <f>IF(A56&lt;&gt;"",(VLOOKUP(A56,Total!$B$5:$AL$512,12,FALSE)),"")</f>
        <v/>
      </c>
      <c r="G56" s="145" t="str">
        <f>IF(A56&lt;&gt;"",(VLOOKUP(A56,Total!$B$5:$AL$512,14,FALSE)),"")</f>
        <v/>
      </c>
      <c r="H56" s="145" t="str">
        <f>IF(A56&lt;&gt;"",(VLOOKUP(A56,Total!$B$5:$AL$512,8,FALSE)),"")</f>
        <v/>
      </c>
      <c r="I56" s="145" t="str">
        <f>IF(A56&lt;&gt;"",(VLOOKUP(A56,Total!$B$5:$AL$512,9,FALSE)),"")</f>
        <v/>
      </c>
      <c r="J56" s="145" t="str">
        <f>IF(A56&lt;&gt;"",(VLOOKUP(A56,Total!$B$5:$AL$512,10,FALSE)),"")</f>
        <v/>
      </c>
      <c r="K56" s="145" t="str">
        <f>IF(A56&lt;&gt;"",(VLOOKUP(A56,Total!$B$5:$AL$512,11,FALSE)),"")</f>
        <v/>
      </c>
      <c r="L56" s="175" t="str">
        <f>IF(A56&lt;&gt;"",(VLOOKUP(A56,Total!$B$5:$AL$512,15,FALSE)),"")</f>
        <v/>
      </c>
      <c r="M56" s="202">
        <f t="shared" si="0"/>
        <v>0</v>
      </c>
      <c r="N56" s="202">
        <f t="shared" si="1"/>
        <v>0</v>
      </c>
      <c r="O56" s="145" t="str">
        <f>IF(A56&lt;&gt;"",(VLOOKUP(A56,Total!$B$5:$AL$512,26,FALSE)),"")</f>
        <v/>
      </c>
      <c r="P56" s="145" t="str">
        <f>IF(A56&lt;&gt;"",(VLOOKUP(A56,Total!$B$5:$AL$512,27,FALSE)),"")</f>
        <v/>
      </c>
      <c r="Q56" s="145" t="str">
        <f>IF(A56&lt;&gt;"",(VLOOKUP(A56,Total!$B$5:$AL$512,28,FALSE)),"")</f>
        <v/>
      </c>
      <c r="R56" s="145" t="str">
        <f>IF(A56&lt;&gt;"",(VLOOKUP(A56,Total!$B$5:$AL$512,29,FALSE)),"")</f>
        <v/>
      </c>
      <c r="S56" s="145" t="str">
        <f>IF(A56&lt;&gt;"",(VLOOKUP(A56,Total!$B$5:$AL$512,30,FALSE)),"")</f>
        <v/>
      </c>
      <c r="T56" s="145" t="str">
        <f>IF(A56&lt;&gt;"",(VLOOKUP(A56,Total!$B$5:$AL$512,31,FALSE)),"")</f>
        <v/>
      </c>
      <c r="U56" s="145" t="str">
        <f>IF(A56&lt;&gt;"",(VLOOKUP(A56,Total!$B$5:$AL$512,32,FALSE)),"")</f>
        <v/>
      </c>
      <c r="V56" s="145" t="str">
        <f>IF(A56&lt;&gt;"",(VLOOKUP(A56,Total!$B$5:$AL$512,33,FALSE)),"")</f>
        <v/>
      </c>
      <c r="W56" s="145" t="str">
        <f>IF(A56&lt;&gt;"",(VLOOKUP(A56,Total!$B$5:$AL$512,36,FALSE)),"")</f>
        <v/>
      </c>
      <c r="X56" s="145" t="str">
        <f>IF(A56&lt;&gt;"",(VLOOKUP(A56,Total!$B$5:$AM$512,37,FALSE)),"")</f>
        <v/>
      </c>
      <c r="AA56" s="163" t="str">
        <f>IF(A56&lt;&gt;"",(VLOOKUP(A56,Total!$B$5:$AV$512,40,FALSE)),"")</f>
        <v/>
      </c>
      <c r="AB56" s="163" t="str">
        <f>IF(A56&lt;&gt;"",(VLOOKUP(A56,Total!$B$5:$AV$512,41,FALSE)),"")</f>
        <v/>
      </c>
      <c r="AC56" s="163" t="str">
        <f>IF(A56&lt;&gt;"",(VLOOKUP(A56,Total!$B$5:$AV$512,42,FALSE)),"")</f>
        <v/>
      </c>
      <c r="AD56" s="163" t="str">
        <f>IF(A56&lt;&gt;"",(VLOOKUP(A56,Total!$B$5:$AV$512,43,FALSE)),"")</f>
        <v/>
      </c>
      <c r="AE56" s="163" t="str">
        <f>IF(A56&lt;&gt;"",(VLOOKUP(A56,Total!$B$5:$AV$512,44,FALSE)),"")</f>
        <v/>
      </c>
      <c r="AF56" s="163" t="str">
        <f>IF(A56&lt;&gt;"",(VLOOKUP(A56,Total!$B$5:$AV$512,45,FALSE)),"")</f>
        <v/>
      </c>
      <c r="AG56" s="163" t="str">
        <f>IF(A56&lt;&gt;"",(VLOOKUP(A56,Total!$B$5:$AV$512,46,FALSE)),"")</f>
        <v/>
      </c>
      <c r="AH56" s="163" t="str">
        <f>IF(A56&lt;&gt;"",(VLOOKUP(A56,Total!$B$5:$AV$512,47,FALSE)),"")</f>
        <v/>
      </c>
      <c r="AI56" s="163" t="e">
        <f>VLOOKUP(AA56,Scores!$A$1:$D$157,2,FALSE)</f>
        <v>#N/A</v>
      </c>
      <c r="AJ56" s="163" t="e">
        <f>VLOOKUP(AB56,Scores!$A$1:$D$157,2,FALSE)</f>
        <v>#N/A</v>
      </c>
      <c r="AK56" s="163" t="e">
        <f>VLOOKUP(AC56,Scores!$A$1:$D$157,2,FALSE)</f>
        <v>#N/A</v>
      </c>
      <c r="AL56" s="163" t="e">
        <f>VLOOKUP(AD56,Scores!$A$1:$D$157,2,FALSE)</f>
        <v>#N/A</v>
      </c>
      <c r="AM56" s="163" t="e">
        <f>VLOOKUP(AA56,Scores!$A$1:$D$157,3,FALSE)</f>
        <v>#N/A</v>
      </c>
      <c r="AN56" s="163" t="e">
        <f>VLOOKUP(AB56,Scores!$A$1:$D$157,3,FALSE)</f>
        <v>#N/A</v>
      </c>
      <c r="AO56" s="163" t="e">
        <f>VLOOKUP(AC56,Scores!$A$1:$D$157,3,FALSE)</f>
        <v>#N/A</v>
      </c>
      <c r="AP56" s="163" t="e">
        <f>VLOOKUP(AD56,Scores!$A$1:$D$157,3,FALSE)</f>
        <v>#N/A</v>
      </c>
      <c r="AQ56" s="163" t="str">
        <f t="shared" si="2"/>
        <v/>
      </c>
      <c r="AR56" s="163">
        <f t="shared" si="3"/>
        <v>0</v>
      </c>
      <c r="AS56" s="163">
        <f t="shared" si="4"/>
        <v>0</v>
      </c>
    </row>
    <row r="57" spans="1:45" x14ac:dyDescent="0.25">
      <c r="A57" s="195"/>
      <c r="B57" s="351" t="str">
        <f>IF(A57&lt;&gt;0,VLOOKUP(A57,Total!$B$5:$AZ$512,51,FALSE),"")</f>
        <v/>
      </c>
      <c r="C57" s="352"/>
      <c r="D57" s="144" t="str">
        <f>IF(A57&lt;&gt;"",(VLOOKUP(A57,Total!$B$5:$AL$512,2,FALSE)),"")</f>
        <v/>
      </c>
      <c r="E57" s="145" t="str">
        <f>IF(A57&lt;&gt;"",(VLOOKUP(A57,Total!$B$5:$AL$512,3,FALSE)),"")</f>
        <v/>
      </c>
      <c r="F57" s="145" t="str">
        <f>IF(A57&lt;&gt;"",(VLOOKUP(A57,Total!$B$5:$AL$512,12,FALSE)),"")</f>
        <v/>
      </c>
      <c r="G57" s="145" t="str">
        <f>IF(A57&lt;&gt;"",(VLOOKUP(A57,Total!$B$5:$AL$512,14,FALSE)),"")</f>
        <v/>
      </c>
      <c r="H57" s="145" t="str">
        <f>IF(A57&lt;&gt;"",(VLOOKUP(A57,Total!$B$5:$AL$512,8,FALSE)),"")</f>
        <v/>
      </c>
      <c r="I57" s="145" t="str">
        <f>IF(A57&lt;&gt;"",(VLOOKUP(A57,Total!$B$5:$AL$512,9,FALSE)),"")</f>
        <v/>
      </c>
      <c r="J57" s="145" t="str">
        <f>IF(A57&lt;&gt;"",(VLOOKUP(A57,Total!$B$5:$AL$512,10,FALSE)),"")</f>
        <v/>
      </c>
      <c r="K57" s="145" t="str">
        <f>IF(A57&lt;&gt;"",(VLOOKUP(A57,Total!$B$5:$AL$512,11,FALSE)),"")</f>
        <v/>
      </c>
      <c r="L57" s="175" t="str">
        <f>IF(A57&lt;&gt;"",(VLOOKUP(A57,Total!$B$5:$AL$512,15,FALSE)),"")</f>
        <v/>
      </c>
      <c r="M57" s="202">
        <f t="shared" si="0"/>
        <v>0</v>
      </c>
      <c r="N57" s="202">
        <f t="shared" si="1"/>
        <v>0</v>
      </c>
      <c r="O57" s="145" t="str">
        <f>IF(A57&lt;&gt;"",(VLOOKUP(A57,Total!$B$5:$AL$512,26,FALSE)),"")</f>
        <v/>
      </c>
      <c r="P57" s="145" t="str">
        <f>IF(A57&lt;&gt;"",(VLOOKUP(A57,Total!$B$5:$AL$512,27,FALSE)),"")</f>
        <v/>
      </c>
      <c r="Q57" s="145" t="str">
        <f>IF(A57&lt;&gt;"",(VLOOKUP(A57,Total!$B$5:$AL$512,28,FALSE)),"")</f>
        <v/>
      </c>
      <c r="R57" s="145" t="str">
        <f>IF(A57&lt;&gt;"",(VLOOKUP(A57,Total!$B$5:$AL$512,29,FALSE)),"")</f>
        <v/>
      </c>
      <c r="S57" s="145" t="str">
        <f>IF(A57&lt;&gt;"",(VLOOKUP(A57,Total!$B$5:$AL$512,30,FALSE)),"")</f>
        <v/>
      </c>
      <c r="T57" s="145" t="str">
        <f>IF(A57&lt;&gt;"",(VLOOKUP(A57,Total!$B$5:$AL$512,31,FALSE)),"")</f>
        <v/>
      </c>
      <c r="U57" s="145" t="str">
        <f>IF(A57&lt;&gt;"",(VLOOKUP(A57,Total!$B$5:$AL$512,32,FALSE)),"")</f>
        <v/>
      </c>
      <c r="V57" s="145" t="str">
        <f>IF(A57&lt;&gt;"",(VLOOKUP(A57,Total!$B$5:$AL$512,33,FALSE)),"")</f>
        <v/>
      </c>
      <c r="W57" s="145" t="str">
        <f>IF(A57&lt;&gt;"",(VLOOKUP(A57,Total!$B$5:$AL$512,36,FALSE)),"")</f>
        <v/>
      </c>
      <c r="X57" s="145" t="str">
        <f>IF(A57&lt;&gt;"",(VLOOKUP(A57,Total!$B$5:$AM$512,37,FALSE)),"")</f>
        <v/>
      </c>
      <c r="AA57" s="163" t="str">
        <f>IF(A57&lt;&gt;"",(VLOOKUP(A57,Total!$B$5:$AV$512,40,FALSE)),"")</f>
        <v/>
      </c>
      <c r="AB57" s="163" t="str">
        <f>IF(A57&lt;&gt;"",(VLOOKUP(A57,Total!$B$5:$AV$512,41,FALSE)),"")</f>
        <v/>
      </c>
      <c r="AC57" s="163" t="str">
        <f>IF(A57&lt;&gt;"",(VLOOKUP(A57,Total!$B$5:$AV$512,42,FALSE)),"")</f>
        <v/>
      </c>
      <c r="AD57" s="163" t="str">
        <f>IF(A57&lt;&gt;"",(VLOOKUP(A57,Total!$B$5:$AV$512,43,FALSE)),"")</f>
        <v/>
      </c>
      <c r="AE57" s="163" t="str">
        <f>IF(A57&lt;&gt;"",(VLOOKUP(A57,Total!$B$5:$AV$512,44,FALSE)),"")</f>
        <v/>
      </c>
      <c r="AF57" s="163" t="str">
        <f>IF(A57&lt;&gt;"",(VLOOKUP(A57,Total!$B$5:$AV$512,45,FALSE)),"")</f>
        <v/>
      </c>
      <c r="AG57" s="163" t="str">
        <f>IF(A57&lt;&gt;"",(VLOOKUP(A57,Total!$B$5:$AV$512,46,FALSE)),"")</f>
        <v/>
      </c>
      <c r="AH57" s="163" t="str">
        <f>IF(A57&lt;&gt;"",(VLOOKUP(A57,Total!$B$5:$AV$512,47,FALSE)),"")</f>
        <v/>
      </c>
      <c r="AI57" s="163" t="e">
        <f>VLOOKUP(AA57,Scores!$A$1:$D$157,2,FALSE)</f>
        <v>#N/A</v>
      </c>
      <c r="AJ57" s="163" t="e">
        <f>VLOOKUP(AB57,Scores!$A$1:$D$157,2,FALSE)</f>
        <v>#N/A</v>
      </c>
      <c r="AK57" s="163" t="e">
        <f>VLOOKUP(AC57,Scores!$A$1:$D$157,2,FALSE)</f>
        <v>#N/A</v>
      </c>
      <c r="AL57" s="163" t="e">
        <f>VLOOKUP(AD57,Scores!$A$1:$D$157,2,FALSE)</f>
        <v>#N/A</v>
      </c>
      <c r="AM57" s="163" t="e">
        <f>VLOOKUP(AA57,Scores!$A$1:$D$157,3,FALSE)</f>
        <v>#N/A</v>
      </c>
      <c r="AN57" s="163" t="e">
        <f>VLOOKUP(AB57,Scores!$A$1:$D$157,3,FALSE)</f>
        <v>#N/A</v>
      </c>
      <c r="AO57" s="163" t="e">
        <f>VLOOKUP(AC57,Scores!$A$1:$D$157,3,FALSE)</f>
        <v>#N/A</v>
      </c>
      <c r="AP57" s="163" t="e">
        <f>VLOOKUP(AD57,Scores!$A$1:$D$157,3,FALSE)</f>
        <v>#N/A</v>
      </c>
      <c r="AQ57" s="163" t="str">
        <f t="shared" si="2"/>
        <v/>
      </c>
      <c r="AR57" s="163">
        <f t="shared" si="3"/>
        <v>0</v>
      </c>
      <c r="AS57" s="163">
        <f t="shared" si="4"/>
        <v>0</v>
      </c>
    </row>
    <row r="58" spans="1:45" x14ac:dyDescent="0.25">
      <c r="A58" s="195"/>
      <c r="B58" s="351" t="str">
        <f>IF(A58&lt;&gt;0,VLOOKUP(A58,Total!$B$5:$AZ$512,51,FALSE),"")</f>
        <v/>
      </c>
      <c r="C58" s="352"/>
      <c r="D58" s="144" t="str">
        <f>IF(A58&lt;&gt;"",(VLOOKUP(A58,Total!$B$5:$AL$512,2,FALSE)),"")</f>
        <v/>
      </c>
      <c r="E58" s="145" t="str">
        <f>IF(A58&lt;&gt;"",(VLOOKUP(A58,Total!$B$5:$AL$512,3,FALSE)),"")</f>
        <v/>
      </c>
      <c r="F58" s="145" t="str">
        <f>IF(A58&lt;&gt;"",(VLOOKUP(A58,Total!$B$5:$AL$512,12,FALSE)),"")</f>
        <v/>
      </c>
      <c r="G58" s="145" t="str">
        <f>IF(A58&lt;&gt;"",(VLOOKUP(A58,Total!$B$5:$AL$512,14,FALSE)),"")</f>
        <v/>
      </c>
      <c r="H58" s="145" t="str">
        <f>IF(A58&lt;&gt;"",(VLOOKUP(A58,Total!$B$5:$AL$512,8,FALSE)),"")</f>
        <v/>
      </c>
      <c r="I58" s="145" t="str">
        <f>IF(A58&lt;&gt;"",(VLOOKUP(A58,Total!$B$5:$AL$512,9,FALSE)),"")</f>
        <v/>
      </c>
      <c r="J58" s="145" t="str">
        <f>IF(A58&lt;&gt;"",(VLOOKUP(A58,Total!$B$5:$AL$512,10,FALSE)),"")</f>
        <v/>
      </c>
      <c r="K58" s="145" t="str">
        <f>IF(A58&lt;&gt;"",(VLOOKUP(A58,Total!$B$5:$AL$512,11,FALSE)),"")</f>
        <v/>
      </c>
      <c r="L58" s="175" t="str">
        <f>IF(A58&lt;&gt;"",(VLOOKUP(A58,Total!$B$5:$AL$512,15,FALSE)),"")</f>
        <v/>
      </c>
      <c r="M58" s="202">
        <f t="shared" si="0"/>
        <v>0</v>
      </c>
      <c r="N58" s="202">
        <f t="shared" si="1"/>
        <v>0</v>
      </c>
      <c r="O58" s="145" t="str">
        <f>IF(A58&lt;&gt;"",(VLOOKUP(A58,Total!$B$5:$AL$512,26,FALSE)),"")</f>
        <v/>
      </c>
      <c r="P58" s="145" t="str">
        <f>IF(A58&lt;&gt;"",(VLOOKUP(A58,Total!$B$5:$AL$512,27,FALSE)),"")</f>
        <v/>
      </c>
      <c r="Q58" s="145" t="str">
        <f>IF(A58&lt;&gt;"",(VLOOKUP(A58,Total!$B$5:$AL$512,28,FALSE)),"")</f>
        <v/>
      </c>
      <c r="R58" s="145" t="str">
        <f>IF(A58&lt;&gt;"",(VLOOKUP(A58,Total!$B$5:$AL$512,29,FALSE)),"")</f>
        <v/>
      </c>
      <c r="S58" s="145" t="str">
        <f>IF(A58&lt;&gt;"",(VLOOKUP(A58,Total!$B$5:$AL$512,30,FALSE)),"")</f>
        <v/>
      </c>
      <c r="T58" s="145" t="str">
        <f>IF(A58&lt;&gt;"",(VLOOKUP(A58,Total!$B$5:$AL$512,31,FALSE)),"")</f>
        <v/>
      </c>
      <c r="U58" s="145" t="str">
        <f>IF(A58&lt;&gt;"",(VLOOKUP(A58,Total!$B$5:$AL$512,32,FALSE)),"")</f>
        <v/>
      </c>
      <c r="V58" s="145" t="str">
        <f>IF(A58&lt;&gt;"",(VLOOKUP(A58,Total!$B$5:$AL$512,33,FALSE)),"")</f>
        <v/>
      </c>
      <c r="W58" s="145" t="str">
        <f>IF(A58&lt;&gt;"",(VLOOKUP(A58,Total!$B$5:$AL$512,36,FALSE)),"")</f>
        <v/>
      </c>
      <c r="X58" s="145" t="str">
        <f>IF(A58&lt;&gt;"",(VLOOKUP(A58,Total!$B$5:$AM$512,37,FALSE)),"")</f>
        <v/>
      </c>
      <c r="AA58" s="163" t="str">
        <f>IF(A58&lt;&gt;"",(VLOOKUP(A58,Total!$B$5:$AV$512,40,FALSE)),"")</f>
        <v/>
      </c>
      <c r="AB58" s="163" t="str">
        <f>IF(A58&lt;&gt;"",(VLOOKUP(A58,Total!$B$5:$AV$512,41,FALSE)),"")</f>
        <v/>
      </c>
      <c r="AC58" s="163" t="str">
        <f>IF(A58&lt;&gt;"",(VLOOKUP(A58,Total!$B$5:$AV$512,42,FALSE)),"")</f>
        <v/>
      </c>
      <c r="AD58" s="163" t="str">
        <f>IF(A58&lt;&gt;"",(VLOOKUP(A58,Total!$B$5:$AV$512,43,FALSE)),"")</f>
        <v/>
      </c>
      <c r="AE58" s="163" t="str">
        <f>IF(A58&lt;&gt;"",(VLOOKUP(A58,Total!$B$5:$AV$512,44,FALSE)),"")</f>
        <v/>
      </c>
      <c r="AF58" s="163" t="str">
        <f>IF(A58&lt;&gt;"",(VLOOKUP(A58,Total!$B$5:$AV$512,45,FALSE)),"")</f>
        <v/>
      </c>
      <c r="AG58" s="163" t="str">
        <f>IF(A58&lt;&gt;"",(VLOOKUP(A58,Total!$B$5:$AV$512,46,FALSE)),"")</f>
        <v/>
      </c>
      <c r="AH58" s="163" t="str">
        <f>IF(A58&lt;&gt;"",(VLOOKUP(A58,Total!$B$5:$AV$512,47,FALSE)),"")</f>
        <v/>
      </c>
      <c r="AI58" s="163" t="e">
        <f>VLOOKUP(AA58,Scores!$A$1:$D$157,2,FALSE)</f>
        <v>#N/A</v>
      </c>
      <c r="AJ58" s="163" t="e">
        <f>VLOOKUP(AB58,Scores!$A$1:$D$157,2,FALSE)</f>
        <v>#N/A</v>
      </c>
      <c r="AK58" s="163" t="e">
        <f>VLOOKUP(AC58,Scores!$A$1:$D$157,2,FALSE)</f>
        <v>#N/A</v>
      </c>
      <c r="AL58" s="163" t="e">
        <f>VLOOKUP(AD58,Scores!$A$1:$D$157,2,FALSE)</f>
        <v>#N/A</v>
      </c>
      <c r="AM58" s="163" t="e">
        <f>VLOOKUP(AA58,Scores!$A$1:$D$157,3,FALSE)</f>
        <v>#N/A</v>
      </c>
      <c r="AN58" s="163" t="e">
        <f>VLOOKUP(AB58,Scores!$A$1:$D$157,3,FALSE)</f>
        <v>#N/A</v>
      </c>
      <c r="AO58" s="163" t="e">
        <f>VLOOKUP(AC58,Scores!$A$1:$D$157,3,FALSE)</f>
        <v>#N/A</v>
      </c>
      <c r="AP58" s="163" t="e">
        <f>VLOOKUP(AD58,Scores!$A$1:$D$157,3,FALSE)</f>
        <v>#N/A</v>
      </c>
      <c r="AQ58" s="163" t="str">
        <f t="shared" si="2"/>
        <v/>
      </c>
      <c r="AR58" s="163">
        <f t="shared" si="3"/>
        <v>0</v>
      </c>
      <c r="AS58" s="163">
        <f t="shared" si="4"/>
        <v>0</v>
      </c>
    </row>
    <row r="59" spans="1:45" x14ac:dyDescent="0.25">
      <c r="A59" s="195"/>
      <c r="B59" s="351" t="str">
        <f>IF(A59&lt;&gt;0,VLOOKUP(A59,Total!$B$5:$AZ$512,51,FALSE),"")</f>
        <v/>
      </c>
      <c r="C59" s="352"/>
      <c r="D59" s="144" t="str">
        <f>IF(A59&lt;&gt;"",(VLOOKUP(A59,Total!$B$5:$AL$512,2,FALSE)),"")</f>
        <v/>
      </c>
      <c r="E59" s="145" t="str">
        <f>IF(A59&lt;&gt;"",(VLOOKUP(A59,Total!$B$5:$AL$512,3,FALSE)),"")</f>
        <v/>
      </c>
      <c r="F59" s="145" t="str">
        <f>IF(A59&lt;&gt;"",(VLOOKUP(A59,Total!$B$5:$AL$512,12,FALSE)),"")</f>
        <v/>
      </c>
      <c r="G59" s="145" t="str">
        <f>IF(A59&lt;&gt;"",(VLOOKUP(A59,Total!$B$5:$AL$512,14,FALSE)),"")</f>
        <v/>
      </c>
      <c r="H59" s="145" t="str">
        <f>IF(A59&lt;&gt;"",(VLOOKUP(A59,Total!$B$5:$AL$512,8,FALSE)),"")</f>
        <v/>
      </c>
      <c r="I59" s="145" t="str">
        <f>IF(A59&lt;&gt;"",(VLOOKUP(A59,Total!$B$5:$AL$512,9,FALSE)),"")</f>
        <v/>
      </c>
      <c r="J59" s="145" t="str">
        <f>IF(A59&lt;&gt;"",(VLOOKUP(A59,Total!$B$5:$AL$512,10,FALSE)),"")</f>
        <v/>
      </c>
      <c r="K59" s="145" t="str">
        <f>IF(A59&lt;&gt;"",(VLOOKUP(A59,Total!$B$5:$AL$512,11,FALSE)),"")</f>
        <v/>
      </c>
      <c r="L59" s="175" t="str">
        <f>IF(A59&lt;&gt;"",(VLOOKUP(A59,Total!$B$5:$AL$512,15,FALSE)),"")</f>
        <v/>
      </c>
      <c r="M59" s="202">
        <f t="shared" si="0"/>
        <v>0</v>
      </c>
      <c r="N59" s="202">
        <f t="shared" si="1"/>
        <v>0</v>
      </c>
      <c r="O59" s="145" t="str">
        <f>IF(A59&lt;&gt;"",(VLOOKUP(A59,Total!$B$5:$AL$512,26,FALSE)),"")</f>
        <v/>
      </c>
      <c r="P59" s="145" t="str">
        <f>IF(A59&lt;&gt;"",(VLOOKUP(A59,Total!$B$5:$AL$512,27,FALSE)),"")</f>
        <v/>
      </c>
      <c r="Q59" s="145" t="str">
        <f>IF(A59&lt;&gt;"",(VLOOKUP(A59,Total!$B$5:$AL$512,28,FALSE)),"")</f>
        <v/>
      </c>
      <c r="R59" s="145" t="str">
        <f>IF(A59&lt;&gt;"",(VLOOKUP(A59,Total!$B$5:$AL$512,29,FALSE)),"")</f>
        <v/>
      </c>
      <c r="S59" s="145" t="str">
        <f>IF(A59&lt;&gt;"",(VLOOKUP(A59,Total!$B$5:$AL$512,30,FALSE)),"")</f>
        <v/>
      </c>
      <c r="T59" s="145" t="str">
        <f>IF(A59&lt;&gt;"",(VLOOKUP(A59,Total!$B$5:$AL$512,31,FALSE)),"")</f>
        <v/>
      </c>
      <c r="U59" s="145" t="str">
        <f>IF(A59&lt;&gt;"",(VLOOKUP(A59,Total!$B$5:$AL$512,32,FALSE)),"")</f>
        <v/>
      </c>
      <c r="V59" s="145" t="str">
        <f>IF(A59&lt;&gt;"",(VLOOKUP(A59,Total!$B$5:$AL$512,33,FALSE)),"")</f>
        <v/>
      </c>
      <c r="W59" s="145" t="str">
        <f>IF(A59&lt;&gt;"",(VLOOKUP(A59,Total!$B$5:$AL$512,36,FALSE)),"")</f>
        <v/>
      </c>
      <c r="X59" s="145" t="str">
        <f>IF(A59&lt;&gt;"",(VLOOKUP(A59,Total!$B$5:$AM$512,37,FALSE)),"")</f>
        <v/>
      </c>
      <c r="AA59" s="163" t="str">
        <f>IF(A59&lt;&gt;"",(VLOOKUP(A59,Total!$B$5:$AV$512,40,FALSE)),"")</f>
        <v/>
      </c>
      <c r="AB59" s="163" t="str">
        <f>IF(A59&lt;&gt;"",(VLOOKUP(A59,Total!$B$5:$AV$512,41,FALSE)),"")</f>
        <v/>
      </c>
      <c r="AC59" s="163" t="str">
        <f>IF(A59&lt;&gt;"",(VLOOKUP(A59,Total!$B$5:$AV$512,42,FALSE)),"")</f>
        <v/>
      </c>
      <c r="AD59" s="163" t="str">
        <f>IF(A59&lt;&gt;"",(VLOOKUP(A59,Total!$B$5:$AV$512,43,FALSE)),"")</f>
        <v/>
      </c>
      <c r="AE59" s="163" t="str">
        <f>IF(A59&lt;&gt;"",(VLOOKUP(A59,Total!$B$5:$AV$512,44,FALSE)),"")</f>
        <v/>
      </c>
      <c r="AF59" s="163" t="str">
        <f>IF(A59&lt;&gt;"",(VLOOKUP(A59,Total!$B$5:$AV$512,45,FALSE)),"")</f>
        <v/>
      </c>
      <c r="AG59" s="163" t="str">
        <f>IF(A59&lt;&gt;"",(VLOOKUP(A59,Total!$B$5:$AV$512,46,FALSE)),"")</f>
        <v/>
      </c>
      <c r="AH59" s="163" t="str">
        <f>IF(A59&lt;&gt;"",(VLOOKUP(A59,Total!$B$5:$AV$512,47,FALSE)),"")</f>
        <v/>
      </c>
      <c r="AI59" s="163" t="e">
        <f>VLOOKUP(AA59,Scores!$A$1:$D$157,2,FALSE)</f>
        <v>#N/A</v>
      </c>
      <c r="AJ59" s="163" t="e">
        <f>VLOOKUP(AB59,Scores!$A$1:$D$157,2,FALSE)</f>
        <v>#N/A</v>
      </c>
      <c r="AK59" s="163" t="e">
        <f>VLOOKUP(AC59,Scores!$A$1:$D$157,2,FALSE)</f>
        <v>#N/A</v>
      </c>
      <c r="AL59" s="163" t="e">
        <f>VLOOKUP(AD59,Scores!$A$1:$D$157,2,FALSE)</f>
        <v>#N/A</v>
      </c>
      <c r="AM59" s="163" t="e">
        <f>VLOOKUP(AA59,Scores!$A$1:$D$157,3,FALSE)</f>
        <v>#N/A</v>
      </c>
      <c r="AN59" s="163" t="e">
        <f>VLOOKUP(AB59,Scores!$A$1:$D$157,3,FALSE)</f>
        <v>#N/A</v>
      </c>
      <c r="AO59" s="163" t="e">
        <f>VLOOKUP(AC59,Scores!$A$1:$D$157,3,FALSE)</f>
        <v>#N/A</v>
      </c>
      <c r="AP59" s="163" t="e">
        <f>VLOOKUP(AD59,Scores!$A$1:$D$157,3,FALSE)</f>
        <v>#N/A</v>
      </c>
      <c r="AQ59" s="163" t="str">
        <f t="shared" si="2"/>
        <v/>
      </c>
      <c r="AR59" s="163">
        <f t="shared" si="3"/>
        <v>0</v>
      </c>
      <c r="AS59" s="163">
        <f t="shared" si="4"/>
        <v>0</v>
      </c>
    </row>
    <row r="60" spans="1:45" x14ac:dyDescent="0.25">
      <c r="A60" s="195"/>
      <c r="B60" s="351" t="str">
        <f>IF(A60&lt;&gt;0,VLOOKUP(A60,Total!$B$5:$AZ$512,51,FALSE),"")</f>
        <v/>
      </c>
      <c r="C60" s="352"/>
      <c r="D60" s="144" t="str">
        <f>IF(A60&lt;&gt;"",(VLOOKUP(A60,Total!$B$5:$AL$512,2,FALSE)),"")</f>
        <v/>
      </c>
      <c r="E60" s="145" t="str">
        <f>IF(A60&lt;&gt;"",(VLOOKUP(A60,Total!$B$5:$AL$512,3,FALSE)),"")</f>
        <v/>
      </c>
      <c r="F60" s="145" t="str">
        <f>IF(A60&lt;&gt;"",(VLOOKUP(A60,Total!$B$5:$AL$512,12,FALSE)),"")</f>
        <v/>
      </c>
      <c r="G60" s="145" t="str">
        <f>IF(A60&lt;&gt;"",(VLOOKUP(A60,Total!$B$5:$AL$512,14,FALSE)),"")</f>
        <v/>
      </c>
      <c r="H60" s="145" t="str">
        <f>IF(A60&lt;&gt;"",(VLOOKUP(A60,Total!$B$5:$AL$512,8,FALSE)),"")</f>
        <v/>
      </c>
      <c r="I60" s="145" t="str">
        <f>IF(A60&lt;&gt;"",(VLOOKUP(A60,Total!$B$5:$AL$512,9,FALSE)),"")</f>
        <v/>
      </c>
      <c r="J60" s="145" t="str">
        <f>IF(A60&lt;&gt;"",(VLOOKUP(A60,Total!$B$5:$AL$512,10,FALSE)),"")</f>
        <v/>
      </c>
      <c r="K60" s="145" t="str">
        <f>IF(A60&lt;&gt;"",(VLOOKUP(A60,Total!$B$5:$AL$512,11,FALSE)),"")</f>
        <v/>
      </c>
      <c r="L60" s="175" t="str">
        <f>IF(A60&lt;&gt;"",(VLOOKUP(A60,Total!$B$5:$AL$512,15,FALSE)),"")</f>
        <v/>
      </c>
      <c r="M60" s="202">
        <f t="shared" si="0"/>
        <v>0</v>
      </c>
      <c r="N60" s="202">
        <f t="shared" si="1"/>
        <v>0</v>
      </c>
      <c r="O60" s="145" t="str">
        <f>IF(A60&lt;&gt;"",(VLOOKUP(A60,Total!$B$5:$AL$512,26,FALSE)),"")</f>
        <v/>
      </c>
      <c r="P60" s="145" t="str">
        <f>IF(A60&lt;&gt;"",(VLOOKUP(A60,Total!$B$5:$AL$512,27,FALSE)),"")</f>
        <v/>
      </c>
      <c r="Q60" s="145" t="str">
        <f>IF(A60&lt;&gt;"",(VLOOKUP(A60,Total!$B$5:$AL$512,28,FALSE)),"")</f>
        <v/>
      </c>
      <c r="R60" s="145" t="str">
        <f>IF(A60&lt;&gt;"",(VLOOKUP(A60,Total!$B$5:$AL$512,29,FALSE)),"")</f>
        <v/>
      </c>
      <c r="S60" s="145" t="str">
        <f>IF(A60&lt;&gt;"",(VLOOKUP(A60,Total!$B$5:$AL$512,30,FALSE)),"")</f>
        <v/>
      </c>
      <c r="T60" s="145" t="str">
        <f>IF(A60&lt;&gt;"",(VLOOKUP(A60,Total!$B$5:$AL$512,31,FALSE)),"")</f>
        <v/>
      </c>
      <c r="U60" s="145" t="str">
        <f>IF(A60&lt;&gt;"",(VLOOKUP(A60,Total!$B$5:$AL$512,32,FALSE)),"")</f>
        <v/>
      </c>
      <c r="V60" s="145" t="str">
        <f>IF(A60&lt;&gt;"",(VLOOKUP(A60,Total!$B$5:$AL$512,33,FALSE)),"")</f>
        <v/>
      </c>
      <c r="W60" s="145" t="str">
        <f>IF(A60&lt;&gt;"",(VLOOKUP(A60,Total!$B$5:$AL$512,36,FALSE)),"")</f>
        <v/>
      </c>
      <c r="X60" s="145" t="str">
        <f>IF(A60&lt;&gt;"",(VLOOKUP(A60,Total!$B$5:$AM$512,37,FALSE)),"")</f>
        <v/>
      </c>
      <c r="AA60" s="163" t="str">
        <f>IF(A60&lt;&gt;"",(VLOOKUP(A60,Total!$B$5:$AV$512,38,FALSE)),"")</f>
        <v/>
      </c>
      <c r="AB60" s="163" t="str">
        <f>IF(A60&lt;&gt;"",(VLOOKUP(A60,Total!$B$5:$AV$512,41,FALSE)),"")</f>
        <v/>
      </c>
      <c r="AC60" s="163" t="str">
        <f>IF(A60&lt;&gt;"",(VLOOKUP(A60,Total!$B$5:$AV$512,42,FALSE)),"")</f>
        <v/>
      </c>
      <c r="AD60" s="163" t="str">
        <f>IF(A60&lt;&gt;"",(VLOOKUP(A60,Total!$B$5:$AV$512,43,FALSE)),"")</f>
        <v/>
      </c>
      <c r="AE60" s="163" t="str">
        <f>IF(A60&lt;&gt;"",(VLOOKUP(A60,Total!$B$5:$AV$512,44,FALSE)),"")</f>
        <v/>
      </c>
      <c r="AF60" s="163" t="str">
        <f>IF(A60&lt;&gt;"",(VLOOKUP(A60,Total!$B$5:$AV$512,45,FALSE)),"")</f>
        <v/>
      </c>
      <c r="AG60" s="163" t="str">
        <f>IF(A60&lt;&gt;"",(VLOOKUP(A60,Total!$B$5:$AV$512,46,FALSE)),"")</f>
        <v/>
      </c>
      <c r="AH60" s="163" t="str">
        <f>IF(A60&lt;&gt;"",(VLOOKUP(A60,Total!$B$5:$AV$512,47,FALSE)),"")</f>
        <v/>
      </c>
      <c r="AI60" s="163" t="e">
        <f>VLOOKUP(AA60,Scores!$A$1:$D$157,2,FALSE)</f>
        <v>#N/A</v>
      </c>
      <c r="AJ60" s="163" t="e">
        <f>VLOOKUP(AB60,Scores!$A$1:$D$157,2,FALSE)</f>
        <v>#N/A</v>
      </c>
      <c r="AK60" s="163" t="e">
        <f>VLOOKUP(AC60,Scores!$A$1:$D$157,2,FALSE)</f>
        <v>#N/A</v>
      </c>
      <c r="AL60" s="163" t="e">
        <f>VLOOKUP(AD60,Scores!$A$1:$D$157,2,FALSE)</f>
        <v>#N/A</v>
      </c>
      <c r="AM60" s="163" t="e">
        <f>VLOOKUP(AA60,Scores!$A$1:$D$157,3,FALSE)</f>
        <v>#N/A</v>
      </c>
      <c r="AN60" s="163" t="e">
        <f>VLOOKUP(AB60,Scores!$A$1:$D$157,3,FALSE)</f>
        <v>#N/A</v>
      </c>
      <c r="AO60" s="163" t="e">
        <f>VLOOKUP(AC60,Scores!$A$1:$D$157,3,FALSE)</f>
        <v>#N/A</v>
      </c>
      <c r="AP60" s="163" t="e">
        <f>VLOOKUP(AD60,Scores!$A$1:$D$157,3,FALSE)</f>
        <v>#N/A</v>
      </c>
      <c r="AQ60" s="163" t="str">
        <f t="shared" si="2"/>
        <v/>
      </c>
      <c r="AR60" s="163">
        <f t="shared" si="3"/>
        <v>0</v>
      </c>
      <c r="AS60" s="163">
        <f t="shared" si="4"/>
        <v>0</v>
      </c>
    </row>
  </sheetData>
  <sheetProtection algorithmName="SHA-512" hashValue="FLKR1v0RKHOHs2YNd2GNQi9YWKhXXSD87Iy0f2oyO1SQl1pXFy/K+hdiuQ5RbpV+YIhMz15zQANnMzTFjVoKTA==" saltValue="YZCnZOzBBU4qlSmxQNDCEQ==" spinCount="100000" sheet="1" objects="1" scenarios="1"/>
  <mergeCells count="4">
    <mergeCell ref="O9:X9"/>
    <mergeCell ref="H9:J9"/>
    <mergeCell ref="C7:G7"/>
    <mergeCell ref="M9:N9"/>
  </mergeCells>
  <phoneticPr fontId="18" type="noConversion"/>
  <conditionalFormatting sqref="F11:G60">
    <cfRule type="containsText" dxfId="2349" priority="21" operator="containsText" text="!">
      <formula>NOT(ISERROR(SEARCH("!",F11)))</formula>
    </cfRule>
  </conditionalFormatting>
  <conditionalFormatting sqref="H11:H60">
    <cfRule type="cellIs" dxfId="2348" priority="17" operator="equal">
      <formula>100</formula>
    </cfRule>
    <cfRule type="cellIs" dxfId="2347" priority="18" operator="equal">
      <formula>50</formula>
    </cfRule>
    <cfRule type="cellIs" dxfId="2346" priority="19" operator="equal">
      <formula>20</formula>
    </cfRule>
    <cfRule type="cellIs" dxfId="2345" priority="20" operator="equal">
      <formula>6</formula>
    </cfRule>
  </conditionalFormatting>
  <conditionalFormatting sqref="I11:J60">
    <cfRule type="cellIs" dxfId="2344" priority="13" operator="equal">
      <formula>50</formula>
    </cfRule>
    <cfRule type="cellIs" dxfId="2343" priority="14" operator="equal">
      <formula>20</formula>
    </cfRule>
    <cfRule type="cellIs" dxfId="2342" priority="15" operator="equal">
      <formula>6</formula>
    </cfRule>
    <cfRule type="cellIs" dxfId="2341" priority="16" operator="equal">
      <formula>3</formula>
    </cfRule>
  </conditionalFormatting>
  <conditionalFormatting sqref="K11:K60">
    <cfRule type="containsText" dxfId="2340" priority="9" operator="containsText" text="4 pt">
      <formula>NOT(ISERROR(SEARCH("4 pt",K11)))</formula>
    </cfRule>
    <cfRule type="containsText" dxfId="2339" priority="10" operator="containsText" text="3 pt">
      <formula>NOT(ISERROR(SEARCH("3 pt",K11)))</formula>
    </cfRule>
    <cfRule type="containsText" dxfId="2338" priority="11" operator="containsText" text="2 pt">
      <formula>NOT(ISERROR(SEARCH("2 pt",K11)))</formula>
    </cfRule>
    <cfRule type="containsText" dxfId="2337" priority="12" operator="containsText" text="1 pt">
      <formula>NOT(ISERROR(SEARCH("1 pt",K11)))</formula>
    </cfRule>
  </conditionalFormatting>
  <conditionalFormatting sqref="M11:N60">
    <cfRule type="cellIs" priority="4" operator="equal">
      <formula>0</formula>
    </cfRule>
    <cfRule type="cellIs" dxfId="2336" priority="6" operator="greaterThan">
      <formula>1000</formula>
    </cfRule>
    <cfRule type="cellIs" dxfId="2335" priority="7" operator="between">
      <formula>10</formula>
      <formula>1000</formula>
    </cfRule>
    <cfRule type="cellIs" dxfId="2334" priority="8" operator="between">
      <formula>0.0000000000001</formula>
      <formula>10</formula>
    </cfRule>
  </conditionalFormatting>
  <conditionalFormatting sqref="O11:X60">
    <cfRule type="cellIs" dxfId="2333" priority="1" operator="equal">
      <formula>3</formula>
    </cfRule>
    <cfRule type="cellIs" dxfId="2332" priority="2" operator="equal">
      <formula>2</formula>
    </cfRule>
    <cfRule type="cellIs" dxfId="2331" priority="3" operator="equal">
      <formula>1</formula>
    </cfRule>
  </conditionalFormatting>
  <dataValidations count="1">
    <dataValidation allowBlank="1" showInputMessage="1" showErrorMessage="1" errorTitle="Choix du produit" error="Choisissez un produit dans la liste" sqref="B11:B60" xr:uid="{10321EBE-6D8A-4B43-A40C-9696FD3C1502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hoix du produit" error="Choisissez un produit dans la liste" xr:uid="{757DA88F-A9E6-47E1-BEDA-5D8B1AF5B0A7}">
          <x14:formula1>
            <xm:f>Total!$B$5:$B$512</xm:f>
          </x14:formula1>
          <xm:sqref>A11:A60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7CC2-A5CF-47BD-AA77-9F17030FE251}">
  <dimension ref="A1:CQ45"/>
  <sheetViews>
    <sheetView workbookViewId="0">
      <selection activeCell="A9" sqref="A9"/>
    </sheetView>
  </sheetViews>
  <sheetFormatPr baseColWidth="10" defaultColWidth="0" defaultRowHeight="15" outlineLevelCol="1" x14ac:dyDescent="0.25"/>
  <cols>
    <col min="1" max="1" width="22.42578125" style="26" customWidth="1"/>
    <col min="2" max="2" width="5.85546875" style="212" customWidth="1"/>
    <col min="3" max="3" width="9" style="212" customWidth="1"/>
    <col min="4" max="4" width="5.85546875" style="212" customWidth="1"/>
    <col min="5" max="5" width="8.7109375" style="212" customWidth="1"/>
    <col min="6" max="6" width="9.7109375" style="212" customWidth="1"/>
    <col min="7" max="7" width="5.85546875" style="212" customWidth="1"/>
    <col min="8" max="8" width="22.7109375" style="26" customWidth="1"/>
    <col min="9" max="9" width="4.7109375" style="26" customWidth="1" outlineLevel="1"/>
    <col min="10" max="12" width="7" style="26" customWidth="1" outlineLevel="1"/>
    <col min="13" max="14" width="5.42578125" style="26" customWidth="1" outlineLevel="1"/>
    <col min="15" max="23" width="5.5703125" style="26" customWidth="1" outlineLevel="1"/>
    <col min="24" max="25" width="7.85546875" style="26" customWidth="1" outlineLevel="1"/>
    <col min="26" max="26" width="7.85546875" style="26" customWidth="1"/>
    <col min="27" max="28" width="5.5703125" style="26" hidden="1" customWidth="1"/>
    <col min="29" max="29" width="4.5703125" style="26" hidden="1" customWidth="1"/>
    <col min="30" max="37" width="7.5703125" style="26" customWidth="1"/>
    <col min="38" max="38" width="41.7109375" style="26" customWidth="1"/>
    <col min="39" max="39" width="5" style="26" customWidth="1"/>
    <col min="40" max="69" width="3.7109375" style="186" hidden="1" customWidth="1"/>
    <col min="70" max="75" width="3.140625" style="186" hidden="1" customWidth="1"/>
    <col min="76" max="16384" width="11.42578125" style="186" hidden="1"/>
  </cols>
  <sheetData>
    <row r="1" spans="1:95" ht="23.25" x14ac:dyDescent="0.35">
      <c r="A1" s="211" t="str">
        <f>+Textes!A220</f>
        <v>Appréciation du risque de dérive et de ruissellement pour les parcelles d'une exploitation</v>
      </c>
    </row>
    <row r="2" spans="1:95" ht="7.5" customHeight="1" x14ac:dyDescent="0.3">
      <c r="A2" s="213"/>
    </row>
    <row r="3" spans="1:95" x14ac:dyDescent="0.25">
      <c r="A3" s="214" t="str">
        <f>+Liste!A7</f>
        <v>Nom d'exploitation</v>
      </c>
      <c r="B3" s="243"/>
      <c r="C3" s="243"/>
      <c r="D3" s="243"/>
      <c r="E3" s="243"/>
      <c r="F3" s="243"/>
      <c r="G3" s="215" t="str">
        <f>+Liste!J7</f>
        <v>No</v>
      </c>
      <c r="H3" s="244"/>
    </row>
    <row r="4" spans="1:95" ht="8.25" customHeight="1" thickBot="1" x14ac:dyDescent="0.35">
      <c r="A4" s="213"/>
    </row>
    <row r="5" spans="1:95" ht="15.75" thickBot="1" x14ac:dyDescent="0.3">
      <c r="O5" s="292" t="str">
        <f>+Textes!A221</f>
        <v>Mesures de réduction à l'application ou à la parcelle</v>
      </c>
      <c r="P5" s="293"/>
      <c r="Q5" s="293"/>
      <c r="R5" s="293"/>
      <c r="S5" s="293"/>
      <c r="T5" s="293"/>
      <c r="U5" s="293"/>
      <c r="V5" s="293"/>
      <c r="W5" s="293"/>
      <c r="X5" s="293"/>
      <c r="Y5" s="294"/>
    </row>
    <row r="6" spans="1:95" ht="15.75" thickBot="1" x14ac:dyDescent="0.3">
      <c r="C6" s="305" t="str">
        <f>+Textes!A222</f>
        <v>Distance du bord de parcelle</v>
      </c>
      <c r="D6" s="306"/>
      <c r="E6" s="306"/>
      <c r="F6" s="306"/>
      <c r="G6" s="306"/>
      <c r="H6" s="307"/>
      <c r="I6" s="301" t="str">
        <f>+Textes!A223</f>
        <v>Appréciation 1</v>
      </c>
      <c r="J6" s="302"/>
      <c r="K6" s="302"/>
      <c r="L6" s="302"/>
      <c r="M6" s="302"/>
      <c r="N6" s="303"/>
      <c r="O6" s="295" t="str">
        <f>+Textes!A224</f>
        <v>dérive</v>
      </c>
      <c r="P6" s="296"/>
      <c r="Q6" s="296"/>
      <c r="R6" s="297"/>
      <c r="S6" s="295" t="str">
        <f>+Textes!A225</f>
        <v>ruissellement</v>
      </c>
      <c r="T6" s="296"/>
      <c r="U6" s="296"/>
      <c r="V6" s="296"/>
      <c r="W6" s="296"/>
      <c r="X6" s="296"/>
      <c r="Y6" s="297"/>
      <c r="AA6" s="216"/>
      <c r="AB6" s="216"/>
      <c r="AD6" s="301" t="str">
        <f>+Textes!A226</f>
        <v>Appréciation 2 (après mesures à la parcelle)</v>
      </c>
      <c r="AE6" s="302"/>
      <c r="AF6" s="302"/>
      <c r="AG6" s="302"/>
      <c r="AH6" s="302"/>
      <c r="AI6" s="303"/>
      <c r="AJ6" s="216"/>
      <c r="AK6" s="216"/>
      <c r="AL6" s="216"/>
      <c r="AM6" s="216"/>
    </row>
    <row r="7" spans="1:95" ht="126.75" customHeight="1" x14ac:dyDescent="0.25">
      <c r="A7" s="217"/>
      <c r="B7" s="218" t="str">
        <f>+Textes!A227</f>
        <v>Pente de la parcelle</v>
      </c>
      <c r="C7" s="219" t="str">
        <f>+Textes!A228</f>
        <v>Eau de surface</v>
      </c>
      <c r="D7" s="220" t="str">
        <f>+Textes!A229</f>
        <v>Eau en contre-bas de la parcelle</v>
      </c>
      <c r="E7" s="221" t="str">
        <f>+Textes!A230</f>
        <v>Biotope</v>
      </c>
      <c r="F7" s="222" t="str">
        <f>+Textes!A231</f>
        <v>Habitations ou zone publique</v>
      </c>
      <c r="G7" s="222" t="str">
        <f>+Textes!A232</f>
        <v>Evacuation sur une route drainée en contre-bas</v>
      </c>
      <c r="H7" s="223" t="str">
        <f>+Textes!A233</f>
        <v>Type de buses de pulvérisation</v>
      </c>
      <c r="I7" s="219" t="str">
        <f>+Textes!A234</f>
        <v>Dérive PER</v>
      </c>
      <c r="J7" s="224" t="str">
        <f>+Textes!A235</f>
        <v>Dérive eau</v>
      </c>
      <c r="K7" s="221" t="str">
        <f>+Textes!A236</f>
        <v>Dérive biotope</v>
      </c>
      <c r="L7" s="221" t="str">
        <f>+Textes!A237</f>
        <v>Dérive zone publique</v>
      </c>
      <c r="M7" s="221" t="str">
        <f>+Textes!A238</f>
        <v>Ruissellement eau</v>
      </c>
      <c r="N7" s="225" t="str">
        <f>+Textes!A239</f>
        <v>Ruissellement route</v>
      </c>
      <c r="O7" s="222" t="str">
        <f>+Textes!A240</f>
        <v>Traitement en bandes</v>
      </c>
      <c r="P7" s="222" t="str">
        <f>+Textes!A241</f>
        <v>Pulvérisation sous-foliaire</v>
      </c>
      <c r="Q7" s="226" t="str">
        <f>+Textes!A242</f>
        <v>Barrière verticale dépassant culture de 1m</v>
      </c>
      <c r="R7" s="223" t="str">
        <f>+Textes!A243</f>
        <v>Bande végétalisée (hauteur de la culture)</v>
      </c>
      <c r="S7" s="220" t="str">
        <f>+Textes!A244</f>
        <v>Travail du sol sans labour</v>
      </c>
      <c r="T7" s="260" t="str">
        <f>+Textes!A245</f>
        <v>Diguettes transversales</v>
      </c>
      <c r="U7" s="260" t="str">
        <f>+Textes!A246</f>
        <v>Enherbement des passages de traitement</v>
      </c>
      <c r="V7" s="260" t="str">
        <f>+Textes!A247</f>
        <v>Bandes enherbées à l'origine du ruissellement</v>
      </c>
      <c r="W7" s="260" t="str">
        <f>+Textes!A248</f>
        <v>Enherbement des tournières</v>
      </c>
      <c r="X7" s="226" t="str">
        <f>+Textes!A249</f>
        <v>Enherbement entre parcelle et eau de surface</v>
      </c>
      <c r="Y7" s="223" t="str">
        <f>+Textes!A250</f>
        <v>dont en bordure de route</v>
      </c>
      <c r="AA7" s="219" t="str">
        <f>+Textes!A251</f>
        <v>Points de dérive</v>
      </c>
      <c r="AB7" s="223" t="str">
        <f>+Textes!A252</f>
        <v>Points de ruissellement</v>
      </c>
      <c r="AD7" s="219" t="str">
        <f>+Textes!A234</f>
        <v>Dérive PER</v>
      </c>
      <c r="AE7" s="224" t="str">
        <f>+Textes!A235</f>
        <v>Dérive eau</v>
      </c>
      <c r="AF7" s="221" t="str">
        <f>+Textes!A236</f>
        <v>Dérive biotope</v>
      </c>
      <c r="AG7" s="221" t="str">
        <f>+Textes!A237</f>
        <v>Dérive zone publique</v>
      </c>
      <c r="AH7" s="221" t="str">
        <f>+Textes!A238</f>
        <v>Ruissellement eau</v>
      </c>
      <c r="AI7" s="225" t="str">
        <f>+Textes!A239</f>
        <v>Ruissellement route</v>
      </c>
      <c r="AJ7" s="227" t="str">
        <f>+Liste!F10</f>
        <v>Zone de source S2</v>
      </c>
      <c r="AK7" s="218" t="str">
        <f>+Liste!G10</f>
        <v>Zone karstique</v>
      </c>
      <c r="AL7" s="228" t="str">
        <f>+Textes!A49</f>
        <v>Remarque</v>
      </c>
      <c r="AM7" s="229"/>
      <c r="AN7" s="187" t="s">
        <v>1705</v>
      </c>
      <c r="AO7" s="188" t="s">
        <v>1736</v>
      </c>
      <c r="AP7" s="188" t="s">
        <v>1737</v>
      </c>
      <c r="AQ7" s="187" t="s">
        <v>1730</v>
      </c>
      <c r="AR7" s="187" t="s">
        <v>1706</v>
      </c>
      <c r="AS7" s="187" t="s">
        <v>1731</v>
      </c>
      <c r="AT7" s="187" t="s">
        <v>1732</v>
      </c>
      <c r="AU7" s="187" t="s">
        <v>818</v>
      </c>
      <c r="AV7" s="187" t="s">
        <v>1710</v>
      </c>
      <c r="AW7" s="187" t="s">
        <v>1711</v>
      </c>
      <c r="AX7" s="187" t="s">
        <v>1707</v>
      </c>
      <c r="AY7" s="189" t="s">
        <v>1708</v>
      </c>
      <c r="AZ7" s="189" t="s">
        <v>1709</v>
      </c>
      <c r="BA7" s="190" t="s">
        <v>1724</v>
      </c>
      <c r="BB7" s="190" t="s">
        <v>828</v>
      </c>
      <c r="BC7" s="190" t="s">
        <v>1753</v>
      </c>
      <c r="BD7" s="190" t="s">
        <v>1763</v>
      </c>
      <c r="BE7" s="190" t="s">
        <v>1717</v>
      </c>
      <c r="BF7" s="190" t="s">
        <v>1718</v>
      </c>
      <c r="BG7" s="190" t="s">
        <v>1719</v>
      </c>
      <c r="BH7" s="190" t="s">
        <v>1720</v>
      </c>
      <c r="BI7" s="190" t="s">
        <v>1721</v>
      </c>
      <c r="BJ7" s="190" t="s">
        <v>1722</v>
      </c>
      <c r="BK7" s="190" t="s">
        <v>1773</v>
      </c>
      <c r="BL7" s="190" t="s">
        <v>1757</v>
      </c>
      <c r="BM7" s="190" t="s">
        <v>1764</v>
      </c>
      <c r="BN7" s="190" t="s">
        <v>1754</v>
      </c>
      <c r="BO7" s="190" t="s">
        <v>1758</v>
      </c>
      <c r="BP7" s="190" t="s">
        <v>1750</v>
      </c>
      <c r="BQ7" s="190" t="s">
        <v>1774</v>
      </c>
      <c r="BR7" s="190"/>
      <c r="BS7" s="187" t="s">
        <v>1710</v>
      </c>
      <c r="BT7" s="187" t="s">
        <v>1711</v>
      </c>
      <c r="BU7" s="187" t="s">
        <v>1707</v>
      </c>
      <c r="BV7" s="189" t="s">
        <v>1708</v>
      </c>
      <c r="BW7" s="189" t="s">
        <v>1709</v>
      </c>
      <c r="BY7" s="187" t="s">
        <v>1036</v>
      </c>
      <c r="CB7" s="187" t="s">
        <v>390</v>
      </c>
      <c r="CD7" s="186" t="s">
        <v>1735</v>
      </c>
    </row>
    <row r="8" spans="1:95" ht="17.25" customHeight="1" thickBot="1" x14ac:dyDescent="0.3">
      <c r="A8" s="230"/>
      <c r="B8" s="231" t="s">
        <v>1714</v>
      </c>
      <c r="C8" s="232" t="str">
        <f>+Textes!A253</f>
        <v>en m</v>
      </c>
      <c r="D8" s="233" t="s">
        <v>1723</v>
      </c>
      <c r="E8" s="233" t="str">
        <f>+C8</f>
        <v>en m</v>
      </c>
      <c r="F8" s="233" t="str">
        <f>+E8</f>
        <v>en m</v>
      </c>
      <c r="G8" s="233" t="s">
        <v>1723</v>
      </c>
      <c r="H8" s="234"/>
      <c r="I8" s="298" t="str">
        <f>+Textes!A254</f>
        <v>Produit: prescription maximale tolérée</v>
      </c>
      <c r="J8" s="299"/>
      <c r="K8" s="299"/>
      <c r="L8" s="299"/>
      <c r="M8" s="299"/>
      <c r="N8" s="300"/>
      <c r="O8" s="233" t="s">
        <v>1723</v>
      </c>
      <c r="P8" s="233" t="s">
        <v>1723</v>
      </c>
      <c r="Q8" s="235" t="s">
        <v>1723</v>
      </c>
      <c r="R8" s="236" t="s">
        <v>1723</v>
      </c>
      <c r="S8" s="237" t="s">
        <v>1723</v>
      </c>
      <c r="T8" s="261" t="str">
        <f>+S8</f>
        <v>o/n</v>
      </c>
      <c r="U8" s="261" t="str">
        <f>+T8</f>
        <v>o/n</v>
      </c>
      <c r="V8" s="261" t="str">
        <f>+U8</f>
        <v>o/n</v>
      </c>
      <c r="W8" s="261" t="str">
        <f>+V8</f>
        <v>o/n</v>
      </c>
      <c r="X8" s="235" t="str">
        <f>+F8</f>
        <v>en m</v>
      </c>
      <c r="Y8" s="236" t="str">
        <f>+X8</f>
        <v>en m</v>
      </c>
      <c r="AA8" s="209"/>
      <c r="AB8" s="210"/>
      <c r="AD8" s="298" t="str">
        <f>+I8</f>
        <v>Produit: prescription maximale tolérée</v>
      </c>
      <c r="AE8" s="299"/>
      <c r="AF8" s="299"/>
      <c r="AG8" s="299"/>
      <c r="AH8" s="299"/>
      <c r="AI8" s="300"/>
      <c r="AJ8" s="237" t="s">
        <v>1723</v>
      </c>
      <c r="AK8" s="235" t="s">
        <v>1723</v>
      </c>
      <c r="AL8" s="233"/>
      <c r="AM8" s="238"/>
      <c r="BA8" s="186">
        <v>1</v>
      </c>
      <c r="BB8" s="186">
        <v>1.5</v>
      </c>
      <c r="BC8" s="186">
        <v>1</v>
      </c>
      <c r="BD8" s="186">
        <v>1</v>
      </c>
      <c r="BE8" s="186">
        <v>1</v>
      </c>
      <c r="BF8" s="186">
        <v>1</v>
      </c>
      <c r="BG8" s="186">
        <v>1</v>
      </c>
      <c r="BH8" s="186">
        <v>1</v>
      </c>
      <c r="BI8" s="186">
        <v>1</v>
      </c>
      <c r="BJ8" s="191" t="s">
        <v>982</v>
      </c>
      <c r="BK8" s="192" t="s">
        <v>982</v>
      </c>
      <c r="BL8" s="191"/>
      <c r="BM8" s="191"/>
      <c r="BY8" s="186" t="s">
        <v>1745</v>
      </c>
      <c r="BZ8" s="186">
        <v>3</v>
      </c>
      <c r="CA8" s="186">
        <v>0</v>
      </c>
      <c r="CB8" s="186" t="s">
        <v>1782</v>
      </c>
      <c r="CC8" s="186">
        <v>0</v>
      </c>
      <c r="CD8" s="186" t="s">
        <v>1782</v>
      </c>
      <c r="CE8" s="186">
        <v>0</v>
      </c>
      <c r="CF8" s="186" t="s">
        <v>985</v>
      </c>
      <c r="CG8" s="186">
        <v>1</v>
      </c>
      <c r="CH8" s="186" t="s">
        <v>1725</v>
      </c>
      <c r="CI8" s="186">
        <v>0</v>
      </c>
      <c r="CJ8" s="186">
        <v>0</v>
      </c>
      <c r="CK8" s="186" t="s">
        <v>1743</v>
      </c>
      <c r="CL8" s="186">
        <v>0</v>
      </c>
      <c r="CM8" s="186" t="s">
        <v>1744</v>
      </c>
      <c r="CN8" s="186">
        <v>0</v>
      </c>
      <c r="CO8" s="186" t="s">
        <v>1744</v>
      </c>
      <c r="CP8" s="186" t="s">
        <v>1765</v>
      </c>
      <c r="CQ8" s="186">
        <v>0</v>
      </c>
    </row>
    <row r="9" spans="1:95" x14ac:dyDescent="0.25">
      <c r="A9" s="176" t="s">
        <v>1780</v>
      </c>
      <c r="B9" s="177">
        <v>5</v>
      </c>
      <c r="C9" s="178" t="s">
        <v>1746</v>
      </c>
      <c r="D9" s="179" t="s">
        <v>986</v>
      </c>
      <c r="E9" s="180" t="s">
        <v>1745</v>
      </c>
      <c r="F9" s="180" t="s">
        <v>1782</v>
      </c>
      <c r="G9" s="180" t="s">
        <v>985</v>
      </c>
      <c r="H9" s="181" t="s">
        <v>1727</v>
      </c>
      <c r="I9" s="204" t="str">
        <f t="shared" ref="I9:I34" si="0">IF(A9&lt;&gt;"",IF(AU9&gt;=1,$CF$12,$CF$13),"")</f>
        <v>OK</v>
      </c>
      <c r="J9" s="205" t="str">
        <f t="shared" ref="J9:J34" si="1">IF(A9&lt;&gt;"",VLOOKUP(AX9,$CJ$8:$CK$13,2,FALSE),"")</f>
        <v>ZNT 50</v>
      </c>
      <c r="K9" s="206" t="str">
        <f t="shared" ref="K9:K34" si="2">IF(A9&lt;&gt;"",VLOOKUP(AY9,$CL$8:$CM$13,2,FALSE),"")</f>
        <v>ZNT 20</v>
      </c>
      <c r="L9" s="207" t="str">
        <f t="shared" ref="L9:L34" si="3">IF(A9&lt;&gt;"",VLOOKUP(AZ9,$CN$8:$CO$12,2,FALSE),"")</f>
        <v>ZNT 6</v>
      </c>
      <c r="M9" s="206" t="str">
        <f>IF(A9&lt;&gt;"",IF(AV9&gt;=1,$CF$13,$CF$12),"")</f>
        <v>OK</v>
      </c>
      <c r="N9" s="208" t="str">
        <f>IF(A9&lt;&gt;"",IF(AW9&gt;=1,$CF$13,$CF$12),"")</f>
        <v>N</v>
      </c>
      <c r="O9" s="182" t="s">
        <v>986</v>
      </c>
      <c r="P9" s="182" t="s">
        <v>986</v>
      </c>
      <c r="Q9" s="183" t="s">
        <v>986</v>
      </c>
      <c r="R9" s="184" t="s">
        <v>985</v>
      </c>
      <c r="S9" s="185" t="s">
        <v>986</v>
      </c>
      <c r="T9" s="182" t="s">
        <v>986</v>
      </c>
      <c r="U9" s="182" t="s">
        <v>986</v>
      </c>
      <c r="V9" s="182" t="s">
        <v>986</v>
      </c>
      <c r="W9" s="182" t="s">
        <v>985</v>
      </c>
      <c r="X9" s="183" t="s">
        <v>1755</v>
      </c>
      <c r="Y9" s="184" t="s">
        <v>1765</v>
      </c>
      <c r="AA9" s="209">
        <f t="shared" ref="AA9:AA34" si="4">IF(A9&lt;&gt;"",BN9,"")</f>
        <v>2</v>
      </c>
      <c r="AB9" s="210">
        <f t="shared" ref="AB9:AB34" si="5">IF(A9&lt;&gt;"",BP9,"")</f>
        <v>3</v>
      </c>
      <c r="AD9" s="239" t="str">
        <f t="shared" ref="AD9:AD34" si="6">IF(A9&lt;&gt;"",IF((AU9+BA9+BB9+BC9+BD9)&gt;=1,$CF$12,$CF$13),"")</f>
        <v>OK</v>
      </c>
      <c r="AE9" s="240" t="str">
        <f t="shared" ref="AE9:AE34" si="7">IF(A9&lt;&gt;"",VLOOKUP(BU9,$CJ$8:$CK$18,2,FALSE),"")</f>
        <v>ZNT 100</v>
      </c>
      <c r="AF9" s="240" t="str">
        <f t="shared" ref="AF9:AF34" si="8">IF(A9&lt;&gt;"",VLOOKUP(BV9,$CL$8:$CM$18,2,FALSE),"")</f>
        <v>ZNT 50</v>
      </c>
      <c r="AG9" s="240" t="str">
        <f t="shared" ref="AG9:AG34" si="9">IF(A9&lt;&gt;"",VLOOKUP(BW9,$CN$8:$CO$18,2,FALSE),"")</f>
        <v>ZNT 20</v>
      </c>
      <c r="AH9" s="240" t="str">
        <f>IF(M9="OK","4 pt",AB9&amp;"  pt")</f>
        <v>4 pt</v>
      </c>
      <c r="AI9" s="241" t="str">
        <f>IF(A9&lt;&gt;"",IF(OR(N9="OK",BQ9&gt;=1),$CF$12,$CF$13),"")</f>
        <v>OK</v>
      </c>
      <c r="AJ9" s="185" t="s">
        <v>985</v>
      </c>
      <c r="AK9" s="183" t="s">
        <v>985</v>
      </c>
      <c r="AL9" s="182"/>
      <c r="AM9" s="216"/>
      <c r="AN9" s="186">
        <f t="shared" ref="AN9:AN34" si="10">IF(B9&gt;2,1,0)</f>
        <v>1</v>
      </c>
      <c r="AO9" s="186">
        <f t="shared" ref="AO9:AO34" si="11">VLOOKUP(C9,$BY$8:$BZ$11,2,FALSE)</f>
        <v>2</v>
      </c>
      <c r="AP9" s="186">
        <f t="shared" ref="AP9:AP34" si="12">VLOOKUP(C9,$BY$8:$CA$11,3,FALSE)</f>
        <v>1</v>
      </c>
      <c r="AQ9" s="186">
        <f t="shared" ref="AQ9:AQ34" si="13">IF(D9=$CF$9,0,1)</f>
        <v>0</v>
      </c>
      <c r="AR9" s="186">
        <f t="shared" ref="AR9:AR34" si="14">VLOOKUP(E9,$CB$8:$CC$11,2,FALSE)</f>
        <v>1</v>
      </c>
      <c r="AS9" s="186">
        <f t="shared" ref="AS9:AS34" si="15">VLOOKUP(F9,$CD$8:$CE$10,2,FALSE)</f>
        <v>0</v>
      </c>
      <c r="AT9" s="186">
        <f t="shared" ref="AT9:AT34" si="16">IF(G9=$CF$9,0,1)</f>
        <v>1</v>
      </c>
      <c r="AU9" s="186">
        <f t="shared" ref="AU9:AU34" si="17">VLOOKUP(H9,$CH$8:$CI$11,2,FALSE)</f>
        <v>1</v>
      </c>
      <c r="AV9" s="186">
        <f>AN9*AQ9*AO9</f>
        <v>0</v>
      </c>
      <c r="AW9" s="186">
        <f>AN9*AT9</f>
        <v>1</v>
      </c>
      <c r="AX9" s="186">
        <f>AP9+AU9</f>
        <v>2</v>
      </c>
      <c r="AY9" s="186">
        <f>AR9+AU9</f>
        <v>2</v>
      </c>
      <c r="AZ9" s="186">
        <f>AS9+AU9</f>
        <v>1</v>
      </c>
      <c r="BA9" s="186">
        <f t="shared" ref="BA9:BA34" si="18">VLOOKUP(O9,$CF$8:$CG$9,2,FALSE)</f>
        <v>0</v>
      </c>
      <c r="BB9" s="186">
        <f t="shared" ref="BB9:BB34" si="19">VLOOKUP(P9,$CF$8:$CG$9,2,FALSE)</f>
        <v>0</v>
      </c>
      <c r="BC9" s="186">
        <f t="shared" ref="BC9:BC34" si="20">VLOOKUP(R9,$CF$8:$CG$9,2,FALSE)</f>
        <v>1</v>
      </c>
      <c r="BD9" s="186">
        <f>VLOOKUP(Q9,$CF$8:$CG$9,2,FALSE)</f>
        <v>0</v>
      </c>
      <c r="BE9" s="186">
        <f t="shared" ref="BE9:BE34" si="21">VLOOKUP(S9,$CF$8:$CG$9,2,FALSE)</f>
        <v>0</v>
      </c>
      <c r="BF9" s="186">
        <f t="shared" ref="BF9:BF34" si="22">VLOOKUP(T9,$CF$8:$CG$9,2,FALSE)</f>
        <v>0</v>
      </c>
      <c r="BG9" s="186">
        <f t="shared" ref="BG9:BG34" si="23">VLOOKUP(U9,$CF$8:$CG$9,2,FALSE)</f>
        <v>0</v>
      </c>
      <c r="BH9" s="186">
        <f t="shared" ref="BH9:BH34" si="24">VLOOKUP(V9,$CF$8:$CG$9,2,FALSE)</f>
        <v>0</v>
      </c>
      <c r="BI9" s="186">
        <f t="shared" ref="BI9:BI34" si="25">VLOOKUP(W9,$CF$8:$CG$9,2,FALSE)</f>
        <v>1</v>
      </c>
      <c r="BJ9" s="186">
        <f>VLOOKUP(X9,$CP$8:$CQ$11,2,FALSE)</f>
        <v>2</v>
      </c>
      <c r="BK9" s="186">
        <f>VLOOKUP(Y9,$CP$8:$CQ$11,2,FALSE)</f>
        <v>0</v>
      </c>
      <c r="BL9" s="186">
        <f t="shared" ref="BL9:BL34" si="26">IF(SUM(BA9+BB9)&gt;CQ13,1,0)</f>
        <v>0</v>
      </c>
      <c r="BM9" s="186">
        <f>IF((BC9+BD9)=0,0,1)</f>
        <v>1</v>
      </c>
      <c r="BN9" s="186">
        <f>+AU9+BL9+BM9</f>
        <v>2</v>
      </c>
      <c r="BO9" s="186">
        <f>BF9+BG9+BH9+BI9</f>
        <v>1</v>
      </c>
      <c r="BP9" s="186">
        <f>IF((BJ9+BE9+BO9)&lt;=4,(BJ9+BE9+BO9),4)</f>
        <v>3</v>
      </c>
      <c r="BQ9" s="186">
        <f>+BK9+BE9+BO9</f>
        <v>1</v>
      </c>
      <c r="BR9" s="186">
        <f t="shared" ref="BR9:BR34" si="27">IF(A9&lt;&gt;"",1,2)</f>
        <v>1</v>
      </c>
      <c r="BS9" s="186">
        <f>+AV9-BP9</f>
        <v>-3</v>
      </c>
      <c r="BT9" s="186">
        <f>+AW9-BP9</f>
        <v>-2</v>
      </c>
      <c r="BU9" s="186">
        <f>+AX9+BN9-AU9</f>
        <v>3</v>
      </c>
      <c r="BV9" s="186">
        <f>+AY9+BN9-AU9</f>
        <v>3</v>
      </c>
      <c r="BW9" s="186">
        <f>+AZ9+BN9-AU9</f>
        <v>2</v>
      </c>
      <c r="BY9" s="186" t="s">
        <v>1746</v>
      </c>
      <c r="BZ9" s="186">
        <v>2</v>
      </c>
      <c r="CA9" s="186">
        <v>1</v>
      </c>
      <c r="CB9" s="186" t="s">
        <v>1745</v>
      </c>
      <c r="CC9" s="186">
        <v>1</v>
      </c>
      <c r="CD9" s="186" t="s">
        <v>1745</v>
      </c>
      <c r="CE9" s="186">
        <v>1</v>
      </c>
      <c r="CF9" s="186" t="s">
        <v>986</v>
      </c>
      <c r="CG9" s="186">
        <v>0</v>
      </c>
      <c r="CH9" s="186" t="s">
        <v>1726</v>
      </c>
      <c r="CI9" s="186">
        <v>0</v>
      </c>
      <c r="CJ9" s="186">
        <v>1</v>
      </c>
      <c r="CK9" s="186" t="s">
        <v>1739</v>
      </c>
      <c r="CL9" s="186">
        <v>1</v>
      </c>
      <c r="CM9" s="186" t="s">
        <v>1743</v>
      </c>
      <c r="CN9" s="186">
        <v>1</v>
      </c>
      <c r="CO9" s="186" t="s">
        <v>1743</v>
      </c>
      <c r="CP9" s="186" t="s">
        <v>1783</v>
      </c>
      <c r="CQ9" s="186">
        <v>1</v>
      </c>
    </row>
    <row r="10" spans="1:95" x14ac:dyDescent="0.25">
      <c r="A10" s="176" t="s">
        <v>1781</v>
      </c>
      <c r="B10" s="177">
        <v>5</v>
      </c>
      <c r="C10" s="178" t="s">
        <v>1745</v>
      </c>
      <c r="D10" s="179" t="s">
        <v>985</v>
      </c>
      <c r="E10" s="180" t="s">
        <v>1782</v>
      </c>
      <c r="F10" s="180" t="s">
        <v>1745</v>
      </c>
      <c r="G10" s="180" t="s">
        <v>986</v>
      </c>
      <c r="H10" s="181" t="s">
        <v>1728</v>
      </c>
      <c r="I10" s="204" t="str">
        <f t="shared" si="0"/>
        <v>OK</v>
      </c>
      <c r="J10" s="205" t="str">
        <f t="shared" si="1"/>
        <v>ZNT 50</v>
      </c>
      <c r="K10" s="206" t="str">
        <f t="shared" si="2"/>
        <v>ZNT 20</v>
      </c>
      <c r="L10" s="207" t="str">
        <f t="shared" si="3"/>
        <v>ZNT 20</v>
      </c>
      <c r="M10" s="206" t="str">
        <f t="shared" ref="M10:M34" si="28">IF(A10&lt;&gt;"",IF(AV10&gt;=1,$CF$13,$CF$12),"")</f>
        <v>N</v>
      </c>
      <c r="N10" s="208" t="str">
        <f t="shared" ref="N10:N34" si="29">IF(A10&lt;&gt;"",IF(AW10&gt;=1,$CF$13,$CF$12),"")</f>
        <v>OK</v>
      </c>
      <c r="O10" s="182" t="s">
        <v>986</v>
      </c>
      <c r="P10" s="182" t="s">
        <v>986</v>
      </c>
      <c r="Q10" s="183" t="s">
        <v>986</v>
      </c>
      <c r="R10" s="184" t="s">
        <v>986</v>
      </c>
      <c r="S10" s="185" t="s">
        <v>986</v>
      </c>
      <c r="T10" s="182" t="s">
        <v>986</v>
      </c>
      <c r="U10" s="182" t="s">
        <v>986</v>
      </c>
      <c r="V10" s="182" t="s">
        <v>986</v>
      </c>
      <c r="W10" s="182" t="s">
        <v>986</v>
      </c>
      <c r="X10" s="183" t="s">
        <v>1783</v>
      </c>
      <c r="Y10" s="184" t="s">
        <v>1765</v>
      </c>
      <c r="AA10" s="209">
        <f t="shared" si="4"/>
        <v>2</v>
      </c>
      <c r="AB10" s="210">
        <f t="shared" si="5"/>
        <v>1</v>
      </c>
      <c r="AD10" s="209" t="str">
        <f t="shared" si="6"/>
        <v>OK</v>
      </c>
      <c r="AE10" s="242" t="str">
        <f t="shared" si="7"/>
        <v>ZNT 50</v>
      </c>
      <c r="AF10" s="242" t="str">
        <f t="shared" si="8"/>
        <v>ZNT 20</v>
      </c>
      <c r="AG10" s="242" t="str">
        <f t="shared" si="9"/>
        <v>ZNT 20</v>
      </c>
      <c r="AH10" s="242" t="str">
        <f>IF(M10="OK","4 pt",AB10&amp;"  pt")</f>
        <v>1  pt</v>
      </c>
      <c r="AI10" s="210" t="str">
        <f t="shared" ref="AI10:AI34" si="30">IF(A10&lt;&gt;"",IF(OR(N10="OK",BQ10&gt;=1),$CF$12,$CF$13),"")</f>
        <v>OK</v>
      </c>
      <c r="AJ10" s="185" t="s">
        <v>986</v>
      </c>
      <c r="AK10" s="183" t="s">
        <v>986</v>
      </c>
      <c r="AL10" s="245"/>
      <c r="AM10" s="216"/>
      <c r="AN10" s="186">
        <f t="shared" si="10"/>
        <v>1</v>
      </c>
      <c r="AO10" s="186">
        <f t="shared" si="11"/>
        <v>3</v>
      </c>
      <c r="AP10" s="186">
        <f t="shared" si="12"/>
        <v>0</v>
      </c>
      <c r="AQ10" s="186">
        <f t="shared" si="13"/>
        <v>1</v>
      </c>
      <c r="AR10" s="186">
        <f t="shared" si="14"/>
        <v>0</v>
      </c>
      <c r="AS10" s="186">
        <f t="shared" si="15"/>
        <v>1</v>
      </c>
      <c r="AT10" s="186">
        <f t="shared" si="16"/>
        <v>0</v>
      </c>
      <c r="AU10" s="186">
        <f t="shared" si="17"/>
        <v>2</v>
      </c>
      <c r="AV10" s="186">
        <f t="shared" ref="AV10:AV34" si="31">AN10*AQ10*AO10</f>
        <v>3</v>
      </c>
      <c r="AW10" s="186">
        <f t="shared" ref="AW10:AW34" si="32">AN10*AT10</f>
        <v>0</v>
      </c>
      <c r="AX10" s="186">
        <f t="shared" ref="AX10:AX34" si="33">AP10+AU10</f>
        <v>2</v>
      </c>
      <c r="AY10" s="186">
        <f t="shared" ref="AY10:AY34" si="34">AR10+AU10</f>
        <v>2</v>
      </c>
      <c r="AZ10" s="186">
        <f t="shared" ref="AZ10:AZ34" si="35">AS10+AU10</f>
        <v>3</v>
      </c>
      <c r="BA10" s="186">
        <f t="shared" si="18"/>
        <v>0</v>
      </c>
      <c r="BB10" s="186">
        <f t="shared" si="19"/>
        <v>0</v>
      </c>
      <c r="BC10" s="186">
        <f t="shared" si="20"/>
        <v>0</v>
      </c>
      <c r="BD10" s="186">
        <f t="shared" ref="BD10:BD34" si="36">VLOOKUP(Q10,$CF$8:$CG$9,2,FALSE)</f>
        <v>0</v>
      </c>
      <c r="BE10" s="186">
        <f t="shared" si="21"/>
        <v>0</v>
      </c>
      <c r="BF10" s="186">
        <f t="shared" si="22"/>
        <v>0</v>
      </c>
      <c r="BG10" s="186">
        <f t="shared" si="23"/>
        <v>0</v>
      </c>
      <c r="BH10" s="186">
        <f t="shared" si="24"/>
        <v>0</v>
      </c>
      <c r="BI10" s="186">
        <f t="shared" si="25"/>
        <v>0</v>
      </c>
      <c r="BJ10" s="186">
        <f t="shared" ref="BJ10:BJ34" si="37">VLOOKUP(X10,$CP$8:$CQ$11,2,FALSE)</f>
        <v>1</v>
      </c>
      <c r="BK10" s="186">
        <f t="shared" ref="BK10:BK34" si="38">VLOOKUP(Y10,$CP$8:$CQ$11,2,FALSE)</f>
        <v>0</v>
      </c>
      <c r="BL10" s="186">
        <f t="shared" si="26"/>
        <v>0</v>
      </c>
      <c r="BM10" s="186">
        <f t="shared" ref="BM10:BM34" si="39">IF((BC10+BD10)=0,0,1)</f>
        <v>0</v>
      </c>
      <c r="BN10" s="186">
        <f t="shared" ref="BN10:BN34" si="40">+AU10+BL10+BM10</f>
        <v>2</v>
      </c>
      <c r="BO10" s="186">
        <f t="shared" ref="BO10:BO34" si="41">SUM(BF10+BG10+BH10+BI10)</f>
        <v>0</v>
      </c>
      <c r="BP10" s="186">
        <f t="shared" ref="BP10:BP34" si="42">IF((BJ10+BE10+BO10)&lt;=4,(BJ10+BE10+BO10),4)</f>
        <v>1</v>
      </c>
      <c r="BQ10" s="186">
        <f t="shared" ref="BQ10:BQ34" si="43">+BK10+BE10+BO10</f>
        <v>0</v>
      </c>
      <c r="BR10" s="186">
        <f t="shared" si="27"/>
        <v>1</v>
      </c>
      <c r="BS10" s="186">
        <f t="shared" ref="BS10:BS34" si="44">+AV10+BP10</f>
        <v>4</v>
      </c>
      <c r="BT10" s="186">
        <f t="shared" ref="BT10:BT34" si="45">+AW10+BP10</f>
        <v>1</v>
      </c>
      <c r="BU10" s="186">
        <f t="shared" ref="BU10:BU34" si="46">+AX10+BN10-AU10</f>
        <v>2</v>
      </c>
      <c r="BV10" s="186">
        <f t="shared" ref="BV10:BV34" si="47">+AY10+BN10-AU10</f>
        <v>2</v>
      </c>
      <c r="BW10" s="186">
        <f t="shared" ref="BW10:BW34" si="48">+AZ10+BN10-AU10</f>
        <v>3</v>
      </c>
      <c r="BY10" s="186" t="s">
        <v>1747</v>
      </c>
      <c r="BZ10" s="186">
        <v>1</v>
      </c>
      <c r="CA10" s="186">
        <v>2</v>
      </c>
      <c r="CB10" s="186" t="s">
        <v>1746</v>
      </c>
      <c r="CC10" s="186">
        <v>2</v>
      </c>
      <c r="CD10" s="186" t="s">
        <v>1748</v>
      </c>
      <c r="CE10" s="186">
        <v>2</v>
      </c>
      <c r="CH10" s="186" t="s">
        <v>1727</v>
      </c>
      <c r="CI10" s="186">
        <v>1</v>
      </c>
      <c r="CJ10" s="186">
        <v>2</v>
      </c>
      <c r="CK10" s="186" t="s">
        <v>1740</v>
      </c>
      <c r="CL10" s="186">
        <v>2</v>
      </c>
      <c r="CM10" s="186" t="s">
        <v>1739</v>
      </c>
      <c r="CN10" s="186">
        <v>2</v>
      </c>
      <c r="CO10" s="186" t="s">
        <v>1739</v>
      </c>
      <c r="CP10" s="186" t="s">
        <v>1755</v>
      </c>
      <c r="CQ10" s="186">
        <v>2</v>
      </c>
    </row>
    <row r="11" spans="1:95" x14ac:dyDescent="0.25">
      <c r="A11" s="176"/>
      <c r="B11" s="177"/>
      <c r="C11" s="178"/>
      <c r="D11" s="179"/>
      <c r="E11" s="180"/>
      <c r="F11" s="180"/>
      <c r="G11" s="180"/>
      <c r="H11" s="181"/>
      <c r="I11" s="204" t="str">
        <f t="shared" si="0"/>
        <v/>
      </c>
      <c r="J11" s="205" t="str">
        <f t="shared" si="1"/>
        <v/>
      </c>
      <c r="K11" s="206" t="str">
        <f t="shared" si="2"/>
        <v/>
      </c>
      <c r="L11" s="207" t="str">
        <f t="shared" si="3"/>
        <v/>
      </c>
      <c r="M11" s="206" t="str">
        <f t="shared" si="28"/>
        <v/>
      </c>
      <c r="N11" s="208" t="str">
        <f t="shared" si="29"/>
        <v/>
      </c>
      <c r="O11" s="182" t="s">
        <v>986</v>
      </c>
      <c r="P11" s="182" t="s">
        <v>986</v>
      </c>
      <c r="Q11" s="183" t="s">
        <v>986</v>
      </c>
      <c r="R11" s="184" t="s">
        <v>986</v>
      </c>
      <c r="S11" s="185" t="s">
        <v>986</v>
      </c>
      <c r="T11" s="182" t="s">
        <v>986</v>
      </c>
      <c r="U11" s="182" t="s">
        <v>986</v>
      </c>
      <c r="V11" s="182" t="s">
        <v>986</v>
      </c>
      <c r="W11" s="182" t="s">
        <v>986</v>
      </c>
      <c r="X11" s="183" t="s">
        <v>1783</v>
      </c>
      <c r="Y11" s="184" t="s">
        <v>1765</v>
      </c>
      <c r="AA11" s="209" t="str">
        <f t="shared" si="4"/>
        <v/>
      </c>
      <c r="AB11" s="210" t="str">
        <f t="shared" si="5"/>
        <v/>
      </c>
      <c r="AD11" s="209" t="str">
        <f t="shared" si="6"/>
        <v/>
      </c>
      <c r="AE11" s="242" t="str">
        <f t="shared" si="7"/>
        <v/>
      </c>
      <c r="AF11" s="242" t="str">
        <f t="shared" si="8"/>
        <v/>
      </c>
      <c r="AG11" s="242" t="str">
        <f t="shared" si="9"/>
        <v/>
      </c>
      <c r="AH11" s="242" t="str">
        <f t="shared" ref="AH11:AH34" si="49">IF(M11="OK","4 pt",AB11&amp;"  pt")</f>
        <v xml:space="preserve">  pt</v>
      </c>
      <c r="AI11" s="210" t="str">
        <f t="shared" si="30"/>
        <v/>
      </c>
      <c r="AJ11" s="185"/>
      <c r="AK11" s="183"/>
      <c r="AL11" s="245"/>
      <c r="AM11" s="216"/>
      <c r="AN11" s="186">
        <f t="shared" si="10"/>
        <v>0</v>
      </c>
      <c r="AO11" s="186" t="e">
        <f t="shared" si="11"/>
        <v>#N/A</v>
      </c>
      <c r="AP11" s="186" t="e">
        <f t="shared" si="12"/>
        <v>#N/A</v>
      </c>
      <c r="AQ11" s="186">
        <f t="shared" si="13"/>
        <v>1</v>
      </c>
      <c r="AR11" s="186" t="e">
        <f t="shared" si="14"/>
        <v>#N/A</v>
      </c>
      <c r="AS11" s="186" t="e">
        <f t="shared" si="15"/>
        <v>#N/A</v>
      </c>
      <c r="AT11" s="186">
        <f t="shared" si="16"/>
        <v>1</v>
      </c>
      <c r="AU11" s="186" t="e">
        <f t="shared" si="17"/>
        <v>#N/A</v>
      </c>
      <c r="AV11" s="186" t="e">
        <f t="shared" si="31"/>
        <v>#N/A</v>
      </c>
      <c r="AW11" s="186">
        <f t="shared" si="32"/>
        <v>0</v>
      </c>
      <c r="AX11" s="186" t="e">
        <f t="shared" si="33"/>
        <v>#N/A</v>
      </c>
      <c r="AY11" s="186" t="e">
        <f t="shared" si="34"/>
        <v>#N/A</v>
      </c>
      <c r="AZ11" s="186" t="e">
        <f t="shared" si="35"/>
        <v>#N/A</v>
      </c>
      <c r="BA11" s="186">
        <f t="shared" si="18"/>
        <v>0</v>
      </c>
      <c r="BB11" s="186">
        <f t="shared" si="19"/>
        <v>0</v>
      </c>
      <c r="BC11" s="186">
        <f t="shared" si="20"/>
        <v>0</v>
      </c>
      <c r="BD11" s="186">
        <f t="shared" si="36"/>
        <v>0</v>
      </c>
      <c r="BE11" s="186">
        <f t="shared" si="21"/>
        <v>0</v>
      </c>
      <c r="BF11" s="186">
        <f t="shared" si="22"/>
        <v>0</v>
      </c>
      <c r="BG11" s="186">
        <f t="shared" si="23"/>
        <v>0</v>
      </c>
      <c r="BH11" s="186">
        <f t="shared" si="24"/>
        <v>0</v>
      </c>
      <c r="BI11" s="186">
        <f t="shared" si="25"/>
        <v>0</v>
      </c>
      <c r="BJ11" s="186">
        <f t="shared" si="37"/>
        <v>1</v>
      </c>
      <c r="BK11" s="186">
        <f t="shared" si="38"/>
        <v>0</v>
      </c>
      <c r="BL11" s="186">
        <f t="shared" si="26"/>
        <v>0</v>
      </c>
      <c r="BM11" s="186">
        <f t="shared" si="39"/>
        <v>0</v>
      </c>
      <c r="BN11" s="186" t="e">
        <f t="shared" si="40"/>
        <v>#N/A</v>
      </c>
      <c r="BO11" s="186">
        <f t="shared" si="41"/>
        <v>0</v>
      </c>
      <c r="BP11" s="186">
        <f t="shared" si="42"/>
        <v>1</v>
      </c>
      <c r="BQ11" s="186">
        <f t="shared" si="43"/>
        <v>0</v>
      </c>
      <c r="BR11" s="186">
        <f t="shared" si="27"/>
        <v>2</v>
      </c>
      <c r="BS11" s="186" t="e">
        <f t="shared" si="44"/>
        <v>#N/A</v>
      </c>
      <c r="BT11" s="186">
        <f t="shared" si="45"/>
        <v>1</v>
      </c>
      <c r="BU11" s="186" t="e">
        <f t="shared" si="46"/>
        <v>#N/A</v>
      </c>
      <c r="BV11" s="186" t="e">
        <f t="shared" si="47"/>
        <v>#N/A</v>
      </c>
      <c r="BW11" s="186" t="e">
        <f t="shared" si="48"/>
        <v>#N/A</v>
      </c>
      <c r="BY11" s="186" t="s">
        <v>1738</v>
      </c>
      <c r="BZ11" s="186">
        <v>0</v>
      </c>
      <c r="CA11" s="186">
        <v>3</v>
      </c>
      <c r="CB11" s="186" t="s">
        <v>1749</v>
      </c>
      <c r="CC11" s="186">
        <v>3</v>
      </c>
      <c r="CH11" s="186" t="s">
        <v>1728</v>
      </c>
      <c r="CI11" s="186">
        <v>2</v>
      </c>
      <c r="CJ11" s="186">
        <v>3</v>
      </c>
      <c r="CK11" s="186" t="s">
        <v>1741</v>
      </c>
      <c r="CL11" s="186">
        <v>3</v>
      </c>
      <c r="CM11" s="186" t="s">
        <v>1740</v>
      </c>
      <c r="CN11" s="186">
        <v>3</v>
      </c>
      <c r="CO11" s="186" t="s">
        <v>1739</v>
      </c>
      <c r="CP11" s="186" t="s">
        <v>1756</v>
      </c>
      <c r="CQ11" s="186">
        <v>3</v>
      </c>
    </row>
    <row r="12" spans="1:95" x14ac:dyDescent="0.25">
      <c r="A12" s="176"/>
      <c r="B12" s="177"/>
      <c r="C12" s="178"/>
      <c r="D12" s="179"/>
      <c r="E12" s="180"/>
      <c r="F12" s="180"/>
      <c r="G12" s="180"/>
      <c r="H12" s="181"/>
      <c r="I12" s="204" t="str">
        <f t="shared" si="0"/>
        <v/>
      </c>
      <c r="J12" s="205" t="str">
        <f t="shared" si="1"/>
        <v/>
      </c>
      <c r="K12" s="206" t="str">
        <f t="shared" si="2"/>
        <v/>
      </c>
      <c r="L12" s="207" t="str">
        <f t="shared" si="3"/>
        <v/>
      </c>
      <c r="M12" s="206" t="str">
        <f t="shared" si="28"/>
        <v/>
      </c>
      <c r="N12" s="208" t="str">
        <f t="shared" si="29"/>
        <v/>
      </c>
      <c r="O12" s="182" t="s">
        <v>986</v>
      </c>
      <c r="P12" s="182" t="s">
        <v>986</v>
      </c>
      <c r="Q12" s="183" t="s">
        <v>986</v>
      </c>
      <c r="R12" s="184" t="s">
        <v>986</v>
      </c>
      <c r="S12" s="185" t="s">
        <v>986</v>
      </c>
      <c r="T12" s="182" t="s">
        <v>986</v>
      </c>
      <c r="U12" s="182" t="s">
        <v>986</v>
      </c>
      <c r="V12" s="182" t="s">
        <v>986</v>
      </c>
      <c r="W12" s="182" t="s">
        <v>986</v>
      </c>
      <c r="X12" s="183" t="s">
        <v>1783</v>
      </c>
      <c r="Y12" s="184" t="s">
        <v>1765</v>
      </c>
      <c r="AA12" s="209" t="str">
        <f t="shared" si="4"/>
        <v/>
      </c>
      <c r="AB12" s="210" t="str">
        <f t="shared" si="5"/>
        <v/>
      </c>
      <c r="AD12" s="209" t="str">
        <f t="shared" si="6"/>
        <v/>
      </c>
      <c r="AE12" s="242" t="str">
        <f t="shared" si="7"/>
        <v/>
      </c>
      <c r="AF12" s="242" t="str">
        <f t="shared" si="8"/>
        <v/>
      </c>
      <c r="AG12" s="242" t="str">
        <f t="shared" si="9"/>
        <v/>
      </c>
      <c r="AH12" s="242" t="str">
        <f t="shared" si="49"/>
        <v xml:space="preserve">  pt</v>
      </c>
      <c r="AI12" s="210" t="str">
        <f t="shared" si="30"/>
        <v/>
      </c>
      <c r="AJ12" s="185"/>
      <c r="AK12" s="183"/>
      <c r="AL12" s="245"/>
      <c r="AM12" s="216"/>
      <c r="AN12" s="186">
        <f t="shared" si="10"/>
        <v>0</v>
      </c>
      <c r="AO12" s="186" t="e">
        <f t="shared" si="11"/>
        <v>#N/A</v>
      </c>
      <c r="AP12" s="186" t="e">
        <f t="shared" si="12"/>
        <v>#N/A</v>
      </c>
      <c r="AQ12" s="186">
        <f t="shared" si="13"/>
        <v>1</v>
      </c>
      <c r="AR12" s="186" t="e">
        <f t="shared" si="14"/>
        <v>#N/A</v>
      </c>
      <c r="AS12" s="186" t="e">
        <f t="shared" si="15"/>
        <v>#N/A</v>
      </c>
      <c r="AT12" s="186">
        <f t="shared" si="16"/>
        <v>1</v>
      </c>
      <c r="AU12" s="186" t="e">
        <f t="shared" si="17"/>
        <v>#N/A</v>
      </c>
      <c r="AV12" s="186" t="e">
        <f t="shared" si="31"/>
        <v>#N/A</v>
      </c>
      <c r="AW12" s="186">
        <f t="shared" si="32"/>
        <v>0</v>
      </c>
      <c r="AX12" s="186" t="e">
        <f t="shared" si="33"/>
        <v>#N/A</v>
      </c>
      <c r="AY12" s="186" t="e">
        <f t="shared" si="34"/>
        <v>#N/A</v>
      </c>
      <c r="AZ12" s="186" t="e">
        <f t="shared" si="35"/>
        <v>#N/A</v>
      </c>
      <c r="BA12" s="186">
        <f t="shared" si="18"/>
        <v>0</v>
      </c>
      <c r="BB12" s="186">
        <f t="shared" si="19"/>
        <v>0</v>
      </c>
      <c r="BC12" s="186">
        <f t="shared" si="20"/>
        <v>0</v>
      </c>
      <c r="BD12" s="186">
        <f t="shared" si="36"/>
        <v>0</v>
      </c>
      <c r="BE12" s="186">
        <f t="shared" si="21"/>
        <v>0</v>
      </c>
      <c r="BF12" s="186">
        <f t="shared" si="22"/>
        <v>0</v>
      </c>
      <c r="BG12" s="186">
        <f t="shared" si="23"/>
        <v>0</v>
      </c>
      <c r="BH12" s="186">
        <f t="shared" si="24"/>
        <v>0</v>
      </c>
      <c r="BI12" s="186">
        <f t="shared" si="25"/>
        <v>0</v>
      </c>
      <c r="BJ12" s="186">
        <f t="shared" si="37"/>
        <v>1</v>
      </c>
      <c r="BK12" s="186">
        <f t="shared" si="38"/>
        <v>0</v>
      </c>
      <c r="BL12" s="186">
        <f t="shared" si="26"/>
        <v>0</v>
      </c>
      <c r="BM12" s="186">
        <f t="shared" si="39"/>
        <v>0</v>
      </c>
      <c r="BN12" s="186" t="e">
        <f t="shared" si="40"/>
        <v>#N/A</v>
      </c>
      <c r="BO12" s="186">
        <f t="shared" si="41"/>
        <v>0</v>
      </c>
      <c r="BP12" s="186">
        <f t="shared" si="42"/>
        <v>1</v>
      </c>
      <c r="BQ12" s="186">
        <f t="shared" si="43"/>
        <v>0</v>
      </c>
      <c r="BR12" s="186">
        <f t="shared" si="27"/>
        <v>2</v>
      </c>
      <c r="BS12" s="186" t="e">
        <f t="shared" si="44"/>
        <v>#N/A</v>
      </c>
      <c r="BT12" s="186">
        <f t="shared" si="45"/>
        <v>1</v>
      </c>
      <c r="BU12" s="186" t="e">
        <f t="shared" si="46"/>
        <v>#N/A</v>
      </c>
      <c r="BV12" s="186" t="e">
        <f t="shared" si="47"/>
        <v>#N/A</v>
      </c>
      <c r="BW12" s="186" t="e">
        <f t="shared" si="48"/>
        <v>#N/A</v>
      </c>
      <c r="CE12" s="186">
        <v>0</v>
      </c>
      <c r="CF12" s="186" t="s">
        <v>1775</v>
      </c>
      <c r="CJ12" s="186">
        <v>4</v>
      </c>
      <c r="CK12" s="186" t="s">
        <v>1741</v>
      </c>
      <c r="CL12" s="186">
        <v>4</v>
      </c>
      <c r="CM12" s="186" t="s">
        <v>1740</v>
      </c>
      <c r="CN12" s="186">
        <v>4</v>
      </c>
      <c r="CO12" s="186" t="s">
        <v>1739</v>
      </c>
    </row>
    <row r="13" spans="1:95" x14ac:dyDescent="0.25">
      <c r="A13" s="176"/>
      <c r="B13" s="177"/>
      <c r="C13" s="178"/>
      <c r="D13" s="179"/>
      <c r="E13" s="180"/>
      <c r="F13" s="180"/>
      <c r="G13" s="180"/>
      <c r="H13" s="181"/>
      <c r="I13" s="204" t="str">
        <f t="shared" si="0"/>
        <v/>
      </c>
      <c r="J13" s="205" t="str">
        <f t="shared" si="1"/>
        <v/>
      </c>
      <c r="K13" s="206" t="str">
        <f t="shared" si="2"/>
        <v/>
      </c>
      <c r="L13" s="207" t="str">
        <f t="shared" si="3"/>
        <v/>
      </c>
      <c r="M13" s="206" t="str">
        <f t="shared" si="28"/>
        <v/>
      </c>
      <c r="N13" s="208" t="str">
        <f t="shared" si="29"/>
        <v/>
      </c>
      <c r="O13" s="182" t="s">
        <v>986</v>
      </c>
      <c r="P13" s="182" t="s">
        <v>986</v>
      </c>
      <c r="Q13" s="183" t="s">
        <v>986</v>
      </c>
      <c r="R13" s="184" t="s">
        <v>986</v>
      </c>
      <c r="S13" s="185" t="s">
        <v>986</v>
      </c>
      <c r="T13" s="182" t="s">
        <v>986</v>
      </c>
      <c r="U13" s="182" t="s">
        <v>986</v>
      </c>
      <c r="V13" s="182" t="s">
        <v>986</v>
      </c>
      <c r="W13" s="182" t="s">
        <v>986</v>
      </c>
      <c r="X13" s="183" t="s">
        <v>1783</v>
      </c>
      <c r="Y13" s="184" t="s">
        <v>1765</v>
      </c>
      <c r="AA13" s="209" t="str">
        <f t="shared" si="4"/>
        <v/>
      </c>
      <c r="AB13" s="210" t="str">
        <f t="shared" si="5"/>
        <v/>
      </c>
      <c r="AD13" s="209" t="str">
        <f t="shared" si="6"/>
        <v/>
      </c>
      <c r="AE13" s="242" t="str">
        <f t="shared" si="7"/>
        <v/>
      </c>
      <c r="AF13" s="242" t="str">
        <f t="shared" si="8"/>
        <v/>
      </c>
      <c r="AG13" s="242" t="str">
        <f t="shared" si="9"/>
        <v/>
      </c>
      <c r="AH13" s="242" t="str">
        <f t="shared" si="49"/>
        <v xml:space="preserve">  pt</v>
      </c>
      <c r="AI13" s="210" t="str">
        <f t="shared" si="30"/>
        <v/>
      </c>
      <c r="AJ13" s="185"/>
      <c r="AK13" s="183"/>
      <c r="AL13" s="245"/>
      <c r="AM13" s="216"/>
      <c r="AN13" s="186">
        <f t="shared" si="10"/>
        <v>0</v>
      </c>
      <c r="AO13" s="186" t="e">
        <f t="shared" si="11"/>
        <v>#N/A</v>
      </c>
      <c r="AP13" s="186" t="e">
        <f t="shared" si="12"/>
        <v>#N/A</v>
      </c>
      <c r="AQ13" s="186">
        <f t="shared" si="13"/>
        <v>1</v>
      </c>
      <c r="AR13" s="186" t="e">
        <f t="shared" si="14"/>
        <v>#N/A</v>
      </c>
      <c r="AS13" s="186" t="e">
        <f t="shared" si="15"/>
        <v>#N/A</v>
      </c>
      <c r="AT13" s="186">
        <f t="shared" si="16"/>
        <v>1</v>
      </c>
      <c r="AU13" s="186" t="e">
        <f t="shared" si="17"/>
        <v>#N/A</v>
      </c>
      <c r="AV13" s="186" t="e">
        <f t="shared" si="31"/>
        <v>#N/A</v>
      </c>
      <c r="AW13" s="186">
        <f t="shared" si="32"/>
        <v>0</v>
      </c>
      <c r="AX13" s="186" t="e">
        <f t="shared" si="33"/>
        <v>#N/A</v>
      </c>
      <c r="AY13" s="186" t="e">
        <f t="shared" si="34"/>
        <v>#N/A</v>
      </c>
      <c r="AZ13" s="186" t="e">
        <f t="shared" si="35"/>
        <v>#N/A</v>
      </c>
      <c r="BA13" s="186">
        <f t="shared" si="18"/>
        <v>0</v>
      </c>
      <c r="BB13" s="186">
        <f t="shared" si="19"/>
        <v>0</v>
      </c>
      <c r="BC13" s="186">
        <f t="shared" si="20"/>
        <v>0</v>
      </c>
      <c r="BD13" s="186">
        <f t="shared" si="36"/>
        <v>0</v>
      </c>
      <c r="BE13" s="186">
        <f t="shared" si="21"/>
        <v>0</v>
      </c>
      <c r="BF13" s="186">
        <f t="shared" si="22"/>
        <v>0</v>
      </c>
      <c r="BG13" s="186">
        <f t="shared" si="23"/>
        <v>0</v>
      </c>
      <c r="BH13" s="186">
        <f t="shared" si="24"/>
        <v>0</v>
      </c>
      <c r="BI13" s="186">
        <f t="shared" si="25"/>
        <v>0</v>
      </c>
      <c r="BJ13" s="186">
        <f t="shared" si="37"/>
        <v>1</v>
      </c>
      <c r="BK13" s="186">
        <f t="shared" si="38"/>
        <v>0</v>
      </c>
      <c r="BL13" s="186">
        <f t="shared" si="26"/>
        <v>0</v>
      </c>
      <c r="BM13" s="186">
        <f t="shared" si="39"/>
        <v>0</v>
      </c>
      <c r="BN13" s="186" t="e">
        <f t="shared" si="40"/>
        <v>#N/A</v>
      </c>
      <c r="BO13" s="186">
        <f t="shared" si="41"/>
        <v>0</v>
      </c>
      <c r="BP13" s="186">
        <f t="shared" si="42"/>
        <v>1</v>
      </c>
      <c r="BQ13" s="186">
        <f t="shared" si="43"/>
        <v>0</v>
      </c>
      <c r="BR13" s="186">
        <f t="shared" si="27"/>
        <v>2</v>
      </c>
      <c r="BS13" s="186" t="e">
        <f t="shared" si="44"/>
        <v>#N/A</v>
      </c>
      <c r="BT13" s="186">
        <f t="shared" si="45"/>
        <v>1</v>
      </c>
      <c r="BU13" s="186" t="e">
        <f t="shared" si="46"/>
        <v>#N/A</v>
      </c>
      <c r="BV13" s="186" t="e">
        <f t="shared" si="47"/>
        <v>#N/A</v>
      </c>
      <c r="BW13" s="186" t="e">
        <f t="shared" si="48"/>
        <v>#N/A</v>
      </c>
      <c r="CE13" s="186">
        <v>1</v>
      </c>
      <c r="CF13" s="186" t="s">
        <v>130</v>
      </c>
      <c r="CJ13" s="186">
        <v>5</v>
      </c>
      <c r="CK13" s="186" t="s">
        <v>1741</v>
      </c>
      <c r="CL13" s="186">
        <v>5</v>
      </c>
      <c r="CM13" s="186" t="s">
        <v>1740</v>
      </c>
      <c r="CN13" s="186">
        <v>5</v>
      </c>
      <c r="CO13" s="186" t="s">
        <v>1739</v>
      </c>
      <c r="CQ13" s="186">
        <v>0.9</v>
      </c>
    </row>
    <row r="14" spans="1:95" x14ac:dyDescent="0.25">
      <c r="A14" s="176"/>
      <c r="B14" s="177"/>
      <c r="C14" s="178"/>
      <c r="D14" s="179"/>
      <c r="E14" s="180"/>
      <c r="F14" s="180"/>
      <c r="G14" s="180"/>
      <c r="H14" s="181"/>
      <c r="I14" s="204" t="str">
        <f t="shared" si="0"/>
        <v/>
      </c>
      <c r="J14" s="205" t="str">
        <f t="shared" si="1"/>
        <v/>
      </c>
      <c r="K14" s="206" t="str">
        <f t="shared" si="2"/>
        <v/>
      </c>
      <c r="L14" s="207" t="str">
        <f t="shared" si="3"/>
        <v/>
      </c>
      <c r="M14" s="206" t="str">
        <f t="shared" si="28"/>
        <v/>
      </c>
      <c r="N14" s="208" t="str">
        <f t="shared" si="29"/>
        <v/>
      </c>
      <c r="O14" s="182" t="s">
        <v>986</v>
      </c>
      <c r="P14" s="182" t="s">
        <v>986</v>
      </c>
      <c r="Q14" s="183" t="s">
        <v>986</v>
      </c>
      <c r="R14" s="184" t="s">
        <v>986</v>
      </c>
      <c r="S14" s="185" t="s">
        <v>986</v>
      </c>
      <c r="T14" s="182" t="s">
        <v>986</v>
      </c>
      <c r="U14" s="182" t="s">
        <v>986</v>
      </c>
      <c r="V14" s="182" t="s">
        <v>986</v>
      </c>
      <c r="W14" s="182" t="s">
        <v>986</v>
      </c>
      <c r="X14" s="183" t="s">
        <v>1783</v>
      </c>
      <c r="Y14" s="184" t="s">
        <v>1765</v>
      </c>
      <c r="AA14" s="209" t="str">
        <f t="shared" si="4"/>
        <v/>
      </c>
      <c r="AB14" s="210" t="str">
        <f t="shared" si="5"/>
        <v/>
      </c>
      <c r="AD14" s="209" t="str">
        <f t="shared" si="6"/>
        <v/>
      </c>
      <c r="AE14" s="242" t="str">
        <f t="shared" si="7"/>
        <v/>
      </c>
      <c r="AF14" s="242" t="str">
        <f t="shared" si="8"/>
        <v/>
      </c>
      <c r="AG14" s="242" t="str">
        <f t="shared" si="9"/>
        <v/>
      </c>
      <c r="AH14" s="242" t="str">
        <f t="shared" si="49"/>
        <v xml:space="preserve">  pt</v>
      </c>
      <c r="AI14" s="210" t="str">
        <f t="shared" si="30"/>
        <v/>
      </c>
      <c r="AJ14" s="185"/>
      <c r="AK14" s="183"/>
      <c r="AL14" s="245"/>
      <c r="AM14" s="216"/>
      <c r="AN14" s="186">
        <f t="shared" si="10"/>
        <v>0</v>
      </c>
      <c r="AO14" s="186" t="e">
        <f t="shared" si="11"/>
        <v>#N/A</v>
      </c>
      <c r="AP14" s="186" t="e">
        <f t="shared" si="12"/>
        <v>#N/A</v>
      </c>
      <c r="AQ14" s="186">
        <f t="shared" si="13"/>
        <v>1</v>
      </c>
      <c r="AR14" s="186" t="e">
        <f t="shared" si="14"/>
        <v>#N/A</v>
      </c>
      <c r="AS14" s="186" t="e">
        <f t="shared" si="15"/>
        <v>#N/A</v>
      </c>
      <c r="AT14" s="186">
        <f t="shared" si="16"/>
        <v>1</v>
      </c>
      <c r="AU14" s="186" t="e">
        <f t="shared" si="17"/>
        <v>#N/A</v>
      </c>
      <c r="AV14" s="186" t="e">
        <f t="shared" si="31"/>
        <v>#N/A</v>
      </c>
      <c r="AW14" s="186">
        <f t="shared" si="32"/>
        <v>0</v>
      </c>
      <c r="AX14" s="186" t="e">
        <f t="shared" si="33"/>
        <v>#N/A</v>
      </c>
      <c r="AY14" s="186" t="e">
        <f t="shared" si="34"/>
        <v>#N/A</v>
      </c>
      <c r="AZ14" s="186" t="e">
        <f t="shared" si="35"/>
        <v>#N/A</v>
      </c>
      <c r="BA14" s="186">
        <f t="shared" si="18"/>
        <v>0</v>
      </c>
      <c r="BB14" s="186">
        <f t="shared" si="19"/>
        <v>0</v>
      </c>
      <c r="BC14" s="186">
        <f t="shared" si="20"/>
        <v>0</v>
      </c>
      <c r="BD14" s="186">
        <f t="shared" si="36"/>
        <v>0</v>
      </c>
      <c r="BE14" s="186">
        <f t="shared" si="21"/>
        <v>0</v>
      </c>
      <c r="BF14" s="186">
        <f t="shared" si="22"/>
        <v>0</v>
      </c>
      <c r="BG14" s="186">
        <f t="shared" si="23"/>
        <v>0</v>
      </c>
      <c r="BH14" s="186">
        <f t="shared" si="24"/>
        <v>0</v>
      </c>
      <c r="BI14" s="186">
        <f t="shared" si="25"/>
        <v>0</v>
      </c>
      <c r="BJ14" s="186">
        <f t="shared" si="37"/>
        <v>1</v>
      </c>
      <c r="BK14" s="186">
        <f t="shared" si="38"/>
        <v>0</v>
      </c>
      <c r="BL14" s="186">
        <f t="shared" si="26"/>
        <v>0</v>
      </c>
      <c r="BM14" s="186">
        <f t="shared" si="39"/>
        <v>0</v>
      </c>
      <c r="BN14" s="186" t="e">
        <f t="shared" si="40"/>
        <v>#N/A</v>
      </c>
      <c r="BO14" s="186">
        <f t="shared" si="41"/>
        <v>0</v>
      </c>
      <c r="BP14" s="186">
        <f t="shared" si="42"/>
        <v>1</v>
      </c>
      <c r="BQ14" s="186">
        <f t="shared" si="43"/>
        <v>0</v>
      </c>
      <c r="BR14" s="186">
        <f t="shared" si="27"/>
        <v>2</v>
      </c>
      <c r="BS14" s="186" t="e">
        <f t="shared" si="44"/>
        <v>#N/A</v>
      </c>
      <c r="BT14" s="186">
        <f t="shared" si="45"/>
        <v>1</v>
      </c>
      <c r="BU14" s="186" t="e">
        <f t="shared" si="46"/>
        <v>#N/A</v>
      </c>
      <c r="BV14" s="186" t="e">
        <f t="shared" si="47"/>
        <v>#N/A</v>
      </c>
      <c r="BW14" s="186" t="e">
        <f t="shared" si="48"/>
        <v>#N/A</v>
      </c>
      <c r="CJ14" s="186">
        <v>6</v>
      </c>
      <c r="CK14" s="186" t="s">
        <v>1741</v>
      </c>
      <c r="CL14" s="186">
        <v>6</v>
      </c>
      <c r="CM14" s="186" t="s">
        <v>1740</v>
      </c>
      <c r="CN14" s="186">
        <v>6</v>
      </c>
      <c r="CO14" s="186" t="s">
        <v>1739</v>
      </c>
    </row>
    <row r="15" spans="1:95" x14ac:dyDescent="0.25">
      <c r="A15" s="176"/>
      <c r="B15" s="177"/>
      <c r="C15" s="178"/>
      <c r="D15" s="179"/>
      <c r="E15" s="180"/>
      <c r="F15" s="180"/>
      <c r="G15" s="180"/>
      <c r="H15" s="181"/>
      <c r="I15" s="204" t="str">
        <f t="shared" si="0"/>
        <v/>
      </c>
      <c r="J15" s="205" t="str">
        <f t="shared" si="1"/>
        <v/>
      </c>
      <c r="K15" s="206" t="str">
        <f t="shared" si="2"/>
        <v/>
      </c>
      <c r="L15" s="207" t="str">
        <f t="shared" si="3"/>
        <v/>
      </c>
      <c r="M15" s="206" t="str">
        <f t="shared" si="28"/>
        <v/>
      </c>
      <c r="N15" s="208" t="str">
        <f t="shared" si="29"/>
        <v/>
      </c>
      <c r="O15" s="182" t="s">
        <v>986</v>
      </c>
      <c r="P15" s="182" t="s">
        <v>986</v>
      </c>
      <c r="Q15" s="183" t="s">
        <v>986</v>
      </c>
      <c r="R15" s="184" t="s">
        <v>986</v>
      </c>
      <c r="S15" s="185" t="s">
        <v>986</v>
      </c>
      <c r="T15" s="182" t="s">
        <v>986</v>
      </c>
      <c r="U15" s="182" t="s">
        <v>986</v>
      </c>
      <c r="V15" s="182" t="s">
        <v>986</v>
      </c>
      <c r="W15" s="182" t="s">
        <v>986</v>
      </c>
      <c r="X15" s="183" t="s">
        <v>1783</v>
      </c>
      <c r="Y15" s="184" t="s">
        <v>1765</v>
      </c>
      <c r="AA15" s="209" t="str">
        <f t="shared" si="4"/>
        <v/>
      </c>
      <c r="AB15" s="210" t="str">
        <f t="shared" si="5"/>
        <v/>
      </c>
      <c r="AD15" s="209" t="str">
        <f t="shared" si="6"/>
        <v/>
      </c>
      <c r="AE15" s="242" t="str">
        <f t="shared" si="7"/>
        <v/>
      </c>
      <c r="AF15" s="242" t="str">
        <f t="shared" si="8"/>
        <v/>
      </c>
      <c r="AG15" s="242" t="str">
        <f t="shared" si="9"/>
        <v/>
      </c>
      <c r="AH15" s="242" t="str">
        <f t="shared" si="49"/>
        <v xml:space="preserve">  pt</v>
      </c>
      <c r="AI15" s="210" t="str">
        <f t="shared" si="30"/>
        <v/>
      </c>
      <c r="AJ15" s="185"/>
      <c r="AK15" s="183"/>
      <c r="AL15" s="245"/>
      <c r="AM15" s="216"/>
      <c r="AN15" s="186">
        <f t="shared" si="10"/>
        <v>0</v>
      </c>
      <c r="AO15" s="186" t="e">
        <f t="shared" si="11"/>
        <v>#N/A</v>
      </c>
      <c r="AP15" s="186" t="e">
        <f t="shared" si="12"/>
        <v>#N/A</v>
      </c>
      <c r="AQ15" s="186">
        <f t="shared" si="13"/>
        <v>1</v>
      </c>
      <c r="AR15" s="186" t="e">
        <f t="shared" si="14"/>
        <v>#N/A</v>
      </c>
      <c r="AS15" s="186" t="e">
        <f t="shared" si="15"/>
        <v>#N/A</v>
      </c>
      <c r="AT15" s="186">
        <f t="shared" si="16"/>
        <v>1</v>
      </c>
      <c r="AU15" s="186" t="e">
        <f t="shared" si="17"/>
        <v>#N/A</v>
      </c>
      <c r="AV15" s="186" t="e">
        <f t="shared" si="31"/>
        <v>#N/A</v>
      </c>
      <c r="AW15" s="186">
        <f t="shared" si="32"/>
        <v>0</v>
      </c>
      <c r="AX15" s="186" t="e">
        <f t="shared" si="33"/>
        <v>#N/A</v>
      </c>
      <c r="AY15" s="186" t="e">
        <f t="shared" si="34"/>
        <v>#N/A</v>
      </c>
      <c r="AZ15" s="186" t="e">
        <f t="shared" si="35"/>
        <v>#N/A</v>
      </c>
      <c r="BA15" s="186">
        <f t="shared" si="18"/>
        <v>0</v>
      </c>
      <c r="BB15" s="186">
        <f t="shared" si="19"/>
        <v>0</v>
      </c>
      <c r="BC15" s="186">
        <f t="shared" si="20"/>
        <v>0</v>
      </c>
      <c r="BD15" s="186">
        <f t="shared" si="36"/>
        <v>0</v>
      </c>
      <c r="BE15" s="186">
        <f t="shared" si="21"/>
        <v>0</v>
      </c>
      <c r="BF15" s="186">
        <f t="shared" si="22"/>
        <v>0</v>
      </c>
      <c r="BG15" s="186">
        <f t="shared" si="23"/>
        <v>0</v>
      </c>
      <c r="BH15" s="186">
        <f t="shared" si="24"/>
        <v>0</v>
      </c>
      <c r="BI15" s="186">
        <f t="shared" si="25"/>
        <v>0</v>
      </c>
      <c r="BJ15" s="186">
        <f t="shared" si="37"/>
        <v>1</v>
      </c>
      <c r="BK15" s="186">
        <f t="shared" si="38"/>
        <v>0</v>
      </c>
      <c r="BL15" s="186">
        <f t="shared" si="26"/>
        <v>0</v>
      </c>
      <c r="BM15" s="186">
        <f t="shared" si="39"/>
        <v>0</v>
      </c>
      <c r="BN15" s="186" t="e">
        <f t="shared" si="40"/>
        <v>#N/A</v>
      </c>
      <c r="BO15" s="186">
        <f t="shared" si="41"/>
        <v>0</v>
      </c>
      <c r="BP15" s="186">
        <f t="shared" si="42"/>
        <v>1</v>
      </c>
      <c r="BQ15" s="186">
        <f t="shared" si="43"/>
        <v>0</v>
      </c>
      <c r="BR15" s="186">
        <f t="shared" si="27"/>
        <v>2</v>
      </c>
      <c r="BS15" s="186" t="e">
        <f t="shared" si="44"/>
        <v>#N/A</v>
      </c>
      <c r="BT15" s="186">
        <f t="shared" si="45"/>
        <v>1</v>
      </c>
      <c r="BU15" s="186" t="e">
        <f t="shared" si="46"/>
        <v>#N/A</v>
      </c>
      <c r="BV15" s="186" t="e">
        <f t="shared" si="47"/>
        <v>#N/A</v>
      </c>
      <c r="BW15" s="186" t="e">
        <f t="shared" si="48"/>
        <v>#N/A</v>
      </c>
      <c r="CJ15" s="186">
        <v>7</v>
      </c>
      <c r="CK15" s="186" t="s">
        <v>1741</v>
      </c>
      <c r="CL15" s="186">
        <v>7</v>
      </c>
      <c r="CM15" s="186" t="s">
        <v>1740</v>
      </c>
      <c r="CN15" s="186">
        <v>7</v>
      </c>
      <c r="CO15" s="186" t="s">
        <v>1739</v>
      </c>
    </row>
    <row r="16" spans="1:95" x14ac:dyDescent="0.25">
      <c r="A16" s="176"/>
      <c r="B16" s="177"/>
      <c r="C16" s="178"/>
      <c r="D16" s="179"/>
      <c r="E16" s="180"/>
      <c r="F16" s="180"/>
      <c r="G16" s="180"/>
      <c r="H16" s="181"/>
      <c r="I16" s="204" t="str">
        <f t="shared" si="0"/>
        <v/>
      </c>
      <c r="J16" s="205" t="str">
        <f t="shared" si="1"/>
        <v/>
      </c>
      <c r="K16" s="206" t="str">
        <f t="shared" si="2"/>
        <v/>
      </c>
      <c r="L16" s="207" t="str">
        <f t="shared" si="3"/>
        <v/>
      </c>
      <c r="M16" s="206" t="str">
        <f t="shared" si="28"/>
        <v/>
      </c>
      <c r="N16" s="208" t="str">
        <f t="shared" si="29"/>
        <v/>
      </c>
      <c r="O16" s="182" t="s">
        <v>986</v>
      </c>
      <c r="P16" s="182" t="s">
        <v>986</v>
      </c>
      <c r="Q16" s="183" t="s">
        <v>986</v>
      </c>
      <c r="R16" s="184" t="s">
        <v>986</v>
      </c>
      <c r="S16" s="185" t="s">
        <v>986</v>
      </c>
      <c r="T16" s="182" t="s">
        <v>986</v>
      </c>
      <c r="U16" s="182" t="s">
        <v>986</v>
      </c>
      <c r="V16" s="182" t="s">
        <v>986</v>
      </c>
      <c r="W16" s="182" t="s">
        <v>986</v>
      </c>
      <c r="X16" s="183" t="s">
        <v>1783</v>
      </c>
      <c r="Y16" s="184" t="s">
        <v>1765</v>
      </c>
      <c r="AA16" s="209" t="str">
        <f t="shared" si="4"/>
        <v/>
      </c>
      <c r="AB16" s="210" t="str">
        <f t="shared" si="5"/>
        <v/>
      </c>
      <c r="AD16" s="209" t="str">
        <f t="shared" si="6"/>
        <v/>
      </c>
      <c r="AE16" s="242" t="str">
        <f t="shared" si="7"/>
        <v/>
      </c>
      <c r="AF16" s="242" t="str">
        <f t="shared" si="8"/>
        <v/>
      </c>
      <c r="AG16" s="242" t="str">
        <f t="shared" si="9"/>
        <v/>
      </c>
      <c r="AH16" s="242" t="str">
        <f t="shared" si="49"/>
        <v xml:space="preserve">  pt</v>
      </c>
      <c r="AI16" s="210" t="str">
        <f t="shared" si="30"/>
        <v/>
      </c>
      <c r="AJ16" s="185"/>
      <c r="AK16" s="183"/>
      <c r="AL16" s="245"/>
      <c r="AM16" s="216"/>
      <c r="AN16" s="186">
        <f t="shared" si="10"/>
        <v>0</v>
      </c>
      <c r="AO16" s="186" t="e">
        <f t="shared" si="11"/>
        <v>#N/A</v>
      </c>
      <c r="AP16" s="186" t="e">
        <f t="shared" si="12"/>
        <v>#N/A</v>
      </c>
      <c r="AQ16" s="186">
        <f t="shared" si="13"/>
        <v>1</v>
      </c>
      <c r="AR16" s="186" t="e">
        <f t="shared" si="14"/>
        <v>#N/A</v>
      </c>
      <c r="AS16" s="186" t="e">
        <f t="shared" si="15"/>
        <v>#N/A</v>
      </c>
      <c r="AT16" s="186">
        <f t="shared" si="16"/>
        <v>1</v>
      </c>
      <c r="AU16" s="186" t="e">
        <f t="shared" si="17"/>
        <v>#N/A</v>
      </c>
      <c r="AV16" s="186" t="e">
        <f t="shared" si="31"/>
        <v>#N/A</v>
      </c>
      <c r="AW16" s="186">
        <f t="shared" si="32"/>
        <v>0</v>
      </c>
      <c r="AX16" s="186" t="e">
        <f t="shared" si="33"/>
        <v>#N/A</v>
      </c>
      <c r="AY16" s="186" t="e">
        <f t="shared" si="34"/>
        <v>#N/A</v>
      </c>
      <c r="AZ16" s="186" t="e">
        <f t="shared" si="35"/>
        <v>#N/A</v>
      </c>
      <c r="BA16" s="186">
        <f t="shared" si="18"/>
        <v>0</v>
      </c>
      <c r="BB16" s="186">
        <f t="shared" si="19"/>
        <v>0</v>
      </c>
      <c r="BC16" s="186">
        <f t="shared" si="20"/>
        <v>0</v>
      </c>
      <c r="BD16" s="186">
        <f t="shared" si="36"/>
        <v>0</v>
      </c>
      <c r="BE16" s="186">
        <f t="shared" si="21"/>
        <v>0</v>
      </c>
      <c r="BF16" s="186">
        <f t="shared" si="22"/>
        <v>0</v>
      </c>
      <c r="BG16" s="186">
        <f t="shared" si="23"/>
        <v>0</v>
      </c>
      <c r="BH16" s="186">
        <f t="shared" si="24"/>
        <v>0</v>
      </c>
      <c r="BI16" s="186">
        <f t="shared" si="25"/>
        <v>0</v>
      </c>
      <c r="BJ16" s="186">
        <f t="shared" si="37"/>
        <v>1</v>
      </c>
      <c r="BK16" s="186">
        <f t="shared" si="38"/>
        <v>0</v>
      </c>
      <c r="BL16" s="186">
        <f t="shared" si="26"/>
        <v>0</v>
      </c>
      <c r="BM16" s="186">
        <f t="shared" si="39"/>
        <v>0</v>
      </c>
      <c r="BN16" s="186" t="e">
        <f t="shared" si="40"/>
        <v>#N/A</v>
      </c>
      <c r="BO16" s="186">
        <f t="shared" si="41"/>
        <v>0</v>
      </c>
      <c r="BP16" s="186">
        <f t="shared" si="42"/>
        <v>1</v>
      </c>
      <c r="BQ16" s="186">
        <f t="shared" si="43"/>
        <v>0</v>
      </c>
      <c r="BR16" s="186">
        <f t="shared" si="27"/>
        <v>2</v>
      </c>
      <c r="BS16" s="186" t="e">
        <f t="shared" si="44"/>
        <v>#N/A</v>
      </c>
      <c r="BT16" s="186">
        <f t="shared" si="45"/>
        <v>1</v>
      </c>
      <c r="BU16" s="186" t="e">
        <f t="shared" si="46"/>
        <v>#N/A</v>
      </c>
      <c r="BV16" s="186" t="e">
        <f t="shared" si="47"/>
        <v>#N/A</v>
      </c>
      <c r="BW16" s="186" t="e">
        <f t="shared" si="48"/>
        <v>#N/A</v>
      </c>
      <c r="CJ16" s="186">
        <v>8</v>
      </c>
      <c r="CK16" s="186" t="s">
        <v>1741</v>
      </c>
      <c r="CL16" s="186">
        <v>8</v>
      </c>
      <c r="CM16" s="186" t="s">
        <v>1740</v>
      </c>
      <c r="CN16" s="186">
        <v>8</v>
      </c>
      <c r="CO16" s="186" t="s">
        <v>1739</v>
      </c>
    </row>
    <row r="17" spans="1:93" x14ac:dyDescent="0.25">
      <c r="A17" s="176"/>
      <c r="B17" s="177"/>
      <c r="C17" s="178"/>
      <c r="D17" s="179"/>
      <c r="E17" s="180"/>
      <c r="F17" s="180"/>
      <c r="G17" s="180"/>
      <c r="H17" s="181"/>
      <c r="I17" s="204" t="str">
        <f t="shared" si="0"/>
        <v/>
      </c>
      <c r="J17" s="205" t="str">
        <f t="shared" si="1"/>
        <v/>
      </c>
      <c r="K17" s="206" t="str">
        <f t="shared" si="2"/>
        <v/>
      </c>
      <c r="L17" s="207" t="str">
        <f t="shared" si="3"/>
        <v/>
      </c>
      <c r="M17" s="206" t="str">
        <f t="shared" si="28"/>
        <v/>
      </c>
      <c r="N17" s="208" t="str">
        <f t="shared" si="29"/>
        <v/>
      </c>
      <c r="O17" s="182" t="s">
        <v>986</v>
      </c>
      <c r="P17" s="182" t="s">
        <v>986</v>
      </c>
      <c r="Q17" s="183" t="s">
        <v>986</v>
      </c>
      <c r="R17" s="184" t="s">
        <v>986</v>
      </c>
      <c r="S17" s="185" t="s">
        <v>986</v>
      </c>
      <c r="T17" s="182" t="s">
        <v>986</v>
      </c>
      <c r="U17" s="182" t="s">
        <v>986</v>
      </c>
      <c r="V17" s="182" t="s">
        <v>986</v>
      </c>
      <c r="W17" s="182" t="s">
        <v>986</v>
      </c>
      <c r="X17" s="183" t="s">
        <v>1783</v>
      </c>
      <c r="Y17" s="184" t="s">
        <v>1765</v>
      </c>
      <c r="AA17" s="209" t="str">
        <f t="shared" si="4"/>
        <v/>
      </c>
      <c r="AB17" s="210" t="str">
        <f t="shared" si="5"/>
        <v/>
      </c>
      <c r="AD17" s="209" t="str">
        <f t="shared" si="6"/>
        <v/>
      </c>
      <c r="AE17" s="242" t="str">
        <f t="shared" si="7"/>
        <v/>
      </c>
      <c r="AF17" s="242" t="str">
        <f t="shared" si="8"/>
        <v/>
      </c>
      <c r="AG17" s="242" t="str">
        <f t="shared" si="9"/>
        <v/>
      </c>
      <c r="AH17" s="242" t="str">
        <f t="shared" si="49"/>
        <v xml:space="preserve">  pt</v>
      </c>
      <c r="AI17" s="210" t="str">
        <f t="shared" si="30"/>
        <v/>
      </c>
      <c r="AJ17" s="185"/>
      <c r="AK17" s="183"/>
      <c r="AL17" s="245"/>
      <c r="AM17" s="216"/>
      <c r="AN17" s="186">
        <f t="shared" si="10"/>
        <v>0</v>
      </c>
      <c r="AO17" s="186" t="e">
        <f t="shared" si="11"/>
        <v>#N/A</v>
      </c>
      <c r="AP17" s="186" t="e">
        <f t="shared" si="12"/>
        <v>#N/A</v>
      </c>
      <c r="AQ17" s="186">
        <f t="shared" si="13"/>
        <v>1</v>
      </c>
      <c r="AR17" s="186" t="e">
        <f t="shared" si="14"/>
        <v>#N/A</v>
      </c>
      <c r="AS17" s="186" t="e">
        <f t="shared" si="15"/>
        <v>#N/A</v>
      </c>
      <c r="AT17" s="186">
        <f t="shared" si="16"/>
        <v>1</v>
      </c>
      <c r="AU17" s="186" t="e">
        <f t="shared" si="17"/>
        <v>#N/A</v>
      </c>
      <c r="AV17" s="186" t="e">
        <f t="shared" si="31"/>
        <v>#N/A</v>
      </c>
      <c r="AW17" s="186">
        <f t="shared" si="32"/>
        <v>0</v>
      </c>
      <c r="AX17" s="186" t="e">
        <f t="shared" si="33"/>
        <v>#N/A</v>
      </c>
      <c r="AY17" s="186" t="e">
        <f t="shared" si="34"/>
        <v>#N/A</v>
      </c>
      <c r="AZ17" s="186" t="e">
        <f t="shared" si="35"/>
        <v>#N/A</v>
      </c>
      <c r="BA17" s="186">
        <f t="shared" si="18"/>
        <v>0</v>
      </c>
      <c r="BB17" s="186">
        <f t="shared" si="19"/>
        <v>0</v>
      </c>
      <c r="BC17" s="186">
        <f t="shared" si="20"/>
        <v>0</v>
      </c>
      <c r="BD17" s="186">
        <f t="shared" si="36"/>
        <v>0</v>
      </c>
      <c r="BE17" s="186">
        <f t="shared" si="21"/>
        <v>0</v>
      </c>
      <c r="BF17" s="186">
        <f t="shared" si="22"/>
        <v>0</v>
      </c>
      <c r="BG17" s="186">
        <f t="shared" si="23"/>
        <v>0</v>
      </c>
      <c r="BH17" s="186">
        <f t="shared" si="24"/>
        <v>0</v>
      </c>
      <c r="BI17" s="186">
        <f t="shared" si="25"/>
        <v>0</v>
      </c>
      <c r="BJ17" s="186">
        <f t="shared" si="37"/>
        <v>1</v>
      </c>
      <c r="BK17" s="186">
        <f t="shared" si="38"/>
        <v>0</v>
      </c>
      <c r="BL17" s="186">
        <f t="shared" si="26"/>
        <v>0</v>
      </c>
      <c r="BM17" s="186">
        <f t="shared" si="39"/>
        <v>0</v>
      </c>
      <c r="BN17" s="186" t="e">
        <f t="shared" si="40"/>
        <v>#N/A</v>
      </c>
      <c r="BO17" s="186">
        <f t="shared" si="41"/>
        <v>0</v>
      </c>
      <c r="BP17" s="186">
        <f t="shared" si="42"/>
        <v>1</v>
      </c>
      <c r="BQ17" s="186">
        <f t="shared" si="43"/>
        <v>0</v>
      </c>
      <c r="BR17" s="186">
        <f t="shared" si="27"/>
        <v>2</v>
      </c>
      <c r="BS17" s="186" t="e">
        <f t="shared" si="44"/>
        <v>#N/A</v>
      </c>
      <c r="BT17" s="186">
        <f t="shared" si="45"/>
        <v>1</v>
      </c>
      <c r="BU17" s="186" t="e">
        <f t="shared" si="46"/>
        <v>#N/A</v>
      </c>
      <c r="BV17" s="186" t="e">
        <f t="shared" si="47"/>
        <v>#N/A</v>
      </c>
      <c r="BW17" s="186" t="e">
        <f t="shared" si="48"/>
        <v>#N/A</v>
      </c>
      <c r="BY17" s="186">
        <v>1</v>
      </c>
      <c r="BZ17" s="186" t="s">
        <v>1733</v>
      </c>
      <c r="CJ17" s="186">
        <v>9</v>
      </c>
      <c r="CK17" s="186" t="s">
        <v>1741</v>
      </c>
      <c r="CL17" s="186">
        <v>9</v>
      </c>
      <c r="CM17" s="186" t="s">
        <v>1740</v>
      </c>
      <c r="CN17" s="186">
        <v>9</v>
      </c>
      <c r="CO17" s="186" t="s">
        <v>1739</v>
      </c>
    </row>
    <row r="18" spans="1:93" x14ac:dyDescent="0.25">
      <c r="A18" s="176"/>
      <c r="B18" s="177"/>
      <c r="C18" s="178"/>
      <c r="D18" s="179"/>
      <c r="E18" s="180"/>
      <c r="F18" s="180"/>
      <c r="G18" s="180"/>
      <c r="H18" s="181"/>
      <c r="I18" s="204" t="str">
        <f t="shared" si="0"/>
        <v/>
      </c>
      <c r="J18" s="205" t="str">
        <f t="shared" si="1"/>
        <v/>
      </c>
      <c r="K18" s="206" t="str">
        <f t="shared" si="2"/>
        <v/>
      </c>
      <c r="L18" s="207" t="str">
        <f t="shared" si="3"/>
        <v/>
      </c>
      <c r="M18" s="206" t="str">
        <f t="shared" si="28"/>
        <v/>
      </c>
      <c r="N18" s="208" t="str">
        <f t="shared" si="29"/>
        <v/>
      </c>
      <c r="O18" s="182" t="s">
        <v>986</v>
      </c>
      <c r="P18" s="182" t="s">
        <v>986</v>
      </c>
      <c r="Q18" s="183" t="s">
        <v>986</v>
      </c>
      <c r="R18" s="184" t="s">
        <v>986</v>
      </c>
      <c r="S18" s="185" t="s">
        <v>986</v>
      </c>
      <c r="T18" s="182" t="s">
        <v>986</v>
      </c>
      <c r="U18" s="182" t="s">
        <v>986</v>
      </c>
      <c r="V18" s="182" t="s">
        <v>986</v>
      </c>
      <c r="W18" s="182" t="s">
        <v>986</v>
      </c>
      <c r="X18" s="183" t="s">
        <v>1783</v>
      </c>
      <c r="Y18" s="184" t="s">
        <v>1765</v>
      </c>
      <c r="AA18" s="209" t="str">
        <f t="shared" si="4"/>
        <v/>
      </c>
      <c r="AB18" s="210" t="str">
        <f t="shared" si="5"/>
        <v/>
      </c>
      <c r="AD18" s="209" t="str">
        <f t="shared" si="6"/>
        <v/>
      </c>
      <c r="AE18" s="242" t="str">
        <f t="shared" si="7"/>
        <v/>
      </c>
      <c r="AF18" s="242" t="str">
        <f t="shared" si="8"/>
        <v/>
      </c>
      <c r="AG18" s="242" t="str">
        <f t="shared" si="9"/>
        <v/>
      </c>
      <c r="AH18" s="242" t="str">
        <f t="shared" si="49"/>
        <v xml:space="preserve">  pt</v>
      </c>
      <c r="AI18" s="210" t="str">
        <f t="shared" si="30"/>
        <v/>
      </c>
      <c r="AJ18" s="185"/>
      <c r="AK18" s="183"/>
      <c r="AL18" s="245"/>
      <c r="AM18" s="216"/>
      <c r="AN18" s="186">
        <f t="shared" si="10"/>
        <v>0</v>
      </c>
      <c r="AO18" s="186" t="e">
        <f t="shared" si="11"/>
        <v>#N/A</v>
      </c>
      <c r="AP18" s="186" t="e">
        <f t="shared" si="12"/>
        <v>#N/A</v>
      </c>
      <c r="AQ18" s="186">
        <f t="shared" si="13"/>
        <v>1</v>
      </c>
      <c r="AR18" s="186" t="e">
        <f t="shared" si="14"/>
        <v>#N/A</v>
      </c>
      <c r="AS18" s="186" t="e">
        <f t="shared" si="15"/>
        <v>#N/A</v>
      </c>
      <c r="AT18" s="186">
        <f t="shared" si="16"/>
        <v>1</v>
      </c>
      <c r="AU18" s="186" t="e">
        <f t="shared" si="17"/>
        <v>#N/A</v>
      </c>
      <c r="AV18" s="186" t="e">
        <f t="shared" si="31"/>
        <v>#N/A</v>
      </c>
      <c r="AW18" s="186">
        <f t="shared" si="32"/>
        <v>0</v>
      </c>
      <c r="AX18" s="186" t="e">
        <f t="shared" si="33"/>
        <v>#N/A</v>
      </c>
      <c r="AY18" s="186" t="e">
        <f t="shared" si="34"/>
        <v>#N/A</v>
      </c>
      <c r="AZ18" s="186" t="e">
        <f t="shared" si="35"/>
        <v>#N/A</v>
      </c>
      <c r="BA18" s="186">
        <f t="shared" si="18"/>
        <v>0</v>
      </c>
      <c r="BB18" s="186">
        <f t="shared" si="19"/>
        <v>0</v>
      </c>
      <c r="BC18" s="186">
        <f t="shared" si="20"/>
        <v>0</v>
      </c>
      <c r="BD18" s="186">
        <f t="shared" si="36"/>
        <v>0</v>
      </c>
      <c r="BE18" s="186">
        <f t="shared" si="21"/>
        <v>0</v>
      </c>
      <c r="BF18" s="186">
        <f t="shared" si="22"/>
        <v>0</v>
      </c>
      <c r="BG18" s="186">
        <f t="shared" si="23"/>
        <v>0</v>
      </c>
      <c r="BH18" s="186">
        <f t="shared" si="24"/>
        <v>0</v>
      </c>
      <c r="BI18" s="186">
        <f t="shared" si="25"/>
        <v>0</v>
      </c>
      <c r="BJ18" s="186">
        <f t="shared" si="37"/>
        <v>1</v>
      </c>
      <c r="BK18" s="186">
        <f t="shared" si="38"/>
        <v>0</v>
      </c>
      <c r="BL18" s="186">
        <f t="shared" si="26"/>
        <v>0</v>
      </c>
      <c r="BM18" s="186">
        <f t="shared" si="39"/>
        <v>0</v>
      </c>
      <c r="BN18" s="186" t="e">
        <f t="shared" si="40"/>
        <v>#N/A</v>
      </c>
      <c r="BO18" s="186">
        <f t="shared" si="41"/>
        <v>0</v>
      </c>
      <c r="BP18" s="186">
        <f t="shared" si="42"/>
        <v>1</v>
      </c>
      <c r="BQ18" s="186">
        <f t="shared" si="43"/>
        <v>0</v>
      </c>
      <c r="BR18" s="186">
        <f t="shared" si="27"/>
        <v>2</v>
      </c>
      <c r="BS18" s="186" t="e">
        <f t="shared" si="44"/>
        <v>#N/A</v>
      </c>
      <c r="BT18" s="186">
        <f t="shared" si="45"/>
        <v>1</v>
      </c>
      <c r="BU18" s="186" t="e">
        <f t="shared" si="46"/>
        <v>#N/A</v>
      </c>
      <c r="BV18" s="186" t="e">
        <f t="shared" si="47"/>
        <v>#N/A</v>
      </c>
      <c r="BW18" s="186" t="e">
        <f t="shared" si="48"/>
        <v>#N/A</v>
      </c>
      <c r="BY18" s="186">
        <v>2</v>
      </c>
      <c r="BZ18" s="186" t="s">
        <v>1734</v>
      </c>
      <c r="CJ18" s="186">
        <v>10</v>
      </c>
      <c r="CK18" s="186" t="s">
        <v>1741</v>
      </c>
      <c r="CL18" s="186">
        <v>10</v>
      </c>
      <c r="CM18" s="186" t="s">
        <v>1740</v>
      </c>
      <c r="CN18" s="186">
        <v>10</v>
      </c>
      <c r="CO18" s="186" t="s">
        <v>1739</v>
      </c>
    </row>
    <row r="19" spans="1:93" x14ac:dyDescent="0.25">
      <c r="A19" s="176"/>
      <c r="B19" s="177"/>
      <c r="C19" s="178"/>
      <c r="D19" s="179"/>
      <c r="E19" s="180"/>
      <c r="F19" s="180"/>
      <c r="G19" s="180"/>
      <c r="H19" s="181"/>
      <c r="I19" s="204" t="str">
        <f t="shared" si="0"/>
        <v/>
      </c>
      <c r="J19" s="205" t="str">
        <f t="shared" si="1"/>
        <v/>
      </c>
      <c r="K19" s="206" t="str">
        <f t="shared" si="2"/>
        <v/>
      </c>
      <c r="L19" s="207" t="str">
        <f t="shared" si="3"/>
        <v/>
      </c>
      <c r="M19" s="206" t="str">
        <f t="shared" si="28"/>
        <v/>
      </c>
      <c r="N19" s="208" t="str">
        <f t="shared" si="29"/>
        <v/>
      </c>
      <c r="O19" s="182" t="s">
        <v>986</v>
      </c>
      <c r="P19" s="182" t="s">
        <v>986</v>
      </c>
      <c r="Q19" s="183" t="s">
        <v>986</v>
      </c>
      <c r="R19" s="184" t="s">
        <v>986</v>
      </c>
      <c r="S19" s="185" t="s">
        <v>986</v>
      </c>
      <c r="T19" s="182" t="s">
        <v>986</v>
      </c>
      <c r="U19" s="182" t="s">
        <v>986</v>
      </c>
      <c r="V19" s="182" t="s">
        <v>986</v>
      </c>
      <c r="W19" s="182" t="s">
        <v>986</v>
      </c>
      <c r="X19" s="183" t="s">
        <v>1783</v>
      </c>
      <c r="Y19" s="184" t="s">
        <v>1765</v>
      </c>
      <c r="AA19" s="209" t="str">
        <f t="shared" si="4"/>
        <v/>
      </c>
      <c r="AB19" s="210" t="str">
        <f t="shared" si="5"/>
        <v/>
      </c>
      <c r="AD19" s="209" t="str">
        <f t="shared" si="6"/>
        <v/>
      </c>
      <c r="AE19" s="242" t="str">
        <f t="shared" si="7"/>
        <v/>
      </c>
      <c r="AF19" s="242" t="str">
        <f t="shared" si="8"/>
        <v/>
      </c>
      <c r="AG19" s="242" t="str">
        <f t="shared" si="9"/>
        <v/>
      </c>
      <c r="AH19" s="242" t="str">
        <f t="shared" si="49"/>
        <v xml:space="preserve">  pt</v>
      </c>
      <c r="AI19" s="210" t="str">
        <f t="shared" si="30"/>
        <v/>
      </c>
      <c r="AJ19" s="185"/>
      <c r="AK19" s="183"/>
      <c r="AL19" s="245"/>
      <c r="AM19" s="216"/>
      <c r="AN19" s="186">
        <f t="shared" si="10"/>
        <v>0</v>
      </c>
      <c r="AO19" s="186" t="e">
        <f t="shared" si="11"/>
        <v>#N/A</v>
      </c>
      <c r="AP19" s="186" t="e">
        <f t="shared" si="12"/>
        <v>#N/A</v>
      </c>
      <c r="AQ19" s="186">
        <f t="shared" si="13"/>
        <v>1</v>
      </c>
      <c r="AR19" s="186" t="e">
        <f t="shared" si="14"/>
        <v>#N/A</v>
      </c>
      <c r="AS19" s="186" t="e">
        <f t="shared" si="15"/>
        <v>#N/A</v>
      </c>
      <c r="AT19" s="186">
        <f t="shared" si="16"/>
        <v>1</v>
      </c>
      <c r="AU19" s="186" t="e">
        <f t="shared" si="17"/>
        <v>#N/A</v>
      </c>
      <c r="AV19" s="186" t="e">
        <f t="shared" si="31"/>
        <v>#N/A</v>
      </c>
      <c r="AW19" s="186">
        <f t="shared" si="32"/>
        <v>0</v>
      </c>
      <c r="AX19" s="186" t="e">
        <f t="shared" si="33"/>
        <v>#N/A</v>
      </c>
      <c r="AY19" s="186" t="e">
        <f t="shared" si="34"/>
        <v>#N/A</v>
      </c>
      <c r="AZ19" s="186" t="e">
        <f t="shared" si="35"/>
        <v>#N/A</v>
      </c>
      <c r="BA19" s="186">
        <f t="shared" si="18"/>
        <v>0</v>
      </c>
      <c r="BB19" s="186">
        <f t="shared" si="19"/>
        <v>0</v>
      </c>
      <c r="BC19" s="186">
        <f t="shared" si="20"/>
        <v>0</v>
      </c>
      <c r="BD19" s="186">
        <f t="shared" si="36"/>
        <v>0</v>
      </c>
      <c r="BE19" s="186">
        <f t="shared" si="21"/>
        <v>0</v>
      </c>
      <c r="BF19" s="186">
        <f t="shared" si="22"/>
        <v>0</v>
      </c>
      <c r="BG19" s="186">
        <f t="shared" si="23"/>
        <v>0</v>
      </c>
      <c r="BH19" s="186">
        <f t="shared" si="24"/>
        <v>0</v>
      </c>
      <c r="BI19" s="186">
        <f t="shared" si="25"/>
        <v>0</v>
      </c>
      <c r="BJ19" s="186">
        <f t="shared" si="37"/>
        <v>1</v>
      </c>
      <c r="BK19" s="186">
        <f t="shared" si="38"/>
        <v>0</v>
      </c>
      <c r="BL19" s="186">
        <f t="shared" si="26"/>
        <v>0</v>
      </c>
      <c r="BM19" s="186">
        <f t="shared" si="39"/>
        <v>0</v>
      </c>
      <c r="BN19" s="186" t="e">
        <f t="shared" si="40"/>
        <v>#N/A</v>
      </c>
      <c r="BO19" s="186">
        <f t="shared" si="41"/>
        <v>0</v>
      </c>
      <c r="BP19" s="186">
        <f t="shared" si="42"/>
        <v>1</v>
      </c>
      <c r="BQ19" s="186">
        <f t="shared" si="43"/>
        <v>0</v>
      </c>
      <c r="BR19" s="186">
        <f t="shared" si="27"/>
        <v>2</v>
      </c>
      <c r="BS19" s="186" t="e">
        <f t="shared" si="44"/>
        <v>#N/A</v>
      </c>
      <c r="BT19" s="186">
        <f t="shared" si="45"/>
        <v>1</v>
      </c>
      <c r="BU19" s="186" t="e">
        <f t="shared" si="46"/>
        <v>#N/A</v>
      </c>
      <c r="BV19" s="186" t="e">
        <f t="shared" si="47"/>
        <v>#N/A</v>
      </c>
      <c r="BW19" s="186" t="e">
        <f t="shared" si="48"/>
        <v>#N/A</v>
      </c>
    </row>
    <row r="20" spans="1:93" x14ac:dyDescent="0.25">
      <c r="A20" s="176"/>
      <c r="B20" s="177"/>
      <c r="C20" s="178"/>
      <c r="D20" s="179"/>
      <c r="E20" s="180"/>
      <c r="F20" s="180"/>
      <c r="G20" s="180"/>
      <c r="H20" s="181"/>
      <c r="I20" s="204" t="str">
        <f t="shared" si="0"/>
        <v/>
      </c>
      <c r="J20" s="205" t="str">
        <f t="shared" si="1"/>
        <v/>
      </c>
      <c r="K20" s="206" t="str">
        <f t="shared" si="2"/>
        <v/>
      </c>
      <c r="L20" s="207" t="str">
        <f t="shared" si="3"/>
        <v/>
      </c>
      <c r="M20" s="206" t="str">
        <f t="shared" si="28"/>
        <v/>
      </c>
      <c r="N20" s="208" t="str">
        <f t="shared" si="29"/>
        <v/>
      </c>
      <c r="O20" s="182" t="s">
        <v>986</v>
      </c>
      <c r="P20" s="182" t="s">
        <v>986</v>
      </c>
      <c r="Q20" s="183" t="s">
        <v>986</v>
      </c>
      <c r="R20" s="184" t="s">
        <v>986</v>
      </c>
      <c r="S20" s="185" t="s">
        <v>986</v>
      </c>
      <c r="T20" s="182" t="s">
        <v>986</v>
      </c>
      <c r="U20" s="182" t="s">
        <v>986</v>
      </c>
      <c r="V20" s="182" t="s">
        <v>986</v>
      </c>
      <c r="W20" s="182" t="s">
        <v>986</v>
      </c>
      <c r="X20" s="183" t="s">
        <v>1783</v>
      </c>
      <c r="Y20" s="184" t="s">
        <v>1765</v>
      </c>
      <c r="AA20" s="209" t="str">
        <f t="shared" si="4"/>
        <v/>
      </c>
      <c r="AB20" s="210" t="str">
        <f t="shared" si="5"/>
        <v/>
      </c>
      <c r="AD20" s="209" t="str">
        <f t="shared" si="6"/>
        <v/>
      </c>
      <c r="AE20" s="242" t="str">
        <f t="shared" si="7"/>
        <v/>
      </c>
      <c r="AF20" s="242" t="str">
        <f t="shared" si="8"/>
        <v/>
      </c>
      <c r="AG20" s="242" t="str">
        <f t="shared" si="9"/>
        <v/>
      </c>
      <c r="AH20" s="242" t="str">
        <f t="shared" si="49"/>
        <v xml:space="preserve">  pt</v>
      </c>
      <c r="AI20" s="210" t="str">
        <f t="shared" si="30"/>
        <v/>
      </c>
      <c r="AJ20" s="185"/>
      <c r="AK20" s="183"/>
      <c r="AL20" s="245"/>
      <c r="AM20" s="216"/>
      <c r="AN20" s="186">
        <f t="shared" si="10"/>
        <v>0</v>
      </c>
      <c r="AO20" s="186" t="e">
        <f t="shared" si="11"/>
        <v>#N/A</v>
      </c>
      <c r="AP20" s="186" t="e">
        <f t="shared" si="12"/>
        <v>#N/A</v>
      </c>
      <c r="AQ20" s="186">
        <f t="shared" si="13"/>
        <v>1</v>
      </c>
      <c r="AR20" s="186" t="e">
        <f t="shared" si="14"/>
        <v>#N/A</v>
      </c>
      <c r="AS20" s="186" t="e">
        <f t="shared" si="15"/>
        <v>#N/A</v>
      </c>
      <c r="AT20" s="186">
        <f t="shared" si="16"/>
        <v>1</v>
      </c>
      <c r="AU20" s="186" t="e">
        <f t="shared" si="17"/>
        <v>#N/A</v>
      </c>
      <c r="AV20" s="186" t="e">
        <f t="shared" si="31"/>
        <v>#N/A</v>
      </c>
      <c r="AW20" s="186">
        <f t="shared" si="32"/>
        <v>0</v>
      </c>
      <c r="AX20" s="186" t="e">
        <f t="shared" si="33"/>
        <v>#N/A</v>
      </c>
      <c r="AY20" s="186" t="e">
        <f t="shared" si="34"/>
        <v>#N/A</v>
      </c>
      <c r="AZ20" s="186" t="e">
        <f t="shared" si="35"/>
        <v>#N/A</v>
      </c>
      <c r="BA20" s="186">
        <f t="shared" si="18"/>
        <v>0</v>
      </c>
      <c r="BB20" s="186">
        <f t="shared" si="19"/>
        <v>0</v>
      </c>
      <c r="BC20" s="186">
        <f t="shared" si="20"/>
        <v>0</v>
      </c>
      <c r="BD20" s="186">
        <f t="shared" si="36"/>
        <v>0</v>
      </c>
      <c r="BE20" s="186">
        <f t="shared" si="21"/>
        <v>0</v>
      </c>
      <c r="BF20" s="186">
        <f t="shared" si="22"/>
        <v>0</v>
      </c>
      <c r="BG20" s="186">
        <f t="shared" si="23"/>
        <v>0</v>
      </c>
      <c r="BH20" s="186">
        <f t="shared" si="24"/>
        <v>0</v>
      </c>
      <c r="BI20" s="186">
        <f t="shared" si="25"/>
        <v>0</v>
      </c>
      <c r="BJ20" s="186">
        <f t="shared" si="37"/>
        <v>1</v>
      </c>
      <c r="BK20" s="186">
        <f t="shared" si="38"/>
        <v>0</v>
      </c>
      <c r="BL20" s="186">
        <f t="shared" si="26"/>
        <v>0</v>
      </c>
      <c r="BM20" s="186">
        <f t="shared" si="39"/>
        <v>0</v>
      </c>
      <c r="BN20" s="186" t="e">
        <f t="shared" si="40"/>
        <v>#N/A</v>
      </c>
      <c r="BO20" s="186">
        <f t="shared" si="41"/>
        <v>0</v>
      </c>
      <c r="BP20" s="186">
        <f t="shared" si="42"/>
        <v>1</v>
      </c>
      <c r="BQ20" s="186">
        <f t="shared" si="43"/>
        <v>0</v>
      </c>
      <c r="BR20" s="186">
        <f t="shared" si="27"/>
        <v>2</v>
      </c>
      <c r="BS20" s="186" t="e">
        <f t="shared" si="44"/>
        <v>#N/A</v>
      </c>
      <c r="BT20" s="186">
        <f t="shared" si="45"/>
        <v>1</v>
      </c>
      <c r="BU20" s="186" t="e">
        <f t="shared" si="46"/>
        <v>#N/A</v>
      </c>
      <c r="BV20" s="186" t="e">
        <f t="shared" si="47"/>
        <v>#N/A</v>
      </c>
      <c r="BW20" s="186" t="e">
        <f t="shared" si="48"/>
        <v>#N/A</v>
      </c>
    </row>
    <row r="21" spans="1:93" x14ac:dyDescent="0.25">
      <c r="A21" s="176"/>
      <c r="B21" s="177"/>
      <c r="C21" s="178"/>
      <c r="D21" s="179"/>
      <c r="E21" s="180"/>
      <c r="F21" s="180"/>
      <c r="G21" s="180"/>
      <c r="H21" s="181"/>
      <c r="I21" s="204" t="str">
        <f t="shared" si="0"/>
        <v/>
      </c>
      <c r="J21" s="205" t="str">
        <f t="shared" si="1"/>
        <v/>
      </c>
      <c r="K21" s="206" t="str">
        <f t="shared" si="2"/>
        <v/>
      </c>
      <c r="L21" s="207" t="str">
        <f t="shared" si="3"/>
        <v/>
      </c>
      <c r="M21" s="206" t="str">
        <f t="shared" si="28"/>
        <v/>
      </c>
      <c r="N21" s="208" t="str">
        <f t="shared" si="29"/>
        <v/>
      </c>
      <c r="O21" s="182" t="s">
        <v>986</v>
      </c>
      <c r="P21" s="182" t="s">
        <v>986</v>
      </c>
      <c r="Q21" s="183" t="s">
        <v>986</v>
      </c>
      <c r="R21" s="184" t="s">
        <v>986</v>
      </c>
      <c r="S21" s="185" t="s">
        <v>986</v>
      </c>
      <c r="T21" s="182" t="s">
        <v>986</v>
      </c>
      <c r="U21" s="182" t="s">
        <v>986</v>
      </c>
      <c r="V21" s="182" t="s">
        <v>986</v>
      </c>
      <c r="W21" s="182" t="s">
        <v>986</v>
      </c>
      <c r="X21" s="183" t="s">
        <v>1783</v>
      </c>
      <c r="Y21" s="184" t="s">
        <v>1765</v>
      </c>
      <c r="AA21" s="209" t="str">
        <f t="shared" si="4"/>
        <v/>
      </c>
      <c r="AB21" s="210" t="str">
        <f t="shared" si="5"/>
        <v/>
      </c>
      <c r="AD21" s="209" t="str">
        <f t="shared" si="6"/>
        <v/>
      </c>
      <c r="AE21" s="242" t="str">
        <f t="shared" si="7"/>
        <v/>
      </c>
      <c r="AF21" s="242" t="str">
        <f t="shared" si="8"/>
        <v/>
      </c>
      <c r="AG21" s="242" t="str">
        <f t="shared" si="9"/>
        <v/>
      </c>
      <c r="AH21" s="242" t="str">
        <f t="shared" si="49"/>
        <v xml:space="preserve">  pt</v>
      </c>
      <c r="AI21" s="210" t="str">
        <f t="shared" si="30"/>
        <v/>
      </c>
      <c r="AJ21" s="185"/>
      <c r="AK21" s="183"/>
      <c r="AL21" s="245"/>
      <c r="AM21" s="216"/>
      <c r="AN21" s="186">
        <f t="shared" si="10"/>
        <v>0</v>
      </c>
      <c r="AO21" s="186" t="e">
        <f t="shared" si="11"/>
        <v>#N/A</v>
      </c>
      <c r="AP21" s="186" t="e">
        <f t="shared" si="12"/>
        <v>#N/A</v>
      </c>
      <c r="AQ21" s="186">
        <f t="shared" si="13"/>
        <v>1</v>
      </c>
      <c r="AR21" s="186" t="e">
        <f t="shared" si="14"/>
        <v>#N/A</v>
      </c>
      <c r="AS21" s="186" t="e">
        <f t="shared" si="15"/>
        <v>#N/A</v>
      </c>
      <c r="AT21" s="186">
        <f t="shared" si="16"/>
        <v>1</v>
      </c>
      <c r="AU21" s="186" t="e">
        <f t="shared" si="17"/>
        <v>#N/A</v>
      </c>
      <c r="AV21" s="186" t="e">
        <f t="shared" si="31"/>
        <v>#N/A</v>
      </c>
      <c r="AW21" s="186">
        <f t="shared" si="32"/>
        <v>0</v>
      </c>
      <c r="AX21" s="186" t="e">
        <f t="shared" si="33"/>
        <v>#N/A</v>
      </c>
      <c r="AY21" s="186" t="e">
        <f t="shared" si="34"/>
        <v>#N/A</v>
      </c>
      <c r="AZ21" s="186" t="e">
        <f t="shared" si="35"/>
        <v>#N/A</v>
      </c>
      <c r="BA21" s="186">
        <f t="shared" si="18"/>
        <v>0</v>
      </c>
      <c r="BB21" s="186">
        <f t="shared" si="19"/>
        <v>0</v>
      </c>
      <c r="BC21" s="186">
        <f t="shared" si="20"/>
        <v>0</v>
      </c>
      <c r="BD21" s="186">
        <f t="shared" si="36"/>
        <v>0</v>
      </c>
      <c r="BE21" s="186">
        <f t="shared" si="21"/>
        <v>0</v>
      </c>
      <c r="BF21" s="186">
        <f t="shared" si="22"/>
        <v>0</v>
      </c>
      <c r="BG21" s="186">
        <f t="shared" si="23"/>
        <v>0</v>
      </c>
      <c r="BH21" s="186">
        <f t="shared" si="24"/>
        <v>0</v>
      </c>
      <c r="BI21" s="186">
        <f t="shared" si="25"/>
        <v>0</v>
      </c>
      <c r="BJ21" s="186">
        <f t="shared" si="37"/>
        <v>1</v>
      </c>
      <c r="BK21" s="186">
        <f t="shared" si="38"/>
        <v>0</v>
      </c>
      <c r="BL21" s="186">
        <f t="shared" si="26"/>
        <v>0</v>
      </c>
      <c r="BM21" s="186">
        <f t="shared" si="39"/>
        <v>0</v>
      </c>
      <c r="BN21" s="186" t="e">
        <f t="shared" si="40"/>
        <v>#N/A</v>
      </c>
      <c r="BO21" s="186">
        <f t="shared" si="41"/>
        <v>0</v>
      </c>
      <c r="BP21" s="186">
        <f t="shared" si="42"/>
        <v>1</v>
      </c>
      <c r="BQ21" s="186">
        <f t="shared" si="43"/>
        <v>0</v>
      </c>
      <c r="BR21" s="186">
        <f t="shared" si="27"/>
        <v>2</v>
      </c>
      <c r="BS21" s="186" t="e">
        <f t="shared" si="44"/>
        <v>#N/A</v>
      </c>
      <c r="BT21" s="186">
        <f t="shared" si="45"/>
        <v>1</v>
      </c>
      <c r="BU21" s="186" t="e">
        <f t="shared" si="46"/>
        <v>#N/A</v>
      </c>
      <c r="BV21" s="186" t="e">
        <f t="shared" si="47"/>
        <v>#N/A</v>
      </c>
      <c r="BW21" s="186" t="e">
        <f t="shared" si="48"/>
        <v>#N/A</v>
      </c>
    </row>
    <row r="22" spans="1:93" x14ac:dyDescent="0.25">
      <c r="A22" s="176"/>
      <c r="B22" s="177"/>
      <c r="C22" s="178"/>
      <c r="D22" s="179"/>
      <c r="E22" s="180"/>
      <c r="F22" s="180"/>
      <c r="G22" s="180"/>
      <c r="H22" s="181"/>
      <c r="I22" s="204" t="str">
        <f t="shared" si="0"/>
        <v/>
      </c>
      <c r="J22" s="205" t="str">
        <f t="shared" si="1"/>
        <v/>
      </c>
      <c r="K22" s="206" t="str">
        <f t="shared" si="2"/>
        <v/>
      </c>
      <c r="L22" s="207" t="str">
        <f t="shared" si="3"/>
        <v/>
      </c>
      <c r="M22" s="206" t="str">
        <f t="shared" si="28"/>
        <v/>
      </c>
      <c r="N22" s="208" t="str">
        <f t="shared" si="29"/>
        <v/>
      </c>
      <c r="O22" s="182" t="s">
        <v>986</v>
      </c>
      <c r="P22" s="182" t="s">
        <v>986</v>
      </c>
      <c r="Q22" s="183" t="s">
        <v>986</v>
      </c>
      <c r="R22" s="184" t="s">
        <v>986</v>
      </c>
      <c r="S22" s="185" t="s">
        <v>986</v>
      </c>
      <c r="T22" s="182" t="s">
        <v>986</v>
      </c>
      <c r="U22" s="182" t="s">
        <v>986</v>
      </c>
      <c r="V22" s="182" t="s">
        <v>986</v>
      </c>
      <c r="W22" s="182" t="s">
        <v>986</v>
      </c>
      <c r="X22" s="183" t="s">
        <v>1783</v>
      </c>
      <c r="Y22" s="184" t="s">
        <v>1765</v>
      </c>
      <c r="AA22" s="209" t="str">
        <f t="shared" si="4"/>
        <v/>
      </c>
      <c r="AB22" s="210" t="str">
        <f t="shared" si="5"/>
        <v/>
      </c>
      <c r="AD22" s="209" t="str">
        <f t="shared" si="6"/>
        <v/>
      </c>
      <c r="AE22" s="242" t="str">
        <f t="shared" si="7"/>
        <v/>
      </c>
      <c r="AF22" s="242" t="str">
        <f t="shared" si="8"/>
        <v/>
      </c>
      <c r="AG22" s="242" t="str">
        <f t="shared" si="9"/>
        <v/>
      </c>
      <c r="AH22" s="242" t="str">
        <f t="shared" si="49"/>
        <v xml:space="preserve">  pt</v>
      </c>
      <c r="AI22" s="210" t="str">
        <f t="shared" si="30"/>
        <v/>
      </c>
      <c r="AJ22" s="185"/>
      <c r="AK22" s="183"/>
      <c r="AL22" s="245"/>
      <c r="AM22" s="216"/>
      <c r="AN22" s="186">
        <f t="shared" si="10"/>
        <v>0</v>
      </c>
      <c r="AO22" s="186" t="e">
        <f t="shared" si="11"/>
        <v>#N/A</v>
      </c>
      <c r="AP22" s="186" t="e">
        <f t="shared" si="12"/>
        <v>#N/A</v>
      </c>
      <c r="AQ22" s="186">
        <f t="shared" si="13"/>
        <v>1</v>
      </c>
      <c r="AR22" s="186" t="e">
        <f t="shared" si="14"/>
        <v>#N/A</v>
      </c>
      <c r="AS22" s="186" t="e">
        <f t="shared" si="15"/>
        <v>#N/A</v>
      </c>
      <c r="AT22" s="186">
        <f t="shared" si="16"/>
        <v>1</v>
      </c>
      <c r="AU22" s="186" t="e">
        <f t="shared" si="17"/>
        <v>#N/A</v>
      </c>
      <c r="AV22" s="186" t="e">
        <f t="shared" si="31"/>
        <v>#N/A</v>
      </c>
      <c r="AW22" s="186">
        <f t="shared" si="32"/>
        <v>0</v>
      </c>
      <c r="AX22" s="186" t="e">
        <f t="shared" si="33"/>
        <v>#N/A</v>
      </c>
      <c r="AY22" s="186" t="e">
        <f t="shared" si="34"/>
        <v>#N/A</v>
      </c>
      <c r="AZ22" s="186" t="e">
        <f t="shared" si="35"/>
        <v>#N/A</v>
      </c>
      <c r="BA22" s="186">
        <f t="shared" si="18"/>
        <v>0</v>
      </c>
      <c r="BB22" s="186">
        <f t="shared" si="19"/>
        <v>0</v>
      </c>
      <c r="BC22" s="186">
        <f t="shared" si="20"/>
        <v>0</v>
      </c>
      <c r="BD22" s="186">
        <f t="shared" si="36"/>
        <v>0</v>
      </c>
      <c r="BE22" s="186">
        <f t="shared" si="21"/>
        <v>0</v>
      </c>
      <c r="BF22" s="186">
        <f t="shared" si="22"/>
        <v>0</v>
      </c>
      <c r="BG22" s="186">
        <f t="shared" si="23"/>
        <v>0</v>
      </c>
      <c r="BH22" s="186">
        <f t="shared" si="24"/>
        <v>0</v>
      </c>
      <c r="BI22" s="186">
        <f t="shared" si="25"/>
        <v>0</v>
      </c>
      <c r="BJ22" s="186">
        <f t="shared" si="37"/>
        <v>1</v>
      </c>
      <c r="BK22" s="186">
        <f t="shared" si="38"/>
        <v>0</v>
      </c>
      <c r="BL22" s="186">
        <f t="shared" si="26"/>
        <v>0</v>
      </c>
      <c r="BM22" s="186">
        <f t="shared" si="39"/>
        <v>0</v>
      </c>
      <c r="BN22" s="186" t="e">
        <f t="shared" si="40"/>
        <v>#N/A</v>
      </c>
      <c r="BO22" s="186">
        <f t="shared" si="41"/>
        <v>0</v>
      </c>
      <c r="BP22" s="186">
        <f t="shared" si="42"/>
        <v>1</v>
      </c>
      <c r="BQ22" s="186">
        <f t="shared" si="43"/>
        <v>0</v>
      </c>
      <c r="BR22" s="186">
        <f t="shared" si="27"/>
        <v>2</v>
      </c>
      <c r="BS22" s="186" t="e">
        <f t="shared" si="44"/>
        <v>#N/A</v>
      </c>
      <c r="BT22" s="186">
        <f t="shared" si="45"/>
        <v>1</v>
      </c>
      <c r="BU22" s="186" t="e">
        <f t="shared" si="46"/>
        <v>#N/A</v>
      </c>
      <c r="BV22" s="186" t="e">
        <f t="shared" si="47"/>
        <v>#N/A</v>
      </c>
      <c r="BW22" s="186" t="e">
        <f t="shared" si="48"/>
        <v>#N/A</v>
      </c>
    </row>
    <row r="23" spans="1:93" x14ac:dyDescent="0.25">
      <c r="A23" s="176"/>
      <c r="B23" s="177"/>
      <c r="C23" s="178"/>
      <c r="D23" s="179"/>
      <c r="E23" s="180"/>
      <c r="F23" s="180"/>
      <c r="G23" s="180"/>
      <c r="H23" s="181"/>
      <c r="I23" s="204" t="str">
        <f t="shared" si="0"/>
        <v/>
      </c>
      <c r="J23" s="205" t="str">
        <f t="shared" si="1"/>
        <v/>
      </c>
      <c r="K23" s="206" t="str">
        <f t="shared" si="2"/>
        <v/>
      </c>
      <c r="L23" s="207" t="str">
        <f t="shared" si="3"/>
        <v/>
      </c>
      <c r="M23" s="206" t="str">
        <f t="shared" si="28"/>
        <v/>
      </c>
      <c r="N23" s="208" t="str">
        <f t="shared" si="29"/>
        <v/>
      </c>
      <c r="O23" s="182" t="s">
        <v>986</v>
      </c>
      <c r="P23" s="182" t="s">
        <v>986</v>
      </c>
      <c r="Q23" s="183" t="s">
        <v>986</v>
      </c>
      <c r="R23" s="184" t="s">
        <v>986</v>
      </c>
      <c r="S23" s="185" t="s">
        <v>986</v>
      </c>
      <c r="T23" s="182" t="s">
        <v>986</v>
      </c>
      <c r="U23" s="182" t="s">
        <v>986</v>
      </c>
      <c r="V23" s="182" t="s">
        <v>986</v>
      </c>
      <c r="W23" s="182" t="s">
        <v>986</v>
      </c>
      <c r="X23" s="183" t="s">
        <v>1783</v>
      </c>
      <c r="Y23" s="184" t="s">
        <v>1765</v>
      </c>
      <c r="AA23" s="209" t="str">
        <f t="shared" si="4"/>
        <v/>
      </c>
      <c r="AB23" s="210" t="str">
        <f t="shared" si="5"/>
        <v/>
      </c>
      <c r="AD23" s="209" t="str">
        <f t="shared" si="6"/>
        <v/>
      </c>
      <c r="AE23" s="242" t="str">
        <f t="shared" si="7"/>
        <v/>
      </c>
      <c r="AF23" s="242" t="str">
        <f t="shared" si="8"/>
        <v/>
      </c>
      <c r="AG23" s="242" t="str">
        <f t="shared" si="9"/>
        <v/>
      </c>
      <c r="AH23" s="242" t="str">
        <f t="shared" si="49"/>
        <v xml:space="preserve">  pt</v>
      </c>
      <c r="AI23" s="210" t="str">
        <f t="shared" si="30"/>
        <v/>
      </c>
      <c r="AJ23" s="185"/>
      <c r="AK23" s="183"/>
      <c r="AL23" s="245"/>
      <c r="AM23" s="216"/>
      <c r="AN23" s="186">
        <f t="shared" si="10"/>
        <v>0</v>
      </c>
      <c r="AO23" s="186" t="e">
        <f t="shared" si="11"/>
        <v>#N/A</v>
      </c>
      <c r="AP23" s="186" t="e">
        <f t="shared" si="12"/>
        <v>#N/A</v>
      </c>
      <c r="AQ23" s="186">
        <f t="shared" si="13"/>
        <v>1</v>
      </c>
      <c r="AR23" s="186" t="e">
        <f t="shared" si="14"/>
        <v>#N/A</v>
      </c>
      <c r="AS23" s="186" t="e">
        <f t="shared" si="15"/>
        <v>#N/A</v>
      </c>
      <c r="AT23" s="186">
        <f t="shared" si="16"/>
        <v>1</v>
      </c>
      <c r="AU23" s="186" t="e">
        <f t="shared" si="17"/>
        <v>#N/A</v>
      </c>
      <c r="AV23" s="186" t="e">
        <f t="shared" si="31"/>
        <v>#N/A</v>
      </c>
      <c r="AW23" s="186">
        <f t="shared" si="32"/>
        <v>0</v>
      </c>
      <c r="AX23" s="186" t="e">
        <f t="shared" si="33"/>
        <v>#N/A</v>
      </c>
      <c r="AY23" s="186" t="e">
        <f t="shared" si="34"/>
        <v>#N/A</v>
      </c>
      <c r="AZ23" s="186" t="e">
        <f t="shared" si="35"/>
        <v>#N/A</v>
      </c>
      <c r="BA23" s="186">
        <f t="shared" si="18"/>
        <v>0</v>
      </c>
      <c r="BB23" s="186">
        <f t="shared" si="19"/>
        <v>0</v>
      </c>
      <c r="BC23" s="186">
        <f t="shared" si="20"/>
        <v>0</v>
      </c>
      <c r="BD23" s="186">
        <f t="shared" si="36"/>
        <v>0</v>
      </c>
      <c r="BE23" s="186">
        <f t="shared" si="21"/>
        <v>0</v>
      </c>
      <c r="BF23" s="186">
        <f t="shared" si="22"/>
        <v>0</v>
      </c>
      <c r="BG23" s="186">
        <f t="shared" si="23"/>
        <v>0</v>
      </c>
      <c r="BH23" s="186">
        <f t="shared" si="24"/>
        <v>0</v>
      </c>
      <c r="BI23" s="186">
        <f t="shared" si="25"/>
        <v>0</v>
      </c>
      <c r="BJ23" s="186">
        <f t="shared" si="37"/>
        <v>1</v>
      </c>
      <c r="BK23" s="186">
        <f t="shared" si="38"/>
        <v>0</v>
      </c>
      <c r="BL23" s="186">
        <f t="shared" si="26"/>
        <v>0</v>
      </c>
      <c r="BM23" s="186">
        <f t="shared" si="39"/>
        <v>0</v>
      </c>
      <c r="BN23" s="186" t="e">
        <f t="shared" si="40"/>
        <v>#N/A</v>
      </c>
      <c r="BO23" s="186">
        <f t="shared" si="41"/>
        <v>0</v>
      </c>
      <c r="BP23" s="186">
        <f t="shared" si="42"/>
        <v>1</v>
      </c>
      <c r="BQ23" s="186">
        <f t="shared" si="43"/>
        <v>0</v>
      </c>
      <c r="BR23" s="186">
        <f t="shared" si="27"/>
        <v>2</v>
      </c>
      <c r="BS23" s="186" t="e">
        <f t="shared" si="44"/>
        <v>#N/A</v>
      </c>
      <c r="BT23" s="186">
        <f t="shared" si="45"/>
        <v>1</v>
      </c>
      <c r="BU23" s="186" t="e">
        <f t="shared" si="46"/>
        <v>#N/A</v>
      </c>
      <c r="BV23" s="186" t="e">
        <f t="shared" si="47"/>
        <v>#N/A</v>
      </c>
      <c r="BW23" s="186" t="e">
        <f t="shared" si="48"/>
        <v>#N/A</v>
      </c>
    </row>
    <row r="24" spans="1:93" x14ac:dyDescent="0.25">
      <c r="A24" s="176"/>
      <c r="B24" s="177"/>
      <c r="C24" s="178"/>
      <c r="D24" s="179"/>
      <c r="E24" s="180"/>
      <c r="F24" s="180"/>
      <c r="G24" s="180"/>
      <c r="H24" s="181"/>
      <c r="I24" s="204" t="str">
        <f t="shared" si="0"/>
        <v/>
      </c>
      <c r="J24" s="205" t="str">
        <f t="shared" si="1"/>
        <v/>
      </c>
      <c r="K24" s="206" t="str">
        <f t="shared" si="2"/>
        <v/>
      </c>
      <c r="L24" s="207" t="str">
        <f t="shared" si="3"/>
        <v/>
      </c>
      <c r="M24" s="206" t="str">
        <f t="shared" si="28"/>
        <v/>
      </c>
      <c r="N24" s="208" t="str">
        <f t="shared" si="29"/>
        <v/>
      </c>
      <c r="O24" s="182" t="s">
        <v>986</v>
      </c>
      <c r="P24" s="182" t="s">
        <v>986</v>
      </c>
      <c r="Q24" s="183" t="s">
        <v>986</v>
      </c>
      <c r="R24" s="184" t="s">
        <v>986</v>
      </c>
      <c r="S24" s="185" t="s">
        <v>986</v>
      </c>
      <c r="T24" s="182" t="s">
        <v>986</v>
      </c>
      <c r="U24" s="182" t="s">
        <v>986</v>
      </c>
      <c r="V24" s="182" t="s">
        <v>986</v>
      </c>
      <c r="W24" s="182" t="s">
        <v>986</v>
      </c>
      <c r="X24" s="183" t="s">
        <v>1783</v>
      </c>
      <c r="Y24" s="184" t="s">
        <v>1765</v>
      </c>
      <c r="AA24" s="209" t="str">
        <f t="shared" si="4"/>
        <v/>
      </c>
      <c r="AB24" s="210" t="str">
        <f t="shared" si="5"/>
        <v/>
      </c>
      <c r="AD24" s="209" t="str">
        <f t="shared" si="6"/>
        <v/>
      </c>
      <c r="AE24" s="242" t="str">
        <f t="shared" si="7"/>
        <v/>
      </c>
      <c r="AF24" s="242" t="str">
        <f t="shared" si="8"/>
        <v/>
      </c>
      <c r="AG24" s="242" t="str">
        <f t="shared" si="9"/>
        <v/>
      </c>
      <c r="AH24" s="242" t="str">
        <f t="shared" si="49"/>
        <v xml:space="preserve">  pt</v>
      </c>
      <c r="AI24" s="210" t="str">
        <f t="shared" si="30"/>
        <v/>
      </c>
      <c r="AJ24" s="185"/>
      <c r="AK24" s="183"/>
      <c r="AL24" s="245"/>
      <c r="AM24" s="216"/>
      <c r="AN24" s="186">
        <f t="shared" si="10"/>
        <v>0</v>
      </c>
      <c r="AO24" s="186" t="e">
        <f t="shared" si="11"/>
        <v>#N/A</v>
      </c>
      <c r="AP24" s="186" t="e">
        <f t="shared" si="12"/>
        <v>#N/A</v>
      </c>
      <c r="AQ24" s="186">
        <f t="shared" si="13"/>
        <v>1</v>
      </c>
      <c r="AR24" s="186" t="e">
        <f t="shared" si="14"/>
        <v>#N/A</v>
      </c>
      <c r="AS24" s="186" t="e">
        <f t="shared" si="15"/>
        <v>#N/A</v>
      </c>
      <c r="AT24" s="186">
        <f t="shared" si="16"/>
        <v>1</v>
      </c>
      <c r="AU24" s="186" t="e">
        <f t="shared" si="17"/>
        <v>#N/A</v>
      </c>
      <c r="AV24" s="186" t="e">
        <f t="shared" si="31"/>
        <v>#N/A</v>
      </c>
      <c r="AW24" s="186">
        <f t="shared" si="32"/>
        <v>0</v>
      </c>
      <c r="AX24" s="186" t="e">
        <f t="shared" si="33"/>
        <v>#N/A</v>
      </c>
      <c r="AY24" s="186" t="e">
        <f t="shared" si="34"/>
        <v>#N/A</v>
      </c>
      <c r="AZ24" s="186" t="e">
        <f t="shared" si="35"/>
        <v>#N/A</v>
      </c>
      <c r="BA24" s="186">
        <f t="shared" si="18"/>
        <v>0</v>
      </c>
      <c r="BB24" s="186">
        <f t="shared" si="19"/>
        <v>0</v>
      </c>
      <c r="BC24" s="186">
        <f t="shared" si="20"/>
        <v>0</v>
      </c>
      <c r="BD24" s="186">
        <f t="shared" si="36"/>
        <v>0</v>
      </c>
      <c r="BE24" s="186">
        <f t="shared" si="21"/>
        <v>0</v>
      </c>
      <c r="BF24" s="186">
        <f t="shared" si="22"/>
        <v>0</v>
      </c>
      <c r="BG24" s="186">
        <f t="shared" si="23"/>
        <v>0</v>
      </c>
      <c r="BH24" s="186">
        <f t="shared" si="24"/>
        <v>0</v>
      </c>
      <c r="BI24" s="186">
        <f t="shared" si="25"/>
        <v>0</v>
      </c>
      <c r="BJ24" s="186">
        <f t="shared" si="37"/>
        <v>1</v>
      </c>
      <c r="BK24" s="186">
        <f t="shared" si="38"/>
        <v>0</v>
      </c>
      <c r="BL24" s="186">
        <f t="shared" si="26"/>
        <v>0</v>
      </c>
      <c r="BM24" s="186">
        <f t="shared" si="39"/>
        <v>0</v>
      </c>
      <c r="BN24" s="186" t="e">
        <f t="shared" si="40"/>
        <v>#N/A</v>
      </c>
      <c r="BO24" s="186">
        <f t="shared" si="41"/>
        <v>0</v>
      </c>
      <c r="BP24" s="186">
        <f t="shared" si="42"/>
        <v>1</v>
      </c>
      <c r="BQ24" s="186">
        <f t="shared" si="43"/>
        <v>0</v>
      </c>
      <c r="BR24" s="186">
        <f t="shared" si="27"/>
        <v>2</v>
      </c>
      <c r="BS24" s="186" t="e">
        <f t="shared" si="44"/>
        <v>#N/A</v>
      </c>
      <c r="BT24" s="186">
        <f t="shared" si="45"/>
        <v>1</v>
      </c>
      <c r="BU24" s="186" t="e">
        <f t="shared" si="46"/>
        <v>#N/A</v>
      </c>
      <c r="BV24" s="186" t="e">
        <f t="shared" si="47"/>
        <v>#N/A</v>
      </c>
      <c r="BW24" s="186" t="e">
        <f t="shared" si="48"/>
        <v>#N/A</v>
      </c>
    </row>
    <row r="25" spans="1:93" x14ac:dyDescent="0.25">
      <c r="A25" s="176"/>
      <c r="B25" s="177"/>
      <c r="C25" s="178"/>
      <c r="D25" s="179"/>
      <c r="E25" s="180"/>
      <c r="F25" s="180"/>
      <c r="G25" s="180"/>
      <c r="H25" s="181"/>
      <c r="I25" s="204" t="str">
        <f t="shared" si="0"/>
        <v/>
      </c>
      <c r="J25" s="205" t="str">
        <f t="shared" si="1"/>
        <v/>
      </c>
      <c r="K25" s="206" t="str">
        <f t="shared" si="2"/>
        <v/>
      </c>
      <c r="L25" s="207" t="str">
        <f t="shared" si="3"/>
        <v/>
      </c>
      <c r="M25" s="206" t="str">
        <f t="shared" si="28"/>
        <v/>
      </c>
      <c r="N25" s="208" t="str">
        <f t="shared" si="29"/>
        <v/>
      </c>
      <c r="O25" s="182" t="s">
        <v>986</v>
      </c>
      <c r="P25" s="182" t="s">
        <v>986</v>
      </c>
      <c r="Q25" s="183" t="s">
        <v>986</v>
      </c>
      <c r="R25" s="184" t="s">
        <v>986</v>
      </c>
      <c r="S25" s="185" t="s">
        <v>986</v>
      </c>
      <c r="T25" s="182" t="s">
        <v>986</v>
      </c>
      <c r="U25" s="182" t="s">
        <v>986</v>
      </c>
      <c r="V25" s="182" t="s">
        <v>986</v>
      </c>
      <c r="W25" s="182" t="s">
        <v>986</v>
      </c>
      <c r="X25" s="183" t="s">
        <v>1783</v>
      </c>
      <c r="Y25" s="184" t="s">
        <v>1765</v>
      </c>
      <c r="AA25" s="209" t="str">
        <f t="shared" si="4"/>
        <v/>
      </c>
      <c r="AB25" s="210" t="str">
        <f t="shared" si="5"/>
        <v/>
      </c>
      <c r="AD25" s="209" t="str">
        <f t="shared" si="6"/>
        <v/>
      </c>
      <c r="AE25" s="242" t="str">
        <f t="shared" si="7"/>
        <v/>
      </c>
      <c r="AF25" s="242" t="str">
        <f t="shared" si="8"/>
        <v/>
      </c>
      <c r="AG25" s="242" t="str">
        <f t="shared" si="9"/>
        <v/>
      </c>
      <c r="AH25" s="242" t="str">
        <f t="shared" si="49"/>
        <v xml:space="preserve">  pt</v>
      </c>
      <c r="AI25" s="210" t="str">
        <f t="shared" si="30"/>
        <v/>
      </c>
      <c r="AJ25" s="185"/>
      <c r="AK25" s="183"/>
      <c r="AL25" s="245"/>
      <c r="AM25" s="216"/>
      <c r="AN25" s="186">
        <f t="shared" si="10"/>
        <v>0</v>
      </c>
      <c r="AO25" s="186" t="e">
        <f t="shared" si="11"/>
        <v>#N/A</v>
      </c>
      <c r="AP25" s="186" t="e">
        <f t="shared" si="12"/>
        <v>#N/A</v>
      </c>
      <c r="AQ25" s="186">
        <f t="shared" si="13"/>
        <v>1</v>
      </c>
      <c r="AR25" s="186" t="e">
        <f t="shared" si="14"/>
        <v>#N/A</v>
      </c>
      <c r="AS25" s="186" t="e">
        <f t="shared" si="15"/>
        <v>#N/A</v>
      </c>
      <c r="AT25" s="186">
        <f t="shared" si="16"/>
        <v>1</v>
      </c>
      <c r="AU25" s="186" t="e">
        <f t="shared" si="17"/>
        <v>#N/A</v>
      </c>
      <c r="AV25" s="186" t="e">
        <f t="shared" si="31"/>
        <v>#N/A</v>
      </c>
      <c r="AW25" s="186">
        <f t="shared" si="32"/>
        <v>0</v>
      </c>
      <c r="AX25" s="186" t="e">
        <f t="shared" si="33"/>
        <v>#N/A</v>
      </c>
      <c r="AY25" s="186" t="e">
        <f t="shared" si="34"/>
        <v>#N/A</v>
      </c>
      <c r="AZ25" s="186" t="e">
        <f t="shared" si="35"/>
        <v>#N/A</v>
      </c>
      <c r="BA25" s="186">
        <f t="shared" si="18"/>
        <v>0</v>
      </c>
      <c r="BB25" s="186">
        <f t="shared" si="19"/>
        <v>0</v>
      </c>
      <c r="BC25" s="186">
        <f t="shared" si="20"/>
        <v>0</v>
      </c>
      <c r="BD25" s="186">
        <f t="shared" si="36"/>
        <v>0</v>
      </c>
      <c r="BE25" s="186">
        <f t="shared" si="21"/>
        <v>0</v>
      </c>
      <c r="BF25" s="186">
        <f t="shared" si="22"/>
        <v>0</v>
      </c>
      <c r="BG25" s="186">
        <f t="shared" si="23"/>
        <v>0</v>
      </c>
      <c r="BH25" s="186">
        <f t="shared" si="24"/>
        <v>0</v>
      </c>
      <c r="BI25" s="186">
        <f t="shared" si="25"/>
        <v>0</v>
      </c>
      <c r="BJ25" s="186">
        <f t="shared" si="37"/>
        <v>1</v>
      </c>
      <c r="BK25" s="186">
        <f t="shared" si="38"/>
        <v>0</v>
      </c>
      <c r="BL25" s="186">
        <f t="shared" si="26"/>
        <v>0</v>
      </c>
      <c r="BM25" s="186">
        <f t="shared" si="39"/>
        <v>0</v>
      </c>
      <c r="BN25" s="186" t="e">
        <f t="shared" si="40"/>
        <v>#N/A</v>
      </c>
      <c r="BO25" s="186">
        <f t="shared" si="41"/>
        <v>0</v>
      </c>
      <c r="BP25" s="186">
        <f t="shared" si="42"/>
        <v>1</v>
      </c>
      <c r="BQ25" s="186">
        <f t="shared" si="43"/>
        <v>0</v>
      </c>
      <c r="BR25" s="186">
        <f t="shared" si="27"/>
        <v>2</v>
      </c>
      <c r="BS25" s="186" t="e">
        <f t="shared" si="44"/>
        <v>#N/A</v>
      </c>
      <c r="BT25" s="186">
        <f t="shared" si="45"/>
        <v>1</v>
      </c>
      <c r="BU25" s="186" t="e">
        <f t="shared" si="46"/>
        <v>#N/A</v>
      </c>
      <c r="BV25" s="186" t="e">
        <f t="shared" si="47"/>
        <v>#N/A</v>
      </c>
      <c r="BW25" s="186" t="e">
        <f t="shared" si="48"/>
        <v>#N/A</v>
      </c>
    </row>
    <row r="26" spans="1:93" x14ac:dyDescent="0.25">
      <c r="A26" s="176"/>
      <c r="B26" s="177"/>
      <c r="C26" s="178"/>
      <c r="D26" s="179"/>
      <c r="E26" s="180"/>
      <c r="F26" s="180"/>
      <c r="G26" s="180"/>
      <c r="H26" s="181"/>
      <c r="I26" s="204" t="str">
        <f t="shared" si="0"/>
        <v/>
      </c>
      <c r="J26" s="205" t="str">
        <f t="shared" si="1"/>
        <v/>
      </c>
      <c r="K26" s="206" t="str">
        <f t="shared" si="2"/>
        <v/>
      </c>
      <c r="L26" s="207" t="str">
        <f t="shared" si="3"/>
        <v/>
      </c>
      <c r="M26" s="206" t="str">
        <f t="shared" si="28"/>
        <v/>
      </c>
      <c r="N26" s="208" t="str">
        <f t="shared" si="29"/>
        <v/>
      </c>
      <c r="O26" s="182" t="s">
        <v>986</v>
      </c>
      <c r="P26" s="182" t="s">
        <v>986</v>
      </c>
      <c r="Q26" s="183" t="s">
        <v>986</v>
      </c>
      <c r="R26" s="184" t="s">
        <v>986</v>
      </c>
      <c r="S26" s="185" t="s">
        <v>986</v>
      </c>
      <c r="T26" s="182" t="s">
        <v>986</v>
      </c>
      <c r="U26" s="182" t="s">
        <v>986</v>
      </c>
      <c r="V26" s="182" t="s">
        <v>986</v>
      </c>
      <c r="W26" s="182" t="s">
        <v>986</v>
      </c>
      <c r="X26" s="183" t="s">
        <v>1783</v>
      </c>
      <c r="Y26" s="184" t="s">
        <v>1765</v>
      </c>
      <c r="AA26" s="209" t="str">
        <f t="shared" si="4"/>
        <v/>
      </c>
      <c r="AB26" s="210" t="str">
        <f t="shared" si="5"/>
        <v/>
      </c>
      <c r="AD26" s="209" t="str">
        <f t="shared" si="6"/>
        <v/>
      </c>
      <c r="AE26" s="242" t="str">
        <f t="shared" si="7"/>
        <v/>
      </c>
      <c r="AF26" s="242" t="str">
        <f t="shared" si="8"/>
        <v/>
      </c>
      <c r="AG26" s="242" t="str">
        <f t="shared" si="9"/>
        <v/>
      </c>
      <c r="AH26" s="242" t="str">
        <f t="shared" si="49"/>
        <v xml:space="preserve">  pt</v>
      </c>
      <c r="AI26" s="210" t="str">
        <f t="shared" si="30"/>
        <v/>
      </c>
      <c r="AJ26" s="185"/>
      <c r="AK26" s="183"/>
      <c r="AL26" s="245"/>
      <c r="AM26" s="216"/>
      <c r="AN26" s="186">
        <f t="shared" si="10"/>
        <v>0</v>
      </c>
      <c r="AO26" s="186" t="e">
        <f t="shared" si="11"/>
        <v>#N/A</v>
      </c>
      <c r="AP26" s="186" t="e">
        <f t="shared" si="12"/>
        <v>#N/A</v>
      </c>
      <c r="AQ26" s="186">
        <f t="shared" si="13"/>
        <v>1</v>
      </c>
      <c r="AR26" s="186" t="e">
        <f t="shared" si="14"/>
        <v>#N/A</v>
      </c>
      <c r="AS26" s="186" t="e">
        <f t="shared" si="15"/>
        <v>#N/A</v>
      </c>
      <c r="AT26" s="186">
        <f t="shared" si="16"/>
        <v>1</v>
      </c>
      <c r="AU26" s="186" t="e">
        <f t="shared" si="17"/>
        <v>#N/A</v>
      </c>
      <c r="AV26" s="186" t="e">
        <f t="shared" si="31"/>
        <v>#N/A</v>
      </c>
      <c r="AW26" s="186">
        <f t="shared" si="32"/>
        <v>0</v>
      </c>
      <c r="AX26" s="186" t="e">
        <f t="shared" si="33"/>
        <v>#N/A</v>
      </c>
      <c r="AY26" s="186" t="e">
        <f t="shared" si="34"/>
        <v>#N/A</v>
      </c>
      <c r="AZ26" s="186" t="e">
        <f t="shared" si="35"/>
        <v>#N/A</v>
      </c>
      <c r="BA26" s="186">
        <f t="shared" si="18"/>
        <v>0</v>
      </c>
      <c r="BB26" s="186">
        <f t="shared" si="19"/>
        <v>0</v>
      </c>
      <c r="BC26" s="186">
        <f t="shared" si="20"/>
        <v>0</v>
      </c>
      <c r="BD26" s="186">
        <f t="shared" si="36"/>
        <v>0</v>
      </c>
      <c r="BE26" s="186">
        <f t="shared" si="21"/>
        <v>0</v>
      </c>
      <c r="BF26" s="186">
        <f t="shared" si="22"/>
        <v>0</v>
      </c>
      <c r="BG26" s="186">
        <f t="shared" si="23"/>
        <v>0</v>
      </c>
      <c r="BH26" s="186">
        <f t="shared" si="24"/>
        <v>0</v>
      </c>
      <c r="BI26" s="186">
        <f t="shared" si="25"/>
        <v>0</v>
      </c>
      <c r="BJ26" s="186">
        <f t="shared" si="37"/>
        <v>1</v>
      </c>
      <c r="BK26" s="186">
        <f t="shared" si="38"/>
        <v>0</v>
      </c>
      <c r="BL26" s="186">
        <f t="shared" si="26"/>
        <v>0</v>
      </c>
      <c r="BM26" s="186">
        <f t="shared" si="39"/>
        <v>0</v>
      </c>
      <c r="BN26" s="186" t="e">
        <f t="shared" si="40"/>
        <v>#N/A</v>
      </c>
      <c r="BO26" s="186">
        <f t="shared" si="41"/>
        <v>0</v>
      </c>
      <c r="BP26" s="186">
        <f t="shared" si="42"/>
        <v>1</v>
      </c>
      <c r="BQ26" s="186">
        <f t="shared" si="43"/>
        <v>0</v>
      </c>
      <c r="BR26" s="186">
        <f t="shared" si="27"/>
        <v>2</v>
      </c>
      <c r="BS26" s="186" t="e">
        <f t="shared" si="44"/>
        <v>#N/A</v>
      </c>
      <c r="BT26" s="186">
        <f t="shared" si="45"/>
        <v>1</v>
      </c>
      <c r="BU26" s="186" t="e">
        <f t="shared" si="46"/>
        <v>#N/A</v>
      </c>
      <c r="BV26" s="186" t="e">
        <f t="shared" si="47"/>
        <v>#N/A</v>
      </c>
      <c r="BW26" s="186" t="e">
        <f t="shared" si="48"/>
        <v>#N/A</v>
      </c>
    </row>
    <row r="27" spans="1:93" x14ac:dyDescent="0.25">
      <c r="A27" s="176"/>
      <c r="B27" s="177"/>
      <c r="C27" s="178"/>
      <c r="D27" s="179"/>
      <c r="E27" s="180"/>
      <c r="F27" s="180"/>
      <c r="G27" s="180"/>
      <c r="H27" s="181"/>
      <c r="I27" s="204" t="str">
        <f t="shared" si="0"/>
        <v/>
      </c>
      <c r="J27" s="205" t="str">
        <f t="shared" si="1"/>
        <v/>
      </c>
      <c r="K27" s="206" t="str">
        <f t="shared" si="2"/>
        <v/>
      </c>
      <c r="L27" s="207" t="str">
        <f t="shared" si="3"/>
        <v/>
      </c>
      <c r="M27" s="206" t="str">
        <f t="shared" si="28"/>
        <v/>
      </c>
      <c r="N27" s="208" t="str">
        <f t="shared" si="29"/>
        <v/>
      </c>
      <c r="O27" s="182" t="s">
        <v>986</v>
      </c>
      <c r="P27" s="182" t="s">
        <v>986</v>
      </c>
      <c r="Q27" s="183" t="s">
        <v>986</v>
      </c>
      <c r="R27" s="184" t="s">
        <v>986</v>
      </c>
      <c r="S27" s="185" t="s">
        <v>986</v>
      </c>
      <c r="T27" s="182" t="s">
        <v>986</v>
      </c>
      <c r="U27" s="182" t="s">
        <v>986</v>
      </c>
      <c r="V27" s="182" t="s">
        <v>986</v>
      </c>
      <c r="W27" s="182" t="s">
        <v>986</v>
      </c>
      <c r="X27" s="183" t="s">
        <v>1783</v>
      </c>
      <c r="Y27" s="184" t="s">
        <v>1765</v>
      </c>
      <c r="AA27" s="209" t="str">
        <f t="shared" si="4"/>
        <v/>
      </c>
      <c r="AB27" s="210" t="str">
        <f t="shared" si="5"/>
        <v/>
      </c>
      <c r="AD27" s="209" t="str">
        <f t="shared" si="6"/>
        <v/>
      </c>
      <c r="AE27" s="242" t="str">
        <f t="shared" si="7"/>
        <v/>
      </c>
      <c r="AF27" s="242" t="str">
        <f t="shared" si="8"/>
        <v/>
      </c>
      <c r="AG27" s="242" t="str">
        <f t="shared" si="9"/>
        <v/>
      </c>
      <c r="AH27" s="242" t="str">
        <f t="shared" si="49"/>
        <v xml:space="preserve">  pt</v>
      </c>
      <c r="AI27" s="210" t="str">
        <f t="shared" si="30"/>
        <v/>
      </c>
      <c r="AJ27" s="185"/>
      <c r="AK27" s="183"/>
      <c r="AL27" s="245"/>
      <c r="AM27" s="216"/>
      <c r="AN27" s="186">
        <f t="shared" si="10"/>
        <v>0</v>
      </c>
      <c r="AO27" s="186" t="e">
        <f t="shared" si="11"/>
        <v>#N/A</v>
      </c>
      <c r="AP27" s="186" t="e">
        <f t="shared" si="12"/>
        <v>#N/A</v>
      </c>
      <c r="AQ27" s="186">
        <f t="shared" si="13"/>
        <v>1</v>
      </c>
      <c r="AR27" s="186" t="e">
        <f t="shared" si="14"/>
        <v>#N/A</v>
      </c>
      <c r="AS27" s="186" t="e">
        <f t="shared" si="15"/>
        <v>#N/A</v>
      </c>
      <c r="AT27" s="186">
        <f t="shared" si="16"/>
        <v>1</v>
      </c>
      <c r="AU27" s="186" t="e">
        <f t="shared" si="17"/>
        <v>#N/A</v>
      </c>
      <c r="AV27" s="186" t="e">
        <f t="shared" si="31"/>
        <v>#N/A</v>
      </c>
      <c r="AW27" s="186">
        <f t="shared" si="32"/>
        <v>0</v>
      </c>
      <c r="AX27" s="186" t="e">
        <f t="shared" si="33"/>
        <v>#N/A</v>
      </c>
      <c r="AY27" s="186" t="e">
        <f t="shared" si="34"/>
        <v>#N/A</v>
      </c>
      <c r="AZ27" s="186" t="e">
        <f t="shared" si="35"/>
        <v>#N/A</v>
      </c>
      <c r="BA27" s="186">
        <f t="shared" si="18"/>
        <v>0</v>
      </c>
      <c r="BB27" s="186">
        <f t="shared" si="19"/>
        <v>0</v>
      </c>
      <c r="BC27" s="186">
        <f t="shared" si="20"/>
        <v>0</v>
      </c>
      <c r="BD27" s="186">
        <f t="shared" si="36"/>
        <v>0</v>
      </c>
      <c r="BE27" s="186">
        <f t="shared" si="21"/>
        <v>0</v>
      </c>
      <c r="BF27" s="186">
        <f t="shared" si="22"/>
        <v>0</v>
      </c>
      <c r="BG27" s="186">
        <f t="shared" si="23"/>
        <v>0</v>
      </c>
      <c r="BH27" s="186">
        <f t="shared" si="24"/>
        <v>0</v>
      </c>
      <c r="BI27" s="186">
        <f t="shared" si="25"/>
        <v>0</v>
      </c>
      <c r="BJ27" s="186">
        <f t="shared" si="37"/>
        <v>1</v>
      </c>
      <c r="BK27" s="186">
        <f t="shared" si="38"/>
        <v>0</v>
      </c>
      <c r="BL27" s="186">
        <f t="shared" si="26"/>
        <v>0</v>
      </c>
      <c r="BM27" s="186">
        <f t="shared" si="39"/>
        <v>0</v>
      </c>
      <c r="BN27" s="186" t="e">
        <f t="shared" si="40"/>
        <v>#N/A</v>
      </c>
      <c r="BO27" s="186">
        <f t="shared" si="41"/>
        <v>0</v>
      </c>
      <c r="BP27" s="186">
        <f t="shared" si="42"/>
        <v>1</v>
      </c>
      <c r="BQ27" s="186">
        <f t="shared" si="43"/>
        <v>0</v>
      </c>
      <c r="BR27" s="186">
        <f t="shared" si="27"/>
        <v>2</v>
      </c>
      <c r="BS27" s="186" t="e">
        <f t="shared" si="44"/>
        <v>#N/A</v>
      </c>
      <c r="BT27" s="186">
        <f t="shared" si="45"/>
        <v>1</v>
      </c>
      <c r="BU27" s="186" t="e">
        <f t="shared" si="46"/>
        <v>#N/A</v>
      </c>
      <c r="BV27" s="186" t="e">
        <f t="shared" si="47"/>
        <v>#N/A</v>
      </c>
      <c r="BW27" s="186" t="e">
        <f t="shared" si="48"/>
        <v>#N/A</v>
      </c>
    </row>
    <row r="28" spans="1:93" x14ac:dyDescent="0.25">
      <c r="A28" s="176"/>
      <c r="B28" s="177"/>
      <c r="C28" s="178"/>
      <c r="D28" s="179"/>
      <c r="E28" s="180"/>
      <c r="F28" s="180"/>
      <c r="G28" s="180"/>
      <c r="H28" s="181"/>
      <c r="I28" s="204" t="str">
        <f t="shared" si="0"/>
        <v/>
      </c>
      <c r="J28" s="205" t="str">
        <f t="shared" si="1"/>
        <v/>
      </c>
      <c r="K28" s="206" t="str">
        <f t="shared" si="2"/>
        <v/>
      </c>
      <c r="L28" s="207" t="str">
        <f t="shared" si="3"/>
        <v/>
      </c>
      <c r="M28" s="206" t="str">
        <f t="shared" si="28"/>
        <v/>
      </c>
      <c r="N28" s="208" t="str">
        <f t="shared" si="29"/>
        <v/>
      </c>
      <c r="O28" s="182" t="s">
        <v>986</v>
      </c>
      <c r="P28" s="182" t="s">
        <v>986</v>
      </c>
      <c r="Q28" s="183" t="s">
        <v>986</v>
      </c>
      <c r="R28" s="184" t="s">
        <v>986</v>
      </c>
      <c r="S28" s="185" t="s">
        <v>986</v>
      </c>
      <c r="T28" s="182" t="s">
        <v>986</v>
      </c>
      <c r="U28" s="182" t="s">
        <v>986</v>
      </c>
      <c r="V28" s="182" t="s">
        <v>986</v>
      </c>
      <c r="W28" s="182" t="s">
        <v>986</v>
      </c>
      <c r="X28" s="183" t="s">
        <v>1783</v>
      </c>
      <c r="Y28" s="184" t="s">
        <v>1765</v>
      </c>
      <c r="AA28" s="209" t="str">
        <f t="shared" si="4"/>
        <v/>
      </c>
      <c r="AB28" s="210" t="str">
        <f t="shared" si="5"/>
        <v/>
      </c>
      <c r="AD28" s="209" t="str">
        <f t="shared" si="6"/>
        <v/>
      </c>
      <c r="AE28" s="242" t="str">
        <f t="shared" si="7"/>
        <v/>
      </c>
      <c r="AF28" s="242" t="str">
        <f t="shared" si="8"/>
        <v/>
      </c>
      <c r="AG28" s="242" t="str">
        <f t="shared" si="9"/>
        <v/>
      </c>
      <c r="AH28" s="242" t="str">
        <f t="shared" si="49"/>
        <v xml:space="preserve">  pt</v>
      </c>
      <c r="AI28" s="210" t="str">
        <f t="shared" si="30"/>
        <v/>
      </c>
      <c r="AJ28" s="185"/>
      <c r="AK28" s="183"/>
      <c r="AL28" s="245"/>
      <c r="AM28" s="216"/>
      <c r="AN28" s="186">
        <f t="shared" si="10"/>
        <v>0</v>
      </c>
      <c r="AO28" s="186" t="e">
        <f t="shared" si="11"/>
        <v>#N/A</v>
      </c>
      <c r="AP28" s="186" t="e">
        <f t="shared" si="12"/>
        <v>#N/A</v>
      </c>
      <c r="AQ28" s="186">
        <f t="shared" si="13"/>
        <v>1</v>
      </c>
      <c r="AR28" s="186" t="e">
        <f t="shared" si="14"/>
        <v>#N/A</v>
      </c>
      <c r="AS28" s="186" t="e">
        <f t="shared" si="15"/>
        <v>#N/A</v>
      </c>
      <c r="AT28" s="186">
        <f t="shared" si="16"/>
        <v>1</v>
      </c>
      <c r="AU28" s="186" t="e">
        <f t="shared" si="17"/>
        <v>#N/A</v>
      </c>
      <c r="AV28" s="186" t="e">
        <f t="shared" si="31"/>
        <v>#N/A</v>
      </c>
      <c r="AW28" s="186">
        <f t="shared" si="32"/>
        <v>0</v>
      </c>
      <c r="AX28" s="186" t="e">
        <f t="shared" si="33"/>
        <v>#N/A</v>
      </c>
      <c r="AY28" s="186" t="e">
        <f t="shared" si="34"/>
        <v>#N/A</v>
      </c>
      <c r="AZ28" s="186" t="e">
        <f t="shared" si="35"/>
        <v>#N/A</v>
      </c>
      <c r="BA28" s="186">
        <f t="shared" si="18"/>
        <v>0</v>
      </c>
      <c r="BB28" s="186">
        <f t="shared" si="19"/>
        <v>0</v>
      </c>
      <c r="BC28" s="186">
        <f t="shared" si="20"/>
        <v>0</v>
      </c>
      <c r="BD28" s="186">
        <f t="shared" si="36"/>
        <v>0</v>
      </c>
      <c r="BE28" s="186">
        <f t="shared" si="21"/>
        <v>0</v>
      </c>
      <c r="BF28" s="186">
        <f t="shared" si="22"/>
        <v>0</v>
      </c>
      <c r="BG28" s="186">
        <f t="shared" si="23"/>
        <v>0</v>
      </c>
      <c r="BH28" s="186">
        <f t="shared" si="24"/>
        <v>0</v>
      </c>
      <c r="BI28" s="186">
        <f t="shared" si="25"/>
        <v>0</v>
      </c>
      <c r="BJ28" s="186">
        <f t="shared" si="37"/>
        <v>1</v>
      </c>
      <c r="BK28" s="186">
        <f t="shared" si="38"/>
        <v>0</v>
      </c>
      <c r="BL28" s="186">
        <f t="shared" si="26"/>
        <v>0</v>
      </c>
      <c r="BM28" s="186">
        <f t="shared" si="39"/>
        <v>0</v>
      </c>
      <c r="BN28" s="186" t="e">
        <f t="shared" si="40"/>
        <v>#N/A</v>
      </c>
      <c r="BO28" s="186">
        <f t="shared" si="41"/>
        <v>0</v>
      </c>
      <c r="BP28" s="186">
        <f t="shared" si="42"/>
        <v>1</v>
      </c>
      <c r="BQ28" s="186">
        <f t="shared" si="43"/>
        <v>0</v>
      </c>
      <c r="BR28" s="186">
        <f t="shared" si="27"/>
        <v>2</v>
      </c>
      <c r="BS28" s="186" t="e">
        <f t="shared" si="44"/>
        <v>#N/A</v>
      </c>
      <c r="BT28" s="186">
        <f t="shared" si="45"/>
        <v>1</v>
      </c>
      <c r="BU28" s="186" t="e">
        <f t="shared" si="46"/>
        <v>#N/A</v>
      </c>
      <c r="BV28" s="186" t="e">
        <f t="shared" si="47"/>
        <v>#N/A</v>
      </c>
      <c r="BW28" s="186" t="e">
        <f t="shared" si="48"/>
        <v>#N/A</v>
      </c>
    </row>
    <row r="29" spans="1:93" x14ac:dyDescent="0.25">
      <c r="A29" s="176"/>
      <c r="B29" s="177"/>
      <c r="C29" s="178"/>
      <c r="D29" s="179"/>
      <c r="E29" s="180"/>
      <c r="F29" s="180"/>
      <c r="G29" s="180"/>
      <c r="H29" s="181"/>
      <c r="I29" s="204" t="str">
        <f t="shared" si="0"/>
        <v/>
      </c>
      <c r="J29" s="205" t="str">
        <f t="shared" si="1"/>
        <v/>
      </c>
      <c r="K29" s="206" t="str">
        <f t="shared" si="2"/>
        <v/>
      </c>
      <c r="L29" s="207" t="str">
        <f t="shared" si="3"/>
        <v/>
      </c>
      <c r="M29" s="206" t="str">
        <f t="shared" si="28"/>
        <v/>
      </c>
      <c r="N29" s="208" t="str">
        <f t="shared" si="29"/>
        <v/>
      </c>
      <c r="O29" s="182" t="s">
        <v>986</v>
      </c>
      <c r="P29" s="182" t="s">
        <v>986</v>
      </c>
      <c r="Q29" s="183" t="s">
        <v>986</v>
      </c>
      <c r="R29" s="184" t="s">
        <v>986</v>
      </c>
      <c r="S29" s="185" t="s">
        <v>986</v>
      </c>
      <c r="T29" s="182" t="s">
        <v>986</v>
      </c>
      <c r="U29" s="182" t="s">
        <v>986</v>
      </c>
      <c r="V29" s="182" t="s">
        <v>986</v>
      </c>
      <c r="W29" s="182" t="s">
        <v>986</v>
      </c>
      <c r="X29" s="183" t="s">
        <v>1783</v>
      </c>
      <c r="Y29" s="184" t="s">
        <v>1765</v>
      </c>
      <c r="AA29" s="209" t="str">
        <f t="shared" si="4"/>
        <v/>
      </c>
      <c r="AB29" s="210" t="str">
        <f t="shared" si="5"/>
        <v/>
      </c>
      <c r="AD29" s="209" t="str">
        <f t="shared" si="6"/>
        <v/>
      </c>
      <c r="AE29" s="242" t="str">
        <f t="shared" si="7"/>
        <v/>
      </c>
      <c r="AF29" s="242" t="str">
        <f t="shared" si="8"/>
        <v/>
      </c>
      <c r="AG29" s="242" t="str">
        <f t="shared" si="9"/>
        <v/>
      </c>
      <c r="AH29" s="242" t="str">
        <f t="shared" si="49"/>
        <v xml:space="preserve">  pt</v>
      </c>
      <c r="AI29" s="210" t="str">
        <f t="shared" si="30"/>
        <v/>
      </c>
      <c r="AJ29" s="185"/>
      <c r="AK29" s="183"/>
      <c r="AL29" s="245"/>
      <c r="AM29" s="216"/>
      <c r="AN29" s="186">
        <f t="shared" si="10"/>
        <v>0</v>
      </c>
      <c r="AO29" s="186" t="e">
        <f t="shared" si="11"/>
        <v>#N/A</v>
      </c>
      <c r="AP29" s="186" t="e">
        <f t="shared" si="12"/>
        <v>#N/A</v>
      </c>
      <c r="AQ29" s="186">
        <f t="shared" si="13"/>
        <v>1</v>
      </c>
      <c r="AR29" s="186" t="e">
        <f t="shared" si="14"/>
        <v>#N/A</v>
      </c>
      <c r="AS29" s="186" t="e">
        <f t="shared" si="15"/>
        <v>#N/A</v>
      </c>
      <c r="AT29" s="186">
        <f t="shared" si="16"/>
        <v>1</v>
      </c>
      <c r="AU29" s="186" t="e">
        <f t="shared" si="17"/>
        <v>#N/A</v>
      </c>
      <c r="AV29" s="186" t="e">
        <f t="shared" si="31"/>
        <v>#N/A</v>
      </c>
      <c r="AW29" s="186">
        <f t="shared" si="32"/>
        <v>0</v>
      </c>
      <c r="AX29" s="186" t="e">
        <f t="shared" si="33"/>
        <v>#N/A</v>
      </c>
      <c r="AY29" s="186" t="e">
        <f t="shared" si="34"/>
        <v>#N/A</v>
      </c>
      <c r="AZ29" s="186" t="e">
        <f t="shared" si="35"/>
        <v>#N/A</v>
      </c>
      <c r="BA29" s="186">
        <f t="shared" si="18"/>
        <v>0</v>
      </c>
      <c r="BB29" s="186">
        <f t="shared" si="19"/>
        <v>0</v>
      </c>
      <c r="BC29" s="186">
        <f t="shared" si="20"/>
        <v>0</v>
      </c>
      <c r="BD29" s="186">
        <f t="shared" si="36"/>
        <v>0</v>
      </c>
      <c r="BE29" s="186">
        <f t="shared" si="21"/>
        <v>0</v>
      </c>
      <c r="BF29" s="186">
        <f t="shared" si="22"/>
        <v>0</v>
      </c>
      <c r="BG29" s="186">
        <f t="shared" si="23"/>
        <v>0</v>
      </c>
      <c r="BH29" s="186">
        <f t="shared" si="24"/>
        <v>0</v>
      </c>
      <c r="BI29" s="186">
        <f t="shared" si="25"/>
        <v>0</v>
      </c>
      <c r="BJ29" s="186">
        <f t="shared" si="37"/>
        <v>1</v>
      </c>
      <c r="BK29" s="186">
        <f t="shared" si="38"/>
        <v>0</v>
      </c>
      <c r="BL29" s="186">
        <f t="shared" si="26"/>
        <v>0</v>
      </c>
      <c r="BM29" s="186">
        <f t="shared" si="39"/>
        <v>0</v>
      </c>
      <c r="BN29" s="186" t="e">
        <f t="shared" si="40"/>
        <v>#N/A</v>
      </c>
      <c r="BO29" s="186">
        <f t="shared" si="41"/>
        <v>0</v>
      </c>
      <c r="BP29" s="186">
        <f t="shared" si="42"/>
        <v>1</v>
      </c>
      <c r="BQ29" s="186">
        <f t="shared" si="43"/>
        <v>0</v>
      </c>
      <c r="BR29" s="186">
        <f t="shared" si="27"/>
        <v>2</v>
      </c>
      <c r="BS29" s="186" t="e">
        <f t="shared" si="44"/>
        <v>#N/A</v>
      </c>
      <c r="BT29" s="186">
        <f t="shared" si="45"/>
        <v>1</v>
      </c>
      <c r="BU29" s="186" t="e">
        <f t="shared" si="46"/>
        <v>#N/A</v>
      </c>
      <c r="BV29" s="186" t="e">
        <f t="shared" si="47"/>
        <v>#N/A</v>
      </c>
      <c r="BW29" s="186" t="e">
        <f t="shared" si="48"/>
        <v>#N/A</v>
      </c>
    </row>
    <row r="30" spans="1:93" x14ac:dyDescent="0.25">
      <c r="A30" s="176"/>
      <c r="B30" s="177"/>
      <c r="C30" s="178"/>
      <c r="D30" s="179"/>
      <c r="E30" s="180"/>
      <c r="F30" s="180"/>
      <c r="G30" s="180"/>
      <c r="H30" s="181"/>
      <c r="I30" s="204" t="str">
        <f t="shared" si="0"/>
        <v/>
      </c>
      <c r="J30" s="205" t="str">
        <f t="shared" si="1"/>
        <v/>
      </c>
      <c r="K30" s="206" t="str">
        <f t="shared" si="2"/>
        <v/>
      </c>
      <c r="L30" s="207" t="str">
        <f t="shared" si="3"/>
        <v/>
      </c>
      <c r="M30" s="206" t="str">
        <f t="shared" si="28"/>
        <v/>
      </c>
      <c r="N30" s="208" t="str">
        <f t="shared" si="29"/>
        <v/>
      </c>
      <c r="O30" s="182" t="s">
        <v>986</v>
      </c>
      <c r="P30" s="182" t="s">
        <v>986</v>
      </c>
      <c r="Q30" s="183" t="s">
        <v>986</v>
      </c>
      <c r="R30" s="184" t="s">
        <v>986</v>
      </c>
      <c r="S30" s="185" t="s">
        <v>986</v>
      </c>
      <c r="T30" s="182" t="s">
        <v>986</v>
      </c>
      <c r="U30" s="182" t="s">
        <v>986</v>
      </c>
      <c r="V30" s="182" t="s">
        <v>986</v>
      </c>
      <c r="W30" s="182" t="s">
        <v>986</v>
      </c>
      <c r="X30" s="183" t="s">
        <v>1783</v>
      </c>
      <c r="Y30" s="184" t="s">
        <v>1765</v>
      </c>
      <c r="AA30" s="209" t="str">
        <f t="shared" si="4"/>
        <v/>
      </c>
      <c r="AB30" s="210" t="str">
        <f t="shared" si="5"/>
        <v/>
      </c>
      <c r="AD30" s="209" t="str">
        <f t="shared" si="6"/>
        <v/>
      </c>
      <c r="AE30" s="242" t="str">
        <f t="shared" si="7"/>
        <v/>
      </c>
      <c r="AF30" s="242" t="str">
        <f t="shared" si="8"/>
        <v/>
      </c>
      <c r="AG30" s="242" t="str">
        <f t="shared" si="9"/>
        <v/>
      </c>
      <c r="AH30" s="242" t="str">
        <f t="shared" si="49"/>
        <v xml:space="preserve">  pt</v>
      </c>
      <c r="AI30" s="210" t="str">
        <f t="shared" si="30"/>
        <v/>
      </c>
      <c r="AJ30" s="185"/>
      <c r="AK30" s="183"/>
      <c r="AL30" s="245"/>
      <c r="AM30" s="216"/>
      <c r="AN30" s="186">
        <f t="shared" si="10"/>
        <v>0</v>
      </c>
      <c r="AO30" s="186" t="e">
        <f t="shared" si="11"/>
        <v>#N/A</v>
      </c>
      <c r="AP30" s="186" t="e">
        <f t="shared" si="12"/>
        <v>#N/A</v>
      </c>
      <c r="AQ30" s="186">
        <f t="shared" si="13"/>
        <v>1</v>
      </c>
      <c r="AR30" s="186" t="e">
        <f t="shared" si="14"/>
        <v>#N/A</v>
      </c>
      <c r="AS30" s="186" t="e">
        <f t="shared" si="15"/>
        <v>#N/A</v>
      </c>
      <c r="AT30" s="186">
        <f t="shared" si="16"/>
        <v>1</v>
      </c>
      <c r="AU30" s="186" t="e">
        <f t="shared" si="17"/>
        <v>#N/A</v>
      </c>
      <c r="AV30" s="186" t="e">
        <f t="shared" si="31"/>
        <v>#N/A</v>
      </c>
      <c r="AW30" s="186">
        <f t="shared" si="32"/>
        <v>0</v>
      </c>
      <c r="AX30" s="186" t="e">
        <f t="shared" si="33"/>
        <v>#N/A</v>
      </c>
      <c r="AY30" s="186" t="e">
        <f t="shared" si="34"/>
        <v>#N/A</v>
      </c>
      <c r="AZ30" s="186" t="e">
        <f t="shared" si="35"/>
        <v>#N/A</v>
      </c>
      <c r="BA30" s="186">
        <f t="shared" si="18"/>
        <v>0</v>
      </c>
      <c r="BB30" s="186">
        <f t="shared" si="19"/>
        <v>0</v>
      </c>
      <c r="BC30" s="186">
        <f t="shared" si="20"/>
        <v>0</v>
      </c>
      <c r="BD30" s="186">
        <f t="shared" si="36"/>
        <v>0</v>
      </c>
      <c r="BE30" s="186">
        <f t="shared" si="21"/>
        <v>0</v>
      </c>
      <c r="BF30" s="186">
        <f t="shared" si="22"/>
        <v>0</v>
      </c>
      <c r="BG30" s="186">
        <f t="shared" si="23"/>
        <v>0</v>
      </c>
      <c r="BH30" s="186">
        <f t="shared" si="24"/>
        <v>0</v>
      </c>
      <c r="BI30" s="186">
        <f t="shared" si="25"/>
        <v>0</v>
      </c>
      <c r="BJ30" s="186">
        <f t="shared" si="37"/>
        <v>1</v>
      </c>
      <c r="BK30" s="186">
        <f t="shared" si="38"/>
        <v>0</v>
      </c>
      <c r="BL30" s="186">
        <f t="shared" si="26"/>
        <v>0</v>
      </c>
      <c r="BM30" s="186">
        <f t="shared" si="39"/>
        <v>0</v>
      </c>
      <c r="BN30" s="186" t="e">
        <f t="shared" si="40"/>
        <v>#N/A</v>
      </c>
      <c r="BO30" s="186">
        <f t="shared" si="41"/>
        <v>0</v>
      </c>
      <c r="BP30" s="186">
        <f t="shared" si="42"/>
        <v>1</v>
      </c>
      <c r="BQ30" s="186">
        <f t="shared" si="43"/>
        <v>0</v>
      </c>
      <c r="BR30" s="186">
        <f t="shared" si="27"/>
        <v>2</v>
      </c>
      <c r="BS30" s="186" t="e">
        <f t="shared" si="44"/>
        <v>#N/A</v>
      </c>
      <c r="BT30" s="186">
        <f t="shared" si="45"/>
        <v>1</v>
      </c>
      <c r="BU30" s="186" t="e">
        <f t="shared" si="46"/>
        <v>#N/A</v>
      </c>
      <c r="BV30" s="186" t="e">
        <f t="shared" si="47"/>
        <v>#N/A</v>
      </c>
      <c r="BW30" s="186" t="e">
        <f t="shared" si="48"/>
        <v>#N/A</v>
      </c>
    </row>
    <row r="31" spans="1:93" x14ac:dyDescent="0.25">
      <c r="A31" s="176"/>
      <c r="B31" s="177"/>
      <c r="C31" s="178"/>
      <c r="D31" s="179"/>
      <c r="E31" s="180"/>
      <c r="F31" s="180"/>
      <c r="G31" s="180"/>
      <c r="H31" s="181"/>
      <c r="I31" s="204" t="str">
        <f t="shared" si="0"/>
        <v/>
      </c>
      <c r="J31" s="205" t="str">
        <f t="shared" si="1"/>
        <v/>
      </c>
      <c r="K31" s="206" t="str">
        <f t="shared" si="2"/>
        <v/>
      </c>
      <c r="L31" s="207" t="str">
        <f t="shared" si="3"/>
        <v/>
      </c>
      <c r="M31" s="206" t="str">
        <f t="shared" si="28"/>
        <v/>
      </c>
      <c r="N31" s="208" t="str">
        <f t="shared" si="29"/>
        <v/>
      </c>
      <c r="O31" s="182" t="s">
        <v>986</v>
      </c>
      <c r="P31" s="182" t="s">
        <v>986</v>
      </c>
      <c r="Q31" s="183" t="s">
        <v>986</v>
      </c>
      <c r="R31" s="184" t="s">
        <v>986</v>
      </c>
      <c r="S31" s="185" t="s">
        <v>986</v>
      </c>
      <c r="T31" s="182" t="s">
        <v>986</v>
      </c>
      <c r="U31" s="182" t="s">
        <v>986</v>
      </c>
      <c r="V31" s="182" t="s">
        <v>986</v>
      </c>
      <c r="W31" s="182" t="s">
        <v>986</v>
      </c>
      <c r="X31" s="183" t="s">
        <v>1783</v>
      </c>
      <c r="Y31" s="184" t="s">
        <v>1765</v>
      </c>
      <c r="AA31" s="209" t="str">
        <f t="shared" si="4"/>
        <v/>
      </c>
      <c r="AB31" s="210" t="str">
        <f t="shared" si="5"/>
        <v/>
      </c>
      <c r="AD31" s="209" t="str">
        <f t="shared" si="6"/>
        <v/>
      </c>
      <c r="AE31" s="242" t="str">
        <f t="shared" si="7"/>
        <v/>
      </c>
      <c r="AF31" s="242" t="str">
        <f t="shared" si="8"/>
        <v/>
      </c>
      <c r="AG31" s="242" t="str">
        <f t="shared" si="9"/>
        <v/>
      </c>
      <c r="AH31" s="242" t="str">
        <f t="shared" si="49"/>
        <v xml:space="preserve">  pt</v>
      </c>
      <c r="AI31" s="210" t="str">
        <f t="shared" si="30"/>
        <v/>
      </c>
      <c r="AJ31" s="185"/>
      <c r="AK31" s="183"/>
      <c r="AL31" s="245"/>
      <c r="AM31" s="216"/>
      <c r="AN31" s="186">
        <f t="shared" si="10"/>
        <v>0</v>
      </c>
      <c r="AO31" s="186" t="e">
        <f t="shared" si="11"/>
        <v>#N/A</v>
      </c>
      <c r="AP31" s="186" t="e">
        <f t="shared" si="12"/>
        <v>#N/A</v>
      </c>
      <c r="AQ31" s="186">
        <f t="shared" si="13"/>
        <v>1</v>
      </c>
      <c r="AR31" s="186" t="e">
        <f t="shared" si="14"/>
        <v>#N/A</v>
      </c>
      <c r="AS31" s="186" t="e">
        <f t="shared" si="15"/>
        <v>#N/A</v>
      </c>
      <c r="AT31" s="186">
        <f t="shared" si="16"/>
        <v>1</v>
      </c>
      <c r="AU31" s="186" t="e">
        <f t="shared" si="17"/>
        <v>#N/A</v>
      </c>
      <c r="AV31" s="186" t="e">
        <f t="shared" si="31"/>
        <v>#N/A</v>
      </c>
      <c r="AW31" s="186">
        <f t="shared" si="32"/>
        <v>0</v>
      </c>
      <c r="AX31" s="186" t="e">
        <f t="shared" si="33"/>
        <v>#N/A</v>
      </c>
      <c r="AY31" s="186" t="e">
        <f t="shared" si="34"/>
        <v>#N/A</v>
      </c>
      <c r="AZ31" s="186" t="e">
        <f t="shared" si="35"/>
        <v>#N/A</v>
      </c>
      <c r="BA31" s="186">
        <f t="shared" si="18"/>
        <v>0</v>
      </c>
      <c r="BB31" s="186">
        <f t="shared" si="19"/>
        <v>0</v>
      </c>
      <c r="BC31" s="186">
        <f t="shared" si="20"/>
        <v>0</v>
      </c>
      <c r="BD31" s="186">
        <f t="shared" si="36"/>
        <v>0</v>
      </c>
      <c r="BE31" s="186">
        <f t="shared" si="21"/>
        <v>0</v>
      </c>
      <c r="BF31" s="186">
        <f t="shared" si="22"/>
        <v>0</v>
      </c>
      <c r="BG31" s="186">
        <f t="shared" si="23"/>
        <v>0</v>
      </c>
      <c r="BH31" s="186">
        <f t="shared" si="24"/>
        <v>0</v>
      </c>
      <c r="BI31" s="186">
        <f t="shared" si="25"/>
        <v>0</v>
      </c>
      <c r="BJ31" s="186">
        <f t="shared" si="37"/>
        <v>1</v>
      </c>
      <c r="BK31" s="186">
        <f t="shared" si="38"/>
        <v>0</v>
      </c>
      <c r="BL31" s="186">
        <f t="shared" si="26"/>
        <v>0</v>
      </c>
      <c r="BM31" s="186">
        <f t="shared" si="39"/>
        <v>0</v>
      </c>
      <c r="BN31" s="186" t="e">
        <f t="shared" si="40"/>
        <v>#N/A</v>
      </c>
      <c r="BO31" s="186">
        <f t="shared" si="41"/>
        <v>0</v>
      </c>
      <c r="BP31" s="186">
        <f t="shared" si="42"/>
        <v>1</v>
      </c>
      <c r="BQ31" s="186">
        <f t="shared" si="43"/>
        <v>0</v>
      </c>
      <c r="BR31" s="186">
        <f t="shared" si="27"/>
        <v>2</v>
      </c>
      <c r="BS31" s="186" t="e">
        <f t="shared" si="44"/>
        <v>#N/A</v>
      </c>
      <c r="BT31" s="186">
        <f t="shared" si="45"/>
        <v>1</v>
      </c>
      <c r="BU31" s="186" t="e">
        <f t="shared" si="46"/>
        <v>#N/A</v>
      </c>
      <c r="BV31" s="186" t="e">
        <f t="shared" si="47"/>
        <v>#N/A</v>
      </c>
      <c r="BW31" s="186" t="e">
        <f t="shared" si="48"/>
        <v>#N/A</v>
      </c>
    </row>
    <row r="32" spans="1:93" x14ac:dyDescent="0.25">
      <c r="A32" s="176"/>
      <c r="B32" s="177"/>
      <c r="C32" s="178"/>
      <c r="D32" s="179"/>
      <c r="E32" s="180"/>
      <c r="F32" s="180"/>
      <c r="G32" s="180"/>
      <c r="H32" s="181"/>
      <c r="I32" s="204" t="str">
        <f t="shared" si="0"/>
        <v/>
      </c>
      <c r="J32" s="205" t="str">
        <f t="shared" si="1"/>
        <v/>
      </c>
      <c r="K32" s="206" t="str">
        <f t="shared" si="2"/>
        <v/>
      </c>
      <c r="L32" s="207" t="str">
        <f t="shared" si="3"/>
        <v/>
      </c>
      <c r="M32" s="206" t="str">
        <f t="shared" si="28"/>
        <v/>
      </c>
      <c r="N32" s="208" t="str">
        <f t="shared" si="29"/>
        <v/>
      </c>
      <c r="O32" s="182" t="s">
        <v>986</v>
      </c>
      <c r="P32" s="182" t="s">
        <v>986</v>
      </c>
      <c r="Q32" s="183" t="s">
        <v>986</v>
      </c>
      <c r="R32" s="184" t="s">
        <v>986</v>
      </c>
      <c r="S32" s="185" t="s">
        <v>986</v>
      </c>
      <c r="T32" s="182" t="s">
        <v>986</v>
      </c>
      <c r="U32" s="182" t="s">
        <v>986</v>
      </c>
      <c r="V32" s="182" t="s">
        <v>986</v>
      </c>
      <c r="W32" s="182" t="s">
        <v>986</v>
      </c>
      <c r="X32" s="183" t="s">
        <v>1783</v>
      </c>
      <c r="Y32" s="184" t="s">
        <v>1765</v>
      </c>
      <c r="AA32" s="209" t="str">
        <f t="shared" si="4"/>
        <v/>
      </c>
      <c r="AB32" s="210" t="str">
        <f t="shared" si="5"/>
        <v/>
      </c>
      <c r="AD32" s="209" t="str">
        <f t="shared" si="6"/>
        <v/>
      </c>
      <c r="AE32" s="242" t="str">
        <f t="shared" si="7"/>
        <v/>
      </c>
      <c r="AF32" s="242" t="str">
        <f t="shared" si="8"/>
        <v/>
      </c>
      <c r="AG32" s="242" t="str">
        <f t="shared" si="9"/>
        <v/>
      </c>
      <c r="AH32" s="242" t="str">
        <f t="shared" si="49"/>
        <v xml:space="preserve">  pt</v>
      </c>
      <c r="AI32" s="210" t="str">
        <f t="shared" si="30"/>
        <v/>
      </c>
      <c r="AJ32" s="185"/>
      <c r="AK32" s="183"/>
      <c r="AL32" s="245"/>
      <c r="AM32" s="216"/>
      <c r="AN32" s="186">
        <f t="shared" si="10"/>
        <v>0</v>
      </c>
      <c r="AO32" s="186" t="e">
        <f t="shared" si="11"/>
        <v>#N/A</v>
      </c>
      <c r="AP32" s="186" t="e">
        <f t="shared" si="12"/>
        <v>#N/A</v>
      </c>
      <c r="AQ32" s="186">
        <f t="shared" si="13"/>
        <v>1</v>
      </c>
      <c r="AR32" s="186" t="e">
        <f t="shared" si="14"/>
        <v>#N/A</v>
      </c>
      <c r="AS32" s="186" t="e">
        <f t="shared" si="15"/>
        <v>#N/A</v>
      </c>
      <c r="AT32" s="186">
        <f t="shared" si="16"/>
        <v>1</v>
      </c>
      <c r="AU32" s="186" t="e">
        <f t="shared" si="17"/>
        <v>#N/A</v>
      </c>
      <c r="AV32" s="186" t="e">
        <f t="shared" si="31"/>
        <v>#N/A</v>
      </c>
      <c r="AW32" s="186">
        <f t="shared" si="32"/>
        <v>0</v>
      </c>
      <c r="AX32" s="186" t="e">
        <f t="shared" si="33"/>
        <v>#N/A</v>
      </c>
      <c r="AY32" s="186" t="e">
        <f t="shared" si="34"/>
        <v>#N/A</v>
      </c>
      <c r="AZ32" s="186" t="e">
        <f t="shared" si="35"/>
        <v>#N/A</v>
      </c>
      <c r="BA32" s="186">
        <f t="shared" si="18"/>
        <v>0</v>
      </c>
      <c r="BB32" s="186">
        <f t="shared" si="19"/>
        <v>0</v>
      </c>
      <c r="BC32" s="186">
        <f t="shared" si="20"/>
        <v>0</v>
      </c>
      <c r="BD32" s="186">
        <f t="shared" si="36"/>
        <v>0</v>
      </c>
      <c r="BE32" s="186">
        <f t="shared" si="21"/>
        <v>0</v>
      </c>
      <c r="BF32" s="186">
        <f t="shared" si="22"/>
        <v>0</v>
      </c>
      <c r="BG32" s="186">
        <f t="shared" si="23"/>
        <v>0</v>
      </c>
      <c r="BH32" s="186">
        <f t="shared" si="24"/>
        <v>0</v>
      </c>
      <c r="BI32" s="186">
        <f t="shared" si="25"/>
        <v>0</v>
      </c>
      <c r="BJ32" s="186">
        <f t="shared" si="37"/>
        <v>1</v>
      </c>
      <c r="BK32" s="186">
        <f t="shared" si="38"/>
        <v>0</v>
      </c>
      <c r="BL32" s="186">
        <f t="shared" si="26"/>
        <v>0</v>
      </c>
      <c r="BM32" s="186">
        <f t="shared" si="39"/>
        <v>0</v>
      </c>
      <c r="BN32" s="186" t="e">
        <f t="shared" si="40"/>
        <v>#N/A</v>
      </c>
      <c r="BO32" s="186">
        <f t="shared" si="41"/>
        <v>0</v>
      </c>
      <c r="BP32" s="186">
        <f t="shared" si="42"/>
        <v>1</v>
      </c>
      <c r="BQ32" s="186">
        <f t="shared" si="43"/>
        <v>0</v>
      </c>
      <c r="BR32" s="186">
        <f t="shared" si="27"/>
        <v>2</v>
      </c>
      <c r="BS32" s="186" t="e">
        <f t="shared" si="44"/>
        <v>#N/A</v>
      </c>
      <c r="BT32" s="186">
        <f t="shared" si="45"/>
        <v>1</v>
      </c>
      <c r="BU32" s="186" t="e">
        <f t="shared" si="46"/>
        <v>#N/A</v>
      </c>
      <c r="BV32" s="186" t="e">
        <f t="shared" si="47"/>
        <v>#N/A</v>
      </c>
      <c r="BW32" s="186" t="e">
        <f t="shared" si="48"/>
        <v>#N/A</v>
      </c>
    </row>
    <row r="33" spans="1:75" x14ac:dyDescent="0.25">
      <c r="A33" s="176"/>
      <c r="B33" s="177"/>
      <c r="C33" s="178"/>
      <c r="D33" s="179"/>
      <c r="E33" s="180"/>
      <c r="F33" s="180"/>
      <c r="G33" s="180"/>
      <c r="H33" s="181"/>
      <c r="I33" s="204" t="str">
        <f t="shared" si="0"/>
        <v/>
      </c>
      <c r="J33" s="205" t="str">
        <f t="shared" si="1"/>
        <v/>
      </c>
      <c r="K33" s="206" t="str">
        <f t="shared" si="2"/>
        <v/>
      </c>
      <c r="L33" s="207" t="str">
        <f t="shared" si="3"/>
        <v/>
      </c>
      <c r="M33" s="206" t="str">
        <f t="shared" si="28"/>
        <v/>
      </c>
      <c r="N33" s="208" t="str">
        <f t="shared" si="29"/>
        <v/>
      </c>
      <c r="O33" s="182" t="s">
        <v>986</v>
      </c>
      <c r="P33" s="182" t="s">
        <v>986</v>
      </c>
      <c r="Q33" s="183" t="s">
        <v>986</v>
      </c>
      <c r="R33" s="184" t="s">
        <v>986</v>
      </c>
      <c r="S33" s="185" t="s">
        <v>986</v>
      </c>
      <c r="T33" s="182" t="s">
        <v>986</v>
      </c>
      <c r="U33" s="182" t="s">
        <v>986</v>
      </c>
      <c r="V33" s="182" t="s">
        <v>986</v>
      </c>
      <c r="W33" s="182" t="s">
        <v>986</v>
      </c>
      <c r="X33" s="183" t="s">
        <v>1783</v>
      </c>
      <c r="Y33" s="184" t="s">
        <v>1765</v>
      </c>
      <c r="AA33" s="209" t="str">
        <f t="shared" si="4"/>
        <v/>
      </c>
      <c r="AB33" s="210" t="str">
        <f t="shared" si="5"/>
        <v/>
      </c>
      <c r="AD33" s="209" t="str">
        <f t="shared" si="6"/>
        <v/>
      </c>
      <c r="AE33" s="242" t="str">
        <f t="shared" si="7"/>
        <v/>
      </c>
      <c r="AF33" s="242" t="str">
        <f t="shared" si="8"/>
        <v/>
      </c>
      <c r="AG33" s="242" t="str">
        <f t="shared" si="9"/>
        <v/>
      </c>
      <c r="AH33" s="242" t="str">
        <f t="shared" si="49"/>
        <v xml:space="preserve">  pt</v>
      </c>
      <c r="AI33" s="210" t="str">
        <f t="shared" si="30"/>
        <v/>
      </c>
      <c r="AJ33" s="185"/>
      <c r="AK33" s="183"/>
      <c r="AL33" s="245"/>
      <c r="AM33" s="216"/>
      <c r="AN33" s="186">
        <f t="shared" si="10"/>
        <v>0</v>
      </c>
      <c r="AO33" s="186" t="e">
        <f t="shared" si="11"/>
        <v>#N/A</v>
      </c>
      <c r="AP33" s="186" t="e">
        <f t="shared" si="12"/>
        <v>#N/A</v>
      </c>
      <c r="AQ33" s="186">
        <f t="shared" si="13"/>
        <v>1</v>
      </c>
      <c r="AR33" s="186" t="e">
        <f t="shared" si="14"/>
        <v>#N/A</v>
      </c>
      <c r="AS33" s="186" t="e">
        <f t="shared" si="15"/>
        <v>#N/A</v>
      </c>
      <c r="AT33" s="186">
        <f t="shared" si="16"/>
        <v>1</v>
      </c>
      <c r="AU33" s="186" t="e">
        <f t="shared" si="17"/>
        <v>#N/A</v>
      </c>
      <c r="AV33" s="186" t="e">
        <f t="shared" si="31"/>
        <v>#N/A</v>
      </c>
      <c r="AW33" s="186">
        <f t="shared" si="32"/>
        <v>0</v>
      </c>
      <c r="AX33" s="186" t="e">
        <f t="shared" si="33"/>
        <v>#N/A</v>
      </c>
      <c r="AY33" s="186" t="e">
        <f t="shared" si="34"/>
        <v>#N/A</v>
      </c>
      <c r="AZ33" s="186" t="e">
        <f t="shared" si="35"/>
        <v>#N/A</v>
      </c>
      <c r="BA33" s="186">
        <f t="shared" si="18"/>
        <v>0</v>
      </c>
      <c r="BB33" s="186">
        <f t="shared" si="19"/>
        <v>0</v>
      </c>
      <c r="BC33" s="186">
        <f t="shared" si="20"/>
        <v>0</v>
      </c>
      <c r="BD33" s="186">
        <f t="shared" si="36"/>
        <v>0</v>
      </c>
      <c r="BE33" s="186">
        <f t="shared" si="21"/>
        <v>0</v>
      </c>
      <c r="BF33" s="186">
        <f t="shared" si="22"/>
        <v>0</v>
      </c>
      <c r="BG33" s="186">
        <f t="shared" si="23"/>
        <v>0</v>
      </c>
      <c r="BH33" s="186">
        <f t="shared" si="24"/>
        <v>0</v>
      </c>
      <c r="BI33" s="186">
        <f t="shared" si="25"/>
        <v>0</v>
      </c>
      <c r="BJ33" s="186">
        <f t="shared" si="37"/>
        <v>1</v>
      </c>
      <c r="BK33" s="186">
        <f t="shared" si="38"/>
        <v>0</v>
      </c>
      <c r="BL33" s="186">
        <f t="shared" si="26"/>
        <v>0</v>
      </c>
      <c r="BM33" s="186">
        <f t="shared" si="39"/>
        <v>0</v>
      </c>
      <c r="BN33" s="186" t="e">
        <f t="shared" si="40"/>
        <v>#N/A</v>
      </c>
      <c r="BO33" s="186">
        <f t="shared" si="41"/>
        <v>0</v>
      </c>
      <c r="BP33" s="186">
        <f t="shared" si="42"/>
        <v>1</v>
      </c>
      <c r="BQ33" s="186">
        <f t="shared" si="43"/>
        <v>0</v>
      </c>
      <c r="BR33" s="186">
        <f t="shared" si="27"/>
        <v>2</v>
      </c>
      <c r="BS33" s="186" t="e">
        <f t="shared" si="44"/>
        <v>#N/A</v>
      </c>
      <c r="BT33" s="186">
        <f t="shared" si="45"/>
        <v>1</v>
      </c>
      <c r="BU33" s="186" t="e">
        <f t="shared" si="46"/>
        <v>#N/A</v>
      </c>
      <c r="BV33" s="186" t="e">
        <f t="shared" si="47"/>
        <v>#N/A</v>
      </c>
      <c r="BW33" s="186" t="e">
        <f t="shared" si="48"/>
        <v>#N/A</v>
      </c>
    </row>
    <row r="34" spans="1:75" ht="15.75" thickBot="1" x14ac:dyDescent="0.3">
      <c r="A34" s="176"/>
      <c r="B34" s="177"/>
      <c r="C34" s="178"/>
      <c r="D34" s="179"/>
      <c r="E34" s="180"/>
      <c r="F34" s="180"/>
      <c r="G34" s="180"/>
      <c r="H34" s="181"/>
      <c r="I34" s="204" t="str">
        <f t="shared" si="0"/>
        <v/>
      </c>
      <c r="J34" s="205" t="str">
        <f t="shared" si="1"/>
        <v/>
      </c>
      <c r="K34" s="206" t="str">
        <f t="shared" si="2"/>
        <v/>
      </c>
      <c r="L34" s="207" t="str">
        <f t="shared" si="3"/>
        <v/>
      </c>
      <c r="M34" s="206" t="str">
        <f t="shared" si="28"/>
        <v/>
      </c>
      <c r="N34" s="208" t="str">
        <f t="shared" si="29"/>
        <v/>
      </c>
      <c r="O34" s="182" t="s">
        <v>986</v>
      </c>
      <c r="P34" s="182" t="s">
        <v>986</v>
      </c>
      <c r="Q34" s="183" t="s">
        <v>986</v>
      </c>
      <c r="R34" s="184" t="s">
        <v>986</v>
      </c>
      <c r="S34" s="185" t="s">
        <v>986</v>
      </c>
      <c r="T34" s="182" t="s">
        <v>986</v>
      </c>
      <c r="U34" s="182" t="s">
        <v>986</v>
      </c>
      <c r="V34" s="182" t="s">
        <v>986</v>
      </c>
      <c r="W34" s="182" t="s">
        <v>986</v>
      </c>
      <c r="X34" s="183" t="s">
        <v>1783</v>
      </c>
      <c r="Y34" s="184" t="s">
        <v>1765</v>
      </c>
      <c r="AA34" s="209" t="str">
        <f t="shared" si="4"/>
        <v/>
      </c>
      <c r="AB34" s="210" t="str">
        <f t="shared" si="5"/>
        <v/>
      </c>
      <c r="AD34" s="209" t="str">
        <f t="shared" si="6"/>
        <v/>
      </c>
      <c r="AE34" s="233" t="str">
        <f t="shared" si="7"/>
        <v/>
      </c>
      <c r="AF34" s="233" t="str">
        <f t="shared" si="8"/>
        <v/>
      </c>
      <c r="AG34" s="233" t="str">
        <f t="shared" si="9"/>
        <v/>
      </c>
      <c r="AH34" s="242" t="str">
        <f t="shared" si="49"/>
        <v xml:space="preserve">  pt</v>
      </c>
      <c r="AI34" s="210" t="str">
        <f t="shared" si="30"/>
        <v/>
      </c>
      <c r="AJ34" s="246"/>
      <c r="AK34" s="247"/>
      <c r="AL34" s="245"/>
      <c r="AM34" s="216"/>
      <c r="AN34" s="186">
        <f t="shared" si="10"/>
        <v>0</v>
      </c>
      <c r="AO34" s="186" t="e">
        <f t="shared" si="11"/>
        <v>#N/A</v>
      </c>
      <c r="AP34" s="186" t="e">
        <f t="shared" si="12"/>
        <v>#N/A</v>
      </c>
      <c r="AQ34" s="186">
        <f t="shared" si="13"/>
        <v>1</v>
      </c>
      <c r="AR34" s="186" t="e">
        <f t="shared" si="14"/>
        <v>#N/A</v>
      </c>
      <c r="AS34" s="186" t="e">
        <f t="shared" si="15"/>
        <v>#N/A</v>
      </c>
      <c r="AT34" s="186">
        <f t="shared" si="16"/>
        <v>1</v>
      </c>
      <c r="AU34" s="186" t="e">
        <f t="shared" si="17"/>
        <v>#N/A</v>
      </c>
      <c r="AV34" s="186" t="e">
        <f t="shared" si="31"/>
        <v>#N/A</v>
      </c>
      <c r="AW34" s="186">
        <f t="shared" si="32"/>
        <v>0</v>
      </c>
      <c r="AX34" s="186" t="e">
        <f t="shared" si="33"/>
        <v>#N/A</v>
      </c>
      <c r="AY34" s="186" t="e">
        <f t="shared" si="34"/>
        <v>#N/A</v>
      </c>
      <c r="AZ34" s="186" t="e">
        <f t="shared" si="35"/>
        <v>#N/A</v>
      </c>
      <c r="BA34" s="186">
        <f t="shared" si="18"/>
        <v>0</v>
      </c>
      <c r="BB34" s="186">
        <f t="shared" si="19"/>
        <v>0</v>
      </c>
      <c r="BC34" s="186">
        <f t="shared" si="20"/>
        <v>0</v>
      </c>
      <c r="BD34" s="186">
        <f t="shared" si="36"/>
        <v>0</v>
      </c>
      <c r="BE34" s="186">
        <f t="shared" si="21"/>
        <v>0</v>
      </c>
      <c r="BF34" s="186">
        <f t="shared" si="22"/>
        <v>0</v>
      </c>
      <c r="BG34" s="186">
        <f t="shared" si="23"/>
        <v>0</v>
      </c>
      <c r="BH34" s="186">
        <f t="shared" si="24"/>
        <v>0</v>
      </c>
      <c r="BI34" s="186">
        <f t="shared" si="25"/>
        <v>0</v>
      </c>
      <c r="BJ34" s="186">
        <f t="shared" si="37"/>
        <v>1</v>
      </c>
      <c r="BK34" s="186">
        <f t="shared" si="38"/>
        <v>0</v>
      </c>
      <c r="BL34" s="186">
        <f t="shared" si="26"/>
        <v>0</v>
      </c>
      <c r="BM34" s="186">
        <f t="shared" si="39"/>
        <v>0</v>
      </c>
      <c r="BN34" s="186" t="e">
        <f t="shared" si="40"/>
        <v>#N/A</v>
      </c>
      <c r="BO34" s="186">
        <f t="shared" si="41"/>
        <v>0</v>
      </c>
      <c r="BP34" s="186">
        <f t="shared" si="42"/>
        <v>1</v>
      </c>
      <c r="BQ34" s="186">
        <f t="shared" si="43"/>
        <v>0</v>
      </c>
      <c r="BR34" s="186">
        <f t="shared" si="27"/>
        <v>2</v>
      </c>
      <c r="BS34" s="186" t="e">
        <f t="shared" si="44"/>
        <v>#N/A</v>
      </c>
      <c r="BT34" s="186">
        <f t="shared" si="45"/>
        <v>1</v>
      </c>
      <c r="BU34" s="186" t="e">
        <f t="shared" si="46"/>
        <v>#N/A</v>
      </c>
      <c r="BV34" s="186" t="e">
        <f t="shared" si="47"/>
        <v>#N/A</v>
      </c>
      <c r="BW34" s="186" t="e">
        <f t="shared" si="48"/>
        <v>#N/A</v>
      </c>
    </row>
    <row r="36" spans="1:75" ht="115.9" customHeight="1" x14ac:dyDescent="0.25">
      <c r="A36" s="304" t="s">
        <v>1885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  <row r="38" spans="1:75" x14ac:dyDescent="0.25">
      <c r="A38" s="20" t="s">
        <v>1879</v>
      </c>
    </row>
    <row r="39" spans="1:75" x14ac:dyDescent="0.25">
      <c r="A39" s="25" t="s">
        <v>1880</v>
      </c>
    </row>
    <row r="40" spans="1:75" x14ac:dyDescent="0.25">
      <c r="A40" s="257" t="s">
        <v>1881</v>
      </c>
    </row>
    <row r="41" spans="1:75" x14ac:dyDescent="0.25">
      <c r="A41" s="257" t="s">
        <v>1894</v>
      </c>
    </row>
    <row r="42" spans="1:75" x14ac:dyDescent="0.25">
      <c r="A42" s="257" t="s">
        <v>1882</v>
      </c>
    </row>
    <row r="43" spans="1:75" x14ac:dyDescent="0.25">
      <c r="A43" s="25" t="s">
        <v>1883</v>
      </c>
    </row>
    <row r="44" spans="1:75" x14ac:dyDescent="0.25">
      <c r="A44" s="25" t="s">
        <v>1884</v>
      </c>
    </row>
    <row r="45" spans="1:75" x14ac:dyDescent="0.25">
      <c r="A45" s="257" t="s">
        <v>1975</v>
      </c>
    </row>
  </sheetData>
  <sheetProtection formatCells="0" formatColumns="0" formatRows="0" insertColumns="0" insertRows="0" insertHyperlinks="0" deleteColumns="0" deleteRows="0" selectLockedCells="1" sort="0" autoFilter="0"/>
  <mergeCells count="9">
    <mergeCell ref="O5:Y5"/>
    <mergeCell ref="S6:Y6"/>
    <mergeCell ref="AD8:AI8"/>
    <mergeCell ref="AD6:AI6"/>
    <mergeCell ref="A36:N36"/>
    <mergeCell ref="C6:H6"/>
    <mergeCell ref="I6:N6"/>
    <mergeCell ref="O6:R6"/>
    <mergeCell ref="I8:N8"/>
  </mergeCells>
  <conditionalFormatting sqref="I9:I34">
    <cfRule type="cellIs" dxfId="2330" priority="7" operator="equal">
      <formula>$CF$9</formula>
    </cfRule>
    <cfRule type="containsText" dxfId="2329" priority="8" operator="containsText" text="O">
      <formula>NOT(ISERROR(SEARCH("O",I9)))</formula>
    </cfRule>
  </conditionalFormatting>
  <conditionalFormatting sqref="AD9:AD34">
    <cfRule type="containsText" dxfId="2328" priority="3" operator="containsText" text="O">
      <formula>NOT(ISERROR(SEARCH("O",AD9)))</formula>
    </cfRule>
    <cfRule type="containsText" dxfId="2327" priority="5" operator="containsText" text="N">
      <formula>NOT(ISERROR(SEARCH("N",AD9)))</formula>
    </cfRule>
  </conditionalFormatting>
  <conditionalFormatting sqref="AI9:AI34">
    <cfRule type="containsText" dxfId="2326" priority="2" operator="containsText" text="O">
      <formula>NOT(ISERROR(SEARCH("O",AI9)))</formula>
    </cfRule>
    <cfRule type="containsText" dxfId="2325" priority="4" operator="containsText" text="N">
      <formula>NOT(ISERROR(SEARCH("N",AI9)))</formula>
    </cfRule>
  </conditionalFormatting>
  <conditionalFormatting sqref="M9:N34">
    <cfRule type="containsText" dxfId="2324" priority="9" operator="containsText" text="n">
      <formula>NOT(ISERROR(SEARCH("n",M9)))</formula>
    </cfRule>
    <cfRule type="containsText" dxfId="2323" priority="10" operator="containsText" text="o">
      <formula>NOT(ISERROR(SEARCH("o",M9)))</formula>
    </cfRule>
  </conditionalFormatting>
  <conditionalFormatting sqref="AJ9:AK34">
    <cfRule type="containsText" dxfId="2322" priority="1" operator="containsText" text="n">
      <formula>NOT(ISERROR(SEARCH("n",AJ9)))</formula>
    </cfRule>
    <cfRule type="containsText" dxfId="2321" priority="6" operator="containsText" text="o">
      <formula>NOT(ISERROR(SEARCH("o",AJ9)))</formula>
    </cfRule>
  </conditionalFormatting>
  <dataValidations count="6">
    <dataValidation type="list" allowBlank="1" showInputMessage="1" showErrorMessage="1" sqref="H9:H34" xr:uid="{1A3D7E28-DDFE-4B9B-95EB-05987DDE03BA}">
      <formula1>$CH$8:$CH$11</formula1>
    </dataValidation>
    <dataValidation type="list" allowBlank="1" showInputMessage="1" showErrorMessage="1" sqref="G9:G34 AJ9:AK34 D9:D34 O9:W34" xr:uid="{F9324A00-61CA-4B2E-947E-CA53BA15A0E8}">
      <formula1>$CF$8:$CF$9</formula1>
    </dataValidation>
    <dataValidation type="list" allowBlank="1" showInputMessage="1" showErrorMessage="1" sqref="F9:F34" xr:uid="{EF8A6F05-4893-4079-9E1C-71BF545BA930}">
      <formula1>$CD$8:$CD$10</formula1>
    </dataValidation>
    <dataValidation type="list" allowBlank="1" showInputMessage="1" showErrorMessage="1" sqref="C9:C34" xr:uid="{7BBBF3D5-190E-410A-849A-8F7FBDFD3BD2}">
      <formula1>$BY$8:$BY$11</formula1>
    </dataValidation>
    <dataValidation type="list" allowBlank="1" showInputMessage="1" showErrorMessage="1" sqref="E9:E34" xr:uid="{C5B55095-35F4-4823-A6DC-39AF0B7F04D2}">
      <formula1>$CB$8:$CB$11</formula1>
    </dataValidation>
    <dataValidation type="list" allowBlank="1" showInputMessage="1" showErrorMessage="1" sqref="X9:Y34" xr:uid="{0B347C19-5576-428D-A712-CA323B761B60}">
      <formula1>$CP$8:$CP$11</formula1>
    </dataValidation>
  </dataValidations>
  <hyperlinks>
    <hyperlink ref="A39" r:id="rId1" xr:uid="{DEB19885-CDDA-46B6-AEBB-CF5900061ABB}"/>
    <hyperlink ref="A43" r:id="rId2" xr:uid="{0BF21DA5-1750-4D57-8C11-4A0479310746}"/>
    <hyperlink ref="A44" r:id="rId3" xr:uid="{50837A02-62E1-4F2E-B4D6-4D8FF4E1C088}"/>
    <hyperlink ref="A41" r:id="rId4" xr:uid="{0DD98DD4-0882-4AA5-852F-5A9C86D576F2}"/>
    <hyperlink ref="A42" r:id="rId5" xr:uid="{B4BEC083-527C-4FF2-9EF2-509D12AA5248}"/>
    <hyperlink ref="A40" r:id="rId6" xr:uid="{402E25D8-EB2E-40F5-90B4-FFB9A8D6226B}"/>
    <hyperlink ref="A45" r:id="rId7" display="- Surfaces en connexion" xr:uid="{146BE9A6-4E04-45CF-8545-8634EBA82E5A}"/>
  </hyperlinks>
  <pageMargins left="0.70866141732283472" right="0.31496062992125984" top="0.55118110236220474" bottom="0.35433070866141736" header="0.31496062992125984" footer="0.31496062992125984"/>
  <pageSetup paperSize="9" scale="7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15.85546875" customWidth="1"/>
    <col min="2" max="2" width="9.42578125" hidden="1" customWidth="1"/>
    <col min="3" max="3" width="21.140625" customWidth="1"/>
    <col min="4" max="4" width="10.7109375" customWidth="1"/>
    <col min="5" max="5" width="11.42578125" customWidth="1"/>
    <col min="6" max="6" width="1.5703125" customWidth="1"/>
    <col min="7" max="7" width="6" customWidth="1"/>
    <col min="8" max="8" width="15.7109375" customWidth="1"/>
    <col min="9" max="9" width="8.85546875" customWidth="1"/>
    <col min="10" max="10" width="1.140625" customWidth="1"/>
    <col min="11" max="27" width="0" hidden="1" customWidth="1"/>
  </cols>
  <sheetData>
    <row r="1" spans="1:27" ht="47.25" customHeight="1" x14ac:dyDescent="0.35">
      <c r="A1" s="323" t="str">
        <f>+Textes!A65</f>
        <v>Prescritions d'utilisation des produits 
homologués dans les grandes cultures</v>
      </c>
      <c r="B1" s="323"/>
      <c r="C1" s="323"/>
      <c r="D1" s="323"/>
      <c r="E1" s="323"/>
      <c r="F1" s="323"/>
      <c r="G1" s="323"/>
      <c r="H1" s="323"/>
      <c r="I1" s="323"/>
      <c r="J1" s="34"/>
      <c r="Z1" t="s">
        <v>3</v>
      </c>
      <c r="AA1" t="str">
        <f>+Textes!A71</f>
        <v>Fongicide</v>
      </c>
    </row>
    <row r="2" spans="1:27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Z2" t="s">
        <v>4</v>
      </c>
      <c r="AA2" t="str">
        <f>+Textes!A72</f>
        <v>Herbicide</v>
      </c>
    </row>
    <row r="3" spans="1:27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Z3" t="s">
        <v>5</v>
      </c>
      <c r="AA3" t="str">
        <f>+Textes!A73</f>
        <v>Insecticide</v>
      </c>
    </row>
    <row r="4" spans="1:27" x14ac:dyDescent="0.25">
      <c r="A4" s="34"/>
      <c r="B4" s="34"/>
      <c r="C4" s="266" t="s">
        <v>1044</v>
      </c>
      <c r="D4" s="308" t="str">
        <f>+Textes!A66</f>
        <v>Choisissez un produit commercial</v>
      </c>
      <c r="E4" s="309"/>
      <c r="F4" s="309"/>
      <c r="G4" s="309"/>
      <c r="H4" s="107"/>
      <c r="I4" s="108" t="str">
        <f>Total!C2</f>
        <v>W-7189-1</v>
      </c>
      <c r="J4" s="34"/>
      <c r="Z4" t="s">
        <v>6</v>
      </c>
      <c r="AA4" t="str">
        <f>+Textes!A74</f>
        <v>Moluscicide</v>
      </c>
    </row>
    <row r="5" spans="1:27" x14ac:dyDescent="0.25">
      <c r="A5" s="35"/>
      <c r="B5" s="31" t="str">
        <f>+Total!D2</f>
        <v>H</v>
      </c>
      <c r="C5" s="87" t="str">
        <f>VLOOKUP(B5,Z1:AA5,2,FALSE)</f>
        <v>Herbicide</v>
      </c>
      <c r="D5" s="86" t="s">
        <v>937</v>
      </c>
      <c r="E5" s="86" t="str">
        <f>Total!$D$2&amp;AA6</f>
        <v>HRAC</v>
      </c>
      <c r="F5" s="84"/>
      <c r="G5" s="84"/>
      <c r="H5" s="84" t="str">
        <f>+Textes!A67</f>
        <v>Délai utilisation</v>
      </c>
      <c r="I5" s="147">
        <f>Total!AN2</f>
        <v>0</v>
      </c>
      <c r="J5" s="34"/>
      <c r="Z5" t="s">
        <v>7</v>
      </c>
      <c r="AA5" t="str">
        <f>+Textes!A75</f>
        <v xml:space="preserve"> Régulateur</v>
      </c>
    </row>
    <row r="6" spans="1:27" x14ac:dyDescent="0.25">
      <c r="A6" s="324" t="str">
        <f>+Textes!A4</f>
        <v>Groupes de résistance RAC</v>
      </c>
      <c r="B6" s="31">
        <f>+Total!F2</f>
        <v>2</v>
      </c>
      <c r="C6" s="31" t="str">
        <f>Total!$AO$2</f>
        <v>propoxycarbazone-Sodium</v>
      </c>
      <c r="D6" s="86">
        <f>Total!$AS$2</f>
        <v>67.5</v>
      </c>
      <c r="E6" s="86">
        <f>+B6</f>
        <v>2</v>
      </c>
      <c r="F6" s="84"/>
      <c r="G6" s="84" t="str">
        <f>+Textes!A68</f>
        <v>Substance active 1</v>
      </c>
      <c r="H6" s="84"/>
      <c r="I6" s="85"/>
      <c r="J6" s="34"/>
      <c r="AA6" t="s">
        <v>888</v>
      </c>
    </row>
    <row r="7" spans="1:27" x14ac:dyDescent="0.25">
      <c r="A7" s="325"/>
      <c r="B7" s="31">
        <f>+Total!G2</f>
        <v>2</v>
      </c>
      <c r="C7" s="31" t="str">
        <f>IF(B7=0,"",Total!$AP$2)</f>
        <v>mesosulfuron-methyl</v>
      </c>
      <c r="D7" s="86">
        <f>IF(B7=0,"",Total!$AT$2)</f>
        <v>45</v>
      </c>
      <c r="E7" s="86">
        <f>IF(B7=0,"",B7)</f>
        <v>2</v>
      </c>
      <c r="F7" s="84"/>
      <c r="G7" s="84" t="str">
        <f>+Textes!A69</f>
        <v>Substance active 2</v>
      </c>
      <c r="H7" s="84"/>
      <c r="I7" s="85"/>
      <c r="J7" s="34"/>
    </row>
    <row r="8" spans="1:27" x14ac:dyDescent="0.25">
      <c r="A8" s="326"/>
      <c r="B8" s="31">
        <f>+Total!H2</f>
        <v>0</v>
      </c>
      <c r="C8" s="31" t="str">
        <f>IF(B8=0,"",Total!$AQ$2)</f>
        <v/>
      </c>
      <c r="D8" s="86" t="str">
        <f>IF(B8=0,"",Total!$AU$2)</f>
        <v/>
      </c>
      <c r="E8" s="86" t="str">
        <f>IF(B8=0,"",B8)</f>
        <v/>
      </c>
      <c r="F8" s="84"/>
      <c r="G8" s="84" t="str">
        <f>+Textes!A70</f>
        <v>Substance active 3</v>
      </c>
      <c r="H8" s="84"/>
      <c r="I8" s="85"/>
      <c r="J8" s="34"/>
    </row>
    <row r="9" spans="1:27" ht="8.25" customHeight="1" x14ac:dyDescent="0.25">
      <c r="A9" s="32"/>
      <c r="B9" s="33"/>
      <c r="C9" s="30"/>
      <c r="D9" s="57"/>
      <c r="E9" s="57"/>
      <c r="F9" s="57"/>
      <c r="G9" s="57"/>
      <c r="H9" s="57"/>
      <c r="I9" s="58"/>
      <c r="J9" s="34"/>
    </row>
    <row r="10" spans="1:27" ht="30" customHeight="1" x14ac:dyDescent="0.25">
      <c r="A10" s="330" t="str">
        <f>+Textes!A76</f>
        <v>Conditions d'utilisation</v>
      </c>
      <c r="B10" s="331"/>
      <c r="C10" s="331"/>
      <c r="D10" s="331"/>
      <c r="E10" s="331"/>
      <c r="F10" s="331"/>
      <c r="G10" s="331"/>
      <c r="H10" s="331"/>
      <c r="I10" s="332"/>
      <c r="J10" s="34"/>
    </row>
    <row r="11" spans="1:27" x14ac:dyDescent="0.25">
      <c r="A11" s="335" t="str">
        <f>+Textes!A5</f>
        <v>Distance en m sans traitement</v>
      </c>
      <c r="B11" s="31">
        <f>+Total!I2</f>
        <v>0</v>
      </c>
      <c r="C11" s="36" t="str">
        <f>IF(B11=0,"",B11)</f>
        <v/>
      </c>
      <c r="D11" s="317" t="str">
        <f>+Textes!A77</f>
        <v>Zone non traitée de X m le long des eaux de surface</v>
      </c>
      <c r="E11" s="318"/>
      <c r="F11" s="318"/>
      <c r="G11" s="318"/>
      <c r="H11" s="318"/>
      <c r="I11" s="319"/>
      <c r="J11" s="34"/>
    </row>
    <row r="12" spans="1:27" x14ac:dyDescent="0.25">
      <c r="A12" s="335"/>
      <c r="B12" s="31">
        <f>+Total!L2</f>
        <v>0</v>
      </c>
      <c r="C12" s="7" t="str">
        <f>IF(B12=0,"",B12)</f>
        <v/>
      </c>
      <c r="D12" s="317" t="str">
        <f>+Textes!A78</f>
        <v>Réduction du risque de ruissellement de X points</v>
      </c>
      <c r="E12" s="318"/>
      <c r="F12" s="318"/>
      <c r="G12" s="318"/>
      <c r="H12" s="318"/>
      <c r="I12" s="319"/>
      <c r="J12" s="34"/>
    </row>
    <row r="13" spans="1:27" s="160" customFormat="1" x14ac:dyDescent="0.25">
      <c r="A13" s="335"/>
      <c r="B13" s="31">
        <f>+Total!J2</f>
        <v>3</v>
      </c>
      <c r="C13" s="7">
        <f>IF(B13=0,"",B13)</f>
        <v>3</v>
      </c>
      <c r="D13" s="317" t="str">
        <f>+Textes!A79</f>
        <v>Zone non traitée de X m le long des biotopes</v>
      </c>
      <c r="E13" s="318"/>
      <c r="F13" s="318"/>
      <c r="G13" s="318"/>
      <c r="H13" s="318"/>
      <c r="I13" s="319"/>
      <c r="J13" s="34"/>
    </row>
    <row r="14" spans="1:27" x14ac:dyDescent="0.25">
      <c r="A14" s="335"/>
      <c r="B14" s="31">
        <f>+Total!K2</f>
        <v>0</v>
      </c>
      <c r="C14" s="7" t="str">
        <f>IF(B14=0,"",B14)</f>
        <v/>
      </c>
      <c r="D14" s="317" t="str">
        <f>+Textes!A80</f>
        <v>Zone non traitée de X m le long de zones résidentielles</v>
      </c>
      <c r="E14" s="318"/>
      <c r="F14" s="318"/>
      <c r="G14" s="318"/>
      <c r="H14" s="318"/>
      <c r="I14" s="319"/>
      <c r="J14" s="34"/>
    </row>
    <row r="15" spans="1:27" ht="6.75" customHeight="1" thickBo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27" ht="15.75" thickTop="1" x14ac:dyDescent="0.25">
      <c r="A16" s="335" t="str">
        <f>+Textes!A6</f>
        <v>Réduction d'utilisation</v>
      </c>
      <c r="B16" s="31">
        <f>+Total!M2</f>
        <v>0</v>
      </c>
      <c r="C16" s="314" t="str">
        <f>IF(B16=0,Textes!A81,Textes!A82)</f>
        <v>pas de restriction en zone S2</v>
      </c>
      <c r="D16" s="315"/>
      <c r="E16" s="316"/>
      <c r="F16" s="34"/>
      <c r="G16" s="336" t="str">
        <f>+Textes!A9</f>
        <v>Utilisation en PER</v>
      </c>
      <c r="H16" s="333" t="str">
        <f>IF(B40=0,"",Textes!A36)</f>
        <v>Céréales</v>
      </c>
      <c r="I16" s="334"/>
      <c r="J16" s="34"/>
    </row>
    <row r="17" spans="1:10" x14ac:dyDescent="0.25">
      <c r="A17" s="326"/>
      <c r="B17" s="31">
        <f>+Total!O2</f>
        <v>0</v>
      </c>
      <c r="C17" s="314" t="str">
        <f>IF(B17=0,Textes!A83,Textes!A84)</f>
        <v>pas de restriction en zone karstique</v>
      </c>
      <c r="D17" s="315"/>
      <c r="E17" s="316"/>
      <c r="F17" s="34"/>
      <c r="G17" s="337"/>
      <c r="H17" s="312" t="str">
        <f>IF(B41=0,"",Textes!A37)</f>
        <v/>
      </c>
      <c r="I17" s="313"/>
      <c r="J17" s="34"/>
    </row>
    <row r="18" spans="1:10" ht="30.75" customHeight="1" x14ac:dyDescent="0.25">
      <c r="A18" s="326"/>
      <c r="B18" s="31">
        <f>+Total!P2</f>
        <v>0</v>
      </c>
      <c r="C18" s="314" t="str">
        <f>IF(B18=0,Textes!A85,B18)</f>
        <v>pas de restriction sur la rotation</v>
      </c>
      <c r="D18" s="315"/>
      <c r="E18" s="316"/>
      <c r="F18" s="34"/>
      <c r="G18" s="337"/>
      <c r="H18" s="312" t="str">
        <f>IF(B42=0,"",Textes!A38)</f>
        <v/>
      </c>
      <c r="I18" s="313"/>
      <c r="J18" s="34"/>
    </row>
    <row r="19" spans="1:10" ht="30.75" customHeight="1" x14ac:dyDescent="0.25">
      <c r="A19" s="326"/>
      <c r="B19" s="31">
        <f>+Total!Q2</f>
        <v>0</v>
      </c>
      <c r="C19" s="314" t="str">
        <f>IF(B19=0,"",Textes!A86)</f>
        <v/>
      </c>
      <c r="D19" s="315"/>
      <c r="E19" s="316"/>
      <c r="F19" s="34"/>
      <c r="G19" s="337"/>
      <c r="H19" s="312" t="str">
        <f>IF(B43=0,"",Textes!A39)</f>
        <v/>
      </c>
      <c r="I19" s="313"/>
      <c r="J19" s="34"/>
    </row>
    <row r="20" spans="1:10" x14ac:dyDescent="0.25">
      <c r="A20" s="335" t="str">
        <f>+Textes!A7</f>
        <v>Risques</v>
      </c>
      <c r="B20" s="31" t="str">
        <f>+Total!T2</f>
        <v>!</v>
      </c>
      <c r="C20" s="314" t="str">
        <f>IF(B20=0,Textes!A87,Textes!A88)</f>
        <v>dangereux pour le milieu aquatique</v>
      </c>
      <c r="D20" s="315"/>
      <c r="E20" s="316"/>
      <c r="F20" s="34"/>
      <c r="G20" s="337"/>
      <c r="H20" s="312" t="str">
        <f>IF(B44=0,"",Textes!A40)</f>
        <v/>
      </c>
      <c r="I20" s="313"/>
      <c r="J20" s="34"/>
    </row>
    <row r="21" spans="1:10" s="160" customFormat="1" x14ac:dyDescent="0.25">
      <c r="A21" s="335"/>
      <c r="B21" s="162">
        <f>+Total!R2</f>
        <v>1.4387627117714321</v>
      </c>
      <c r="C21" s="1" t="str">
        <f>+Textes!A89</f>
        <v>Org. aquatiques</v>
      </c>
      <c r="D21" s="262">
        <f>IF(B21="","",B21)</f>
        <v>1.4387627117714321</v>
      </c>
      <c r="E21" s="161" t="str">
        <f>IF(D21&gt;100,Textes!A59,IF(AND(D21&gt;50,D21&lt;=100),Textes!A58,IF(AND(D21&gt;5,D21&lt;=50),Textes!A57,Textes!A56)))</f>
        <v>faible</v>
      </c>
      <c r="F21" s="34"/>
      <c r="G21" s="337"/>
      <c r="H21" s="158"/>
      <c r="I21" s="159"/>
      <c r="J21" s="34"/>
    </row>
    <row r="22" spans="1:10" s="163" customFormat="1" x14ac:dyDescent="0.25">
      <c r="A22" s="335"/>
      <c r="B22" s="162">
        <f>+Total!S2</f>
        <v>320.58907776193519</v>
      </c>
      <c r="C22" s="4" t="str">
        <f>+Textes!A215</f>
        <v>Org. terrestres</v>
      </c>
      <c r="D22" s="262">
        <f>IF(B22="","",B22)</f>
        <v>320.58907776193519</v>
      </c>
      <c r="E22" s="161" t="str">
        <f>IF(D22&gt;100,Textes!A59,IF(AND(D22&gt;50,D22&lt;=100),Textes!A58,IF(AND(D22&gt;5,D22&lt;=50),Textes!A57,Textes!A56)))</f>
        <v>très élevé</v>
      </c>
      <c r="F22" s="34"/>
      <c r="G22" s="337"/>
      <c r="H22" s="200"/>
      <c r="I22" s="201"/>
      <c r="J22" s="34"/>
    </row>
    <row r="23" spans="1:10" x14ac:dyDescent="0.25">
      <c r="A23" s="335"/>
      <c r="B23" s="31">
        <f>+Total!U2</f>
        <v>0</v>
      </c>
      <c r="C23" s="327" t="str">
        <f>IF(B23=0,Textes!A90,IF(B23=1,Textes!A91,IF(B23=2,Textes!A208)))</f>
        <v>risque modéré pour les abeilles</v>
      </c>
      <c r="D23" s="328"/>
      <c r="E23" s="329"/>
      <c r="F23" s="34"/>
      <c r="G23" s="337"/>
      <c r="H23" s="312" t="str">
        <f>IF(B45=0,"",Textes!A41)</f>
        <v/>
      </c>
      <c r="I23" s="313"/>
      <c r="J23" s="34"/>
    </row>
    <row r="24" spans="1:10" ht="15" customHeight="1" x14ac:dyDescent="0.25">
      <c r="A24" s="320" t="str">
        <f>+Textes!A8</f>
        <v>Protection utilisateur</v>
      </c>
      <c r="B24" s="31" t="str">
        <f>+Total!W2</f>
        <v>!</v>
      </c>
      <c r="C24" s="314" t="str">
        <f>IF(B24=0,"",Textes!A92)</f>
        <v>port d'une visière à la préparation</v>
      </c>
      <c r="D24" s="315"/>
      <c r="E24" s="316"/>
      <c r="F24" s="34"/>
      <c r="G24" s="337"/>
      <c r="H24" s="312" t="str">
        <f>IF(B46=0,"",Textes!A42)</f>
        <v/>
      </c>
      <c r="I24" s="313"/>
      <c r="J24" s="34"/>
    </row>
    <row r="25" spans="1:10" x14ac:dyDescent="0.25">
      <c r="A25" s="321"/>
      <c r="B25" s="31">
        <f>+Total!X2</f>
        <v>0</v>
      </c>
      <c r="C25" s="314" t="str">
        <f>IF(B25=0,"",Textes!A93)</f>
        <v/>
      </c>
      <c r="D25" s="315"/>
      <c r="E25" s="316"/>
      <c r="F25" s="34"/>
      <c r="G25" s="337"/>
      <c r="H25" s="312"/>
      <c r="I25" s="313"/>
      <c r="J25" s="34"/>
    </row>
    <row r="26" spans="1:10" x14ac:dyDescent="0.25">
      <c r="A26" s="321"/>
      <c r="B26" s="31">
        <f>+Total!Y2</f>
        <v>0</v>
      </c>
      <c r="C26" s="314" t="str">
        <f>IF(B26=0,"",Textes!A94)</f>
        <v/>
      </c>
      <c r="D26" s="315"/>
      <c r="E26" s="316"/>
      <c r="F26" s="34"/>
      <c r="G26" s="337"/>
      <c r="H26" s="312" t="str">
        <f>IF(B48=0,"",Textes!A46)</f>
        <v/>
      </c>
      <c r="I26" s="313"/>
      <c r="J26" s="34"/>
    </row>
    <row r="27" spans="1:10" ht="15.75" thickBot="1" x14ac:dyDescent="0.3">
      <c r="A27" s="322"/>
      <c r="B27" s="31">
        <f>+Total!Z2</f>
        <v>0</v>
      </c>
      <c r="C27" s="314" t="str">
        <f>IF(B27=0,"",Textes!A95)</f>
        <v/>
      </c>
      <c r="D27" s="315"/>
      <c r="E27" s="316"/>
      <c r="F27" s="34"/>
      <c r="G27" s="338"/>
      <c r="H27" s="310" t="str">
        <f>IF(B49=0,"",Textes!A47)</f>
        <v/>
      </c>
      <c r="I27" s="311"/>
      <c r="J27" s="34"/>
    </row>
    <row r="28" spans="1:10" ht="15.75" thickTop="1" x14ac:dyDescent="0.25">
      <c r="A28" s="34">
        <f>+Total!AW2</f>
        <v>0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s="163" customFormat="1" ht="9.7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x14ac:dyDescent="0.25">
      <c r="A30" s="34" t="str">
        <f>+Description!A42</f>
        <v>Station de protection des plantes, avril 2024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40" spans="1:10" x14ac:dyDescent="0.25">
      <c r="B40" s="18">
        <f>+Total!AA2</f>
        <v>1</v>
      </c>
    </row>
    <row r="41" spans="1:10" x14ac:dyDescent="0.25">
      <c r="B41" s="18">
        <f>+Total!AB2</f>
        <v>0</v>
      </c>
    </row>
    <row r="42" spans="1:10" x14ac:dyDescent="0.25">
      <c r="B42" s="18">
        <f>+Total!AC2</f>
        <v>0</v>
      </c>
    </row>
    <row r="43" spans="1:10" x14ac:dyDescent="0.25">
      <c r="B43" s="18">
        <f>+Total!AD2</f>
        <v>0</v>
      </c>
    </row>
    <row r="44" spans="1:10" x14ac:dyDescent="0.25">
      <c r="B44" s="18">
        <f>+Total!AE2</f>
        <v>0</v>
      </c>
    </row>
    <row r="45" spans="1:10" x14ac:dyDescent="0.25">
      <c r="B45" s="18">
        <f>+Total!AF2</f>
        <v>0</v>
      </c>
    </row>
    <row r="46" spans="1:10" x14ac:dyDescent="0.25">
      <c r="B46" s="18">
        <f>+Total!AG2</f>
        <v>0</v>
      </c>
    </row>
    <row r="47" spans="1:10" x14ac:dyDescent="0.25">
      <c r="B47" s="18">
        <f>+Total!AJ2</f>
        <v>0</v>
      </c>
    </row>
    <row r="48" spans="1:10" x14ac:dyDescent="0.25">
      <c r="B48" s="18">
        <f>+Total!AK2</f>
        <v>0</v>
      </c>
    </row>
    <row r="49" spans="2:2" x14ac:dyDescent="0.25">
      <c r="B49" s="18">
        <f>+Total!AL2</f>
        <v>0</v>
      </c>
    </row>
  </sheetData>
  <sheetProtection algorithmName="SHA-512" hashValue="XARQLA/odlv45X8RmO0udMPQZew8nDg6514tU1DJqQRycFJ4qz8rhO0F/CbCqw45YPWUXndZ/YD9nrNKXFl+qg==" saltValue="EcafUgDMF3Cv/9XcmMbYuA==" spinCount="100000" sheet="1" objects="1" scenarios="1"/>
  <mergeCells count="33">
    <mergeCell ref="A16:A19"/>
    <mergeCell ref="A20:A23"/>
    <mergeCell ref="C17:E17"/>
    <mergeCell ref="C20:E20"/>
    <mergeCell ref="C16:E16"/>
    <mergeCell ref="C18:E18"/>
    <mergeCell ref="A24:A27"/>
    <mergeCell ref="C27:E27"/>
    <mergeCell ref="A1:I1"/>
    <mergeCell ref="A6:A8"/>
    <mergeCell ref="C19:E19"/>
    <mergeCell ref="C23:E23"/>
    <mergeCell ref="A10:I10"/>
    <mergeCell ref="H16:I16"/>
    <mergeCell ref="H17:I17"/>
    <mergeCell ref="H18:I18"/>
    <mergeCell ref="H19:I19"/>
    <mergeCell ref="A11:A14"/>
    <mergeCell ref="D11:I11"/>
    <mergeCell ref="D12:I12"/>
    <mergeCell ref="D14:I14"/>
    <mergeCell ref="G16:G27"/>
    <mergeCell ref="D4:G4"/>
    <mergeCell ref="H27:I27"/>
    <mergeCell ref="H23:I23"/>
    <mergeCell ref="H20:I20"/>
    <mergeCell ref="H24:I24"/>
    <mergeCell ref="H25:I25"/>
    <mergeCell ref="H26:I26"/>
    <mergeCell ref="C24:E24"/>
    <mergeCell ref="C25:E25"/>
    <mergeCell ref="C26:E26"/>
    <mergeCell ref="D13:I13"/>
  </mergeCells>
  <conditionalFormatting sqref="C11">
    <cfRule type="containsBlanks" dxfId="2320" priority="39">
      <formula>LEN(TRIM(C11))=0</formula>
    </cfRule>
  </conditionalFormatting>
  <conditionalFormatting sqref="C19:E19">
    <cfRule type="containsBlanks" dxfId="2319" priority="45">
      <formula>LEN(TRIM(C19))=0</formula>
    </cfRule>
  </conditionalFormatting>
  <conditionalFormatting sqref="C24:E24">
    <cfRule type="containsBlanks" dxfId="2318" priority="46">
      <formula>LEN(TRIM(C24))=0</formula>
    </cfRule>
  </conditionalFormatting>
  <conditionalFormatting sqref="C25:E25">
    <cfRule type="containsBlanks" dxfId="2317" priority="47">
      <formula>LEN(TRIM(C25))=0</formula>
    </cfRule>
  </conditionalFormatting>
  <conditionalFormatting sqref="C26:E26">
    <cfRule type="containsBlanks" dxfId="2316" priority="48">
      <formula>LEN(TRIM(C26))=0</formula>
    </cfRule>
  </conditionalFormatting>
  <conditionalFormatting sqref="C27:E27">
    <cfRule type="containsBlanks" dxfId="2315" priority="26">
      <formula>LEN(TRIM(C27))=0</formula>
    </cfRule>
  </conditionalFormatting>
  <conditionalFormatting sqref="C12">
    <cfRule type="containsBlanks" dxfId="2314" priority="21">
      <formula>LEN(TRIM(C12))=0</formula>
    </cfRule>
    <cfRule type="cellIs" dxfId="2313" priority="22" operator="equal">
      <formula>"4 pt"</formula>
    </cfRule>
    <cfRule type="cellIs" dxfId="2312" priority="23" operator="equal">
      <formula>"3 pt"</formula>
    </cfRule>
    <cfRule type="cellIs" dxfId="2311" priority="24" operator="equal">
      <formula>"2 pt"</formula>
    </cfRule>
    <cfRule type="cellIs" dxfId="2310" priority="25" operator="equal">
      <formula>"1 pt"</formula>
    </cfRule>
  </conditionalFormatting>
  <conditionalFormatting sqref="D21:D22">
    <cfRule type="cellIs" dxfId="2309" priority="16" operator="greaterThan">
      <formula>1000</formula>
    </cfRule>
    <cfRule type="cellIs" dxfId="2308" priority="17" operator="between">
      <formula>10</formula>
      <formula>1000</formula>
    </cfRule>
    <cfRule type="cellIs" dxfId="2307" priority="18" operator="lessThan">
      <formula>10</formula>
    </cfRule>
  </conditionalFormatting>
  <conditionalFormatting sqref="C14">
    <cfRule type="containsBlanks" dxfId="2306" priority="8">
      <formula>LEN(TRIM(C14))=0</formula>
    </cfRule>
    <cfRule type="cellIs" dxfId="2305" priority="9" operator="equal">
      <formula>100</formula>
    </cfRule>
    <cfRule type="cellIs" dxfId="2304" priority="10" operator="equal">
      <formula>50</formula>
    </cfRule>
    <cfRule type="cellIs" dxfId="2303" priority="11" operator="equal">
      <formula>20</formula>
    </cfRule>
    <cfRule type="cellIs" dxfId="2302" priority="12" operator="equal">
      <formula>6</formula>
    </cfRule>
  </conditionalFormatting>
  <conditionalFormatting sqref="C13">
    <cfRule type="containsBlanks" dxfId="2301" priority="3">
      <formula>LEN(TRIM(C13))=0</formula>
    </cfRule>
    <cfRule type="cellIs" dxfId="2300" priority="4" operator="equal">
      <formula>100</formula>
    </cfRule>
    <cfRule type="cellIs" dxfId="2299" priority="5" operator="equal">
      <formula>50</formula>
    </cfRule>
    <cfRule type="cellIs" dxfId="2298" priority="6" operator="equal">
      <formula>20</formula>
    </cfRule>
    <cfRule type="cellIs" dxfId="2297" priority="7" operator="equal">
      <formula>6</formula>
    </cfRule>
  </conditionalFormatting>
  <conditionalFormatting sqref="A28">
    <cfRule type="cellIs" dxfId="2296" priority="2" operator="equal">
      <formula>0</formula>
    </cfRule>
  </conditionalFormatting>
  <conditionalFormatting sqref="C5">
    <cfRule type="containsText" dxfId="2295" priority="1" operator="containsText" text="#N/A">
      <formula>NOT(ISERROR(SEARCH("#N/A",C5)))</formula>
    </cfRule>
  </conditionalFormatting>
  <pageMargins left="0.39370078740157483" right="0.23622047244094491" top="0.74803149606299213" bottom="0.74803149606299213" header="0.31496062992125984" footer="0.31496062992125984"/>
  <pageSetup paperSize="9" orientation="portrait" r:id="rId1"/>
  <headerFooter>
    <oddFooter>&amp;LSPP-DGAV&amp;Rwww.vd.ch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A54DEE04-13DB-416B-BCB3-8DF7E6E6E122}">
            <xm:f>NOT(ISERROR(SEARCH(Textes!$A$81,C16)))</xm:f>
            <xm:f>Textes!$A$81</xm:f>
            <x14:dxf>
              <fill>
                <patternFill>
                  <bgColor rgb="FF92D05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ontainsText" priority="34" operator="containsText" id="{68D231A2-E82C-40E7-8C84-4ACCBE353B19}">
            <xm:f>NOT(ISERROR(SEARCH(Textes!$A$83,C17)))</xm:f>
            <xm:f>Textes!$A$83</xm:f>
            <x14:dxf>
              <fill>
                <patternFill>
                  <bgColor rgb="FF92D05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33" operator="containsText" id="{ECFD09E8-EA1F-4CC6-ACE6-0DE08D5F92AC}">
            <xm:f>NOT(ISERROR(SEARCH(Textes!$A$85,C18)))</xm:f>
            <xm:f>Textes!$A$85</xm:f>
            <x14:dxf>
              <fill>
                <patternFill>
                  <bgColor rgb="FF92D050"/>
                </patternFill>
              </fill>
            </x14:dxf>
          </x14:cfRule>
          <xm:sqref>C18:E18</xm:sqref>
        </x14:conditionalFormatting>
        <x14:conditionalFormatting xmlns:xm="http://schemas.microsoft.com/office/excel/2006/main">
          <x14:cfRule type="containsText" priority="30" operator="containsText" id="{2C49B95C-19F7-4D35-8ACE-841823CA2BA7}">
            <xm:f>NOT(ISERROR(SEARCH(Textes!$A$90,C23)))</xm:f>
            <xm:f>Textes!$A$90</xm:f>
            <x14:dxf>
              <fill>
                <patternFill>
                  <bgColor rgb="FF92D050"/>
                </patternFill>
              </fill>
            </x14:dxf>
          </x14:cfRule>
          <xm:sqref>C23:E23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Total!$B$5:$B$508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11.42578125" defaultRowHeight="14.25" x14ac:dyDescent="0.2"/>
  <cols>
    <col min="1" max="2" width="19.7109375" style="1" customWidth="1"/>
    <col min="3" max="3" width="6.85546875" style="3" customWidth="1"/>
    <col min="4" max="4" width="10.7109375" style="3" customWidth="1"/>
    <col min="5" max="5" width="7.140625" style="3" customWidth="1"/>
    <col min="6" max="6" width="7.28515625" style="3" customWidth="1"/>
    <col min="7" max="7" width="6.85546875" style="3" customWidth="1"/>
    <col min="8" max="8" width="6.42578125" style="3" customWidth="1"/>
    <col min="9" max="9" width="9.5703125" style="3" customWidth="1"/>
    <col min="10" max="10" width="11.42578125" style="3" customWidth="1"/>
    <col min="11" max="11" width="9.5703125" style="3" customWidth="1"/>
    <col min="12" max="13" width="5.85546875" style="3" customWidth="1"/>
    <col min="14" max="14" width="4.7109375" style="3" customWidth="1"/>
    <col min="15" max="15" width="19" style="3" customWidth="1"/>
    <col min="16" max="16" width="7.85546875" style="3" customWidth="1"/>
    <col min="17" max="18" width="9.28515625" style="3" customWidth="1"/>
    <col min="19" max="20" width="4.7109375" style="3" customWidth="1"/>
    <col min="21" max="21" width="5.42578125" style="3" hidden="1" customWidth="1"/>
    <col min="22" max="24" width="5.42578125" style="3" customWidth="1"/>
    <col min="25" max="35" width="5" style="3" customWidth="1"/>
    <col min="36" max="36" width="5" style="1" customWidth="1"/>
    <col min="37" max="37" width="3.5703125" style="1" bestFit="1" customWidth="1"/>
    <col min="38" max="38" width="12.5703125" style="1" customWidth="1"/>
    <col min="39" max="39" width="21.28515625" style="1" customWidth="1"/>
    <col min="40" max="40" width="19.42578125" style="1" customWidth="1"/>
    <col min="41" max="41" width="18.7109375" style="1" customWidth="1"/>
    <col min="42" max="42" width="14.5703125" style="1" customWidth="1"/>
    <col min="43" max="16384" width="11.42578125" style="1"/>
  </cols>
  <sheetData>
    <row r="1" spans="1:47" customFormat="1" ht="15" x14ac:dyDescent="0.25">
      <c r="A1" s="24" t="str">
        <f>+Textes!A3</f>
        <v>Retour</v>
      </c>
      <c r="B1" s="24"/>
      <c r="C1" s="10"/>
      <c r="E1" s="342" t="str">
        <f>+Textes!A4</f>
        <v>Groupes de résistance RAC</v>
      </c>
      <c r="F1" s="342"/>
      <c r="G1" s="342"/>
      <c r="H1" s="346" t="str">
        <f>+Textes!A5</f>
        <v>Distance en m sans traitement</v>
      </c>
      <c r="I1" s="347"/>
      <c r="J1" s="348"/>
      <c r="K1" s="170"/>
      <c r="L1" s="344" t="str">
        <f>+Textes!A6</f>
        <v>Réduction d'utilisation</v>
      </c>
      <c r="M1" s="343"/>
      <c r="N1" s="343"/>
      <c r="O1" s="343"/>
      <c r="P1" s="345"/>
      <c r="Q1" s="346" t="str">
        <f>+Textes!A7</f>
        <v>Risques</v>
      </c>
      <c r="R1" s="347"/>
      <c r="S1" s="347"/>
      <c r="T1" s="347"/>
      <c r="U1" s="347"/>
      <c r="V1" s="342" t="str">
        <f>+Textes!A8</f>
        <v>Protection utilisateur</v>
      </c>
      <c r="W1" s="342"/>
      <c r="X1" s="342"/>
      <c r="Y1" s="342"/>
      <c r="Z1" s="343" t="str">
        <f>+Textes!A9</f>
        <v>Utilisation en PER</v>
      </c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</row>
    <row r="2" spans="1:47" ht="64.5" x14ac:dyDescent="0.2">
      <c r="A2" s="4" t="str">
        <f>+Textes!A10</f>
        <v>Produit</v>
      </c>
      <c r="B2" s="4" t="str">
        <f>+Textes!A11</f>
        <v>No homologation</v>
      </c>
      <c r="C2" s="11" t="str">
        <f>+Textes!A12</f>
        <v>Type</v>
      </c>
      <c r="D2" s="7" t="str">
        <f>+Textes!A13</f>
        <v>Firme</v>
      </c>
      <c r="E2" s="11" t="str">
        <f>+Textes!A14</f>
        <v>SA 1</v>
      </c>
      <c r="F2" s="11" t="str">
        <f>+Textes!A15</f>
        <v>SA 2</v>
      </c>
      <c r="G2" s="11" t="str">
        <f>+Textes!A16</f>
        <v>SA3</v>
      </c>
      <c r="H2" s="11" t="str">
        <f>+Textes!A19</f>
        <v>Eau surface</v>
      </c>
      <c r="I2" s="11" t="str">
        <f>+Textes!A21</f>
        <v>Biotopes</v>
      </c>
      <c r="J2" s="11" t="str">
        <f>+Textes!A22</f>
        <v>Public</v>
      </c>
      <c r="K2" s="11" t="str">
        <f>+Textes!A20</f>
        <v>Ruissellement</v>
      </c>
      <c r="L2" s="11" t="str">
        <f>+Textes!A23</f>
        <v>S2</v>
      </c>
      <c r="M2" s="11" t="s">
        <v>957</v>
      </c>
      <c r="N2" s="11" t="str">
        <f>+Textes!A24</f>
        <v>K</v>
      </c>
      <c r="O2" s="11" t="str">
        <f>+Textes!A26</f>
        <v>Fréquence</v>
      </c>
      <c r="P2" s="11" t="str">
        <f>+Textes!A27</f>
        <v>PAP</v>
      </c>
      <c r="Q2" s="151" t="str">
        <f>+Textes!A89</f>
        <v>Org. aquatiques</v>
      </c>
      <c r="R2" s="151" t="str">
        <f>+Textes!A215</f>
        <v>Org. terrestres</v>
      </c>
      <c r="S2" s="91" t="str">
        <f>+Textes!A29</f>
        <v>Poisson</v>
      </c>
      <c r="T2" s="91" t="str">
        <f>+Textes!A30</f>
        <v>Abeille</v>
      </c>
      <c r="U2" s="91" t="str">
        <f>+H2</f>
        <v>Eau surface</v>
      </c>
      <c r="V2" s="91" t="str">
        <f>+Textes!A31</f>
        <v>Visière</v>
      </c>
      <c r="W2" s="91" t="str">
        <f>+Textes!A32</f>
        <v>Masque</v>
      </c>
      <c r="X2" s="91" t="str">
        <f>+Textes!A33</f>
        <v>Application</v>
      </c>
      <c r="Y2" s="91" t="str">
        <f>+Textes!A34</f>
        <v>Réentrée</v>
      </c>
      <c r="Z2" s="91" t="str">
        <f>+Textes!A36</f>
        <v>Céréales</v>
      </c>
      <c r="AA2" s="91" t="str">
        <f>+Textes!A37</f>
        <v>Betteraves</v>
      </c>
      <c r="AB2" s="91" t="str">
        <f>+Textes!A38</f>
        <v>Pdt</v>
      </c>
      <c r="AC2" s="91" t="str">
        <f>+Textes!A39</f>
        <v>Maïs</v>
      </c>
      <c r="AD2" s="91" t="str">
        <f>+Textes!A40</f>
        <v>Colza</v>
      </c>
      <c r="AE2" s="91" t="str">
        <f>+Textes!A41</f>
        <v>Tournesol</v>
      </c>
      <c r="AF2" s="91" t="str">
        <f>+Textes!A42</f>
        <v>Pois</v>
      </c>
      <c r="AG2" s="91" t="str">
        <f>+Textes!A43</f>
        <v>Soja</v>
      </c>
      <c r="AH2" s="91" t="str">
        <f>+Textes!A44</f>
        <v>Féverole</v>
      </c>
      <c r="AI2" s="91" t="str">
        <f>+Textes!A45</f>
        <v>Lupin</v>
      </c>
      <c r="AJ2" s="91" t="str">
        <f>+Textes!A46</f>
        <v>Tabac</v>
      </c>
      <c r="AK2" s="91" t="str">
        <f>+Textes!A47</f>
        <v>Prairie</v>
      </c>
      <c r="AL2" s="4" t="str">
        <f>+Textes!A48</f>
        <v>Etat</v>
      </c>
      <c r="AM2" s="4" t="str">
        <f>+Textes!A67</f>
        <v>Délai utilisation</v>
      </c>
      <c r="AN2" s="4" t="str">
        <f>+Textes!A14</f>
        <v>SA 1</v>
      </c>
      <c r="AO2" s="4" t="str">
        <f>+Textes!A15</f>
        <v>SA 2</v>
      </c>
      <c r="AP2" s="4" t="str">
        <f>+Textes!A16</f>
        <v>SA3</v>
      </c>
      <c r="AQ2" s="4" t="str">
        <f>+Textes!A17</f>
        <v>SA4</v>
      </c>
      <c r="AR2" s="11" t="str">
        <f>Textes!A18&amp;Textes!A14</f>
        <v>g/kg SA 1</v>
      </c>
      <c r="AS2" s="11" t="str">
        <f>+Textes!A18&amp;Textes!A15</f>
        <v>g/kg SA 2</v>
      </c>
      <c r="AT2" s="11" t="str">
        <f>+Textes!A18&amp;Textes!A16</f>
        <v>g/kg SA3</v>
      </c>
      <c r="AU2" s="11" t="str">
        <f>+Textes!A18&amp;Textes!A17</f>
        <v>g/kg SA4</v>
      </c>
    </row>
    <row r="3" spans="1:47" ht="13.5" customHeight="1" x14ac:dyDescent="0.2">
      <c r="A3" s="27"/>
      <c r="B3" s="27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52"/>
      <c r="R3" s="152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15.75" x14ac:dyDescent="0.25">
      <c r="A4" s="92" t="s">
        <v>12</v>
      </c>
      <c r="B4" s="6" t="s">
        <v>1038</v>
      </c>
      <c r="C4" s="7" t="s">
        <v>3</v>
      </c>
      <c r="D4" s="7" t="s">
        <v>13</v>
      </c>
      <c r="E4" s="9">
        <v>3</v>
      </c>
      <c r="F4" s="9">
        <v>7</v>
      </c>
      <c r="G4" s="9"/>
      <c r="H4" s="7"/>
      <c r="I4" s="7"/>
      <c r="J4" s="7"/>
      <c r="K4" s="7" t="s">
        <v>14</v>
      </c>
      <c r="L4" s="122"/>
      <c r="M4" s="122"/>
      <c r="N4" s="122"/>
      <c r="O4" s="96"/>
      <c r="P4" s="14">
        <v>0.3</v>
      </c>
      <c r="Q4" s="93">
        <v>2</v>
      </c>
      <c r="R4" s="93">
        <v>5</v>
      </c>
      <c r="S4" s="122" t="s">
        <v>1518</v>
      </c>
      <c r="T4" s="7"/>
      <c r="U4" s="7"/>
      <c r="V4" s="122" t="s">
        <v>1518</v>
      </c>
      <c r="W4" s="122" t="s">
        <v>1518</v>
      </c>
      <c r="X4" s="122"/>
      <c r="Y4" s="7"/>
      <c r="Z4" s="7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6">
        <v>45295</v>
      </c>
      <c r="AM4" s="4"/>
      <c r="AN4" s="4" t="s">
        <v>15</v>
      </c>
      <c r="AO4" s="4" t="s">
        <v>16</v>
      </c>
      <c r="AP4" s="4"/>
      <c r="AQ4" s="4"/>
      <c r="AR4" s="11">
        <v>150</v>
      </c>
      <c r="AS4" s="11">
        <v>75</v>
      </c>
      <c r="AT4" s="11"/>
      <c r="AU4" s="11"/>
    </row>
    <row r="5" spans="1:47" ht="15.75" x14ac:dyDescent="0.25">
      <c r="A5" s="113" t="s">
        <v>1657</v>
      </c>
      <c r="B5" s="6" t="s">
        <v>1254</v>
      </c>
      <c r="C5" s="7" t="s">
        <v>3</v>
      </c>
      <c r="D5" s="7" t="s">
        <v>19</v>
      </c>
      <c r="E5" s="9">
        <v>3</v>
      </c>
      <c r="F5" s="9">
        <v>7</v>
      </c>
      <c r="G5" s="9"/>
      <c r="H5" s="7">
        <v>6</v>
      </c>
      <c r="I5" s="7"/>
      <c r="J5" s="7"/>
      <c r="K5" s="7" t="s">
        <v>14</v>
      </c>
      <c r="L5" s="122"/>
      <c r="M5" s="122"/>
      <c r="N5" s="122"/>
      <c r="O5" s="96"/>
      <c r="P5" s="14">
        <v>0.5</v>
      </c>
      <c r="Q5" s="93">
        <v>3.3456874878545255</v>
      </c>
      <c r="R5" s="93">
        <v>7.3359149029982298</v>
      </c>
      <c r="S5" s="122" t="s">
        <v>1518</v>
      </c>
      <c r="T5" s="7"/>
      <c r="U5" s="7"/>
      <c r="V5" s="122" t="s">
        <v>1518</v>
      </c>
      <c r="W5" s="122"/>
      <c r="X5" s="122" t="s">
        <v>1518</v>
      </c>
      <c r="Y5" s="7"/>
      <c r="Z5" s="7">
        <v>1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6">
        <v>45295</v>
      </c>
      <c r="AM5" s="16"/>
      <c r="AN5" s="6" t="s">
        <v>1021</v>
      </c>
      <c r="AO5" s="6" t="s">
        <v>1004</v>
      </c>
      <c r="AP5" s="4"/>
      <c r="AQ5" s="4"/>
      <c r="AR5" s="11">
        <v>45</v>
      </c>
      <c r="AS5" s="11">
        <v>62.5</v>
      </c>
      <c r="AT5" s="11"/>
      <c r="AU5" s="11"/>
    </row>
    <row r="6" spans="1:47" ht="15.75" x14ac:dyDescent="0.25">
      <c r="A6" s="113" t="s">
        <v>23</v>
      </c>
      <c r="B6" s="6" t="s">
        <v>1046</v>
      </c>
      <c r="C6" s="7" t="s">
        <v>3</v>
      </c>
      <c r="D6" s="7" t="s">
        <v>24</v>
      </c>
      <c r="E6" s="9" t="s">
        <v>25</v>
      </c>
      <c r="F6" s="9" t="s">
        <v>25</v>
      </c>
      <c r="G6" s="9"/>
      <c r="H6" s="7"/>
      <c r="I6" s="7"/>
      <c r="J6" s="7"/>
      <c r="K6" s="7"/>
      <c r="L6" s="122"/>
      <c r="M6" s="122"/>
      <c r="N6" s="122"/>
      <c r="O6" s="96"/>
      <c r="P6" s="14">
        <v>0.5</v>
      </c>
      <c r="Q6" s="93">
        <v>63.68891475263564</v>
      </c>
      <c r="R6" s="93">
        <v>1.0585899666470366</v>
      </c>
      <c r="S6" s="122" t="s">
        <v>1518</v>
      </c>
      <c r="T6" s="7"/>
      <c r="U6" s="7"/>
      <c r="V6" s="122"/>
      <c r="W6" s="122" t="s">
        <v>1518</v>
      </c>
      <c r="X6" s="122" t="s">
        <v>1518</v>
      </c>
      <c r="Y6" s="7"/>
      <c r="Z6" s="7"/>
      <c r="AA6" s="7">
        <v>1</v>
      </c>
      <c r="AB6" s="7">
        <v>1</v>
      </c>
      <c r="AC6" s="7"/>
      <c r="AD6" s="7"/>
      <c r="AE6" s="7"/>
      <c r="AF6" s="7"/>
      <c r="AG6" s="7"/>
      <c r="AH6" s="7"/>
      <c r="AI6" s="7"/>
      <c r="AJ6" s="7"/>
      <c r="AK6" s="7"/>
      <c r="AL6" s="16">
        <v>45295</v>
      </c>
      <c r="AM6" s="4"/>
      <c r="AN6" s="4" t="s">
        <v>49</v>
      </c>
      <c r="AO6" s="4" t="s">
        <v>69</v>
      </c>
      <c r="AP6" s="4"/>
      <c r="AQ6" s="4"/>
      <c r="AR6" s="11">
        <v>245</v>
      </c>
      <c r="AS6" s="11">
        <v>244</v>
      </c>
      <c r="AT6" s="11"/>
      <c r="AU6" s="11"/>
    </row>
    <row r="7" spans="1:47" ht="28.5" x14ac:dyDescent="0.25">
      <c r="A7" s="114" t="s">
        <v>27</v>
      </c>
      <c r="B7" s="6" t="s">
        <v>1450</v>
      </c>
      <c r="C7" s="8" t="s">
        <v>3</v>
      </c>
      <c r="D7" s="9" t="s">
        <v>1530</v>
      </c>
      <c r="E7" s="9">
        <v>11</v>
      </c>
      <c r="F7" s="9"/>
      <c r="G7" s="9"/>
      <c r="H7" s="7"/>
      <c r="I7" s="7"/>
      <c r="J7" s="7"/>
      <c r="K7" s="7"/>
      <c r="L7" s="122" t="s">
        <v>1518</v>
      </c>
      <c r="M7" s="122" t="s">
        <v>1518</v>
      </c>
      <c r="N7" s="122"/>
      <c r="O7" s="96"/>
      <c r="P7" s="7"/>
      <c r="Q7" s="93">
        <v>2.5557162218723408</v>
      </c>
      <c r="R7" s="93">
        <v>2.7822499999999965E-2</v>
      </c>
      <c r="S7" s="122" t="s">
        <v>1518</v>
      </c>
      <c r="T7" s="7"/>
      <c r="U7" s="7"/>
      <c r="V7" s="122"/>
      <c r="W7" s="122"/>
      <c r="X7" s="122"/>
      <c r="Y7" s="7"/>
      <c r="Z7" s="7">
        <v>1</v>
      </c>
      <c r="AA7" s="7"/>
      <c r="AB7" s="7">
        <v>1</v>
      </c>
      <c r="AC7" s="7"/>
      <c r="AD7" s="7">
        <v>1</v>
      </c>
      <c r="AE7" s="7"/>
      <c r="AF7" s="7">
        <v>1</v>
      </c>
      <c r="AG7" s="7"/>
      <c r="AH7" s="7"/>
      <c r="AI7" s="7">
        <v>1</v>
      </c>
      <c r="AJ7" s="7">
        <v>1</v>
      </c>
      <c r="AK7" s="7"/>
      <c r="AL7" s="16">
        <v>45295</v>
      </c>
      <c r="AM7" s="4"/>
      <c r="AN7" s="6" t="s">
        <v>996</v>
      </c>
      <c r="AO7" s="4"/>
      <c r="AP7" s="4"/>
      <c r="AQ7" s="4"/>
      <c r="AR7" s="11">
        <v>250</v>
      </c>
      <c r="AS7" s="11"/>
      <c r="AT7" s="11"/>
      <c r="AU7" s="11"/>
    </row>
    <row r="8" spans="1:47" ht="15.75" x14ac:dyDescent="0.25">
      <c r="A8" s="114" t="s">
        <v>28</v>
      </c>
      <c r="B8" s="6" t="s">
        <v>1053</v>
      </c>
      <c r="C8" s="8" t="s">
        <v>3</v>
      </c>
      <c r="D8" s="8" t="s">
        <v>29</v>
      </c>
      <c r="E8" s="9">
        <v>27</v>
      </c>
      <c r="F8" s="9">
        <v>40</v>
      </c>
      <c r="G8" s="9"/>
      <c r="H8" s="7"/>
      <c r="I8" s="7"/>
      <c r="J8" s="7"/>
      <c r="K8" s="7"/>
      <c r="L8" s="122"/>
      <c r="M8" s="122"/>
      <c r="N8" s="122"/>
      <c r="O8" s="96"/>
      <c r="P8" s="7"/>
      <c r="Q8" s="93">
        <v>0.38013579581153012</v>
      </c>
      <c r="R8" s="93">
        <v>4.7768202326732681</v>
      </c>
      <c r="S8" s="122" t="s">
        <v>1518</v>
      </c>
      <c r="T8" s="7"/>
      <c r="U8" s="7"/>
      <c r="V8" s="122"/>
      <c r="W8" s="122"/>
      <c r="X8" s="122"/>
      <c r="Y8" s="7"/>
      <c r="Z8" s="7"/>
      <c r="AA8" s="7"/>
      <c r="AB8" s="7">
        <v>1</v>
      </c>
      <c r="AC8" s="7"/>
      <c r="AD8" s="7"/>
      <c r="AE8" s="7"/>
      <c r="AF8" s="7"/>
      <c r="AG8" s="7"/>
      <c r="AH8" s="7"/>
      <c r="AI8" s="7"/>
      <c r="AJ8" s="7"/>
      <c r="AK8" s="12"/>
      <c r="AL8" s="16">
        <v>45295</v>
      </c>
      <c r="AM8" s="5"/>
      <c r="AN8" s="4" t="s">
        <v>30</v>
      </c>
      <c r="AO8" s="6" t="s">
        <v>97</v>
      </c>
      <c r="AP8" s="4"/>
      <c r="AQ8" s="4"/>
      <c r="AR8" s="11">
        <v>180</v>
      </c>
      <c r="AS8" s="11">
        <v>250</v>
      </c>
      <c r="AT8" s="11"/>
      <c r="AU8" s="11"/>
    </row>
    <row r="9" spans="1:47" ht="15.75" x14ac:dyDescent="0.25">
      <c r="A9" s="114" t="s">
        <v>32</v>
      </c>
      <c r="B9" s="6" t="s">
        <v>1063</v>
      </c>
      <c r="C9" s="9" t="s">
        <v>3</v>
      </c>
      <c r="D9" s="8" t="s">
        <v>29</v>
      </c>
      <c r="E9" s="7">
        <v>5</v>
      </c>
      <c r="F9" s="7"/>
      <c r="G9" s="7"/>
      <c r="H9" s="7">
        <v>50</v>
      </c>
      <c r="I9" s="7"/>
      <c r="J9" s="7"/>
      <c r="K9" s="7" t="s">
        <v>14</v>
      </c>
      <c r="L9" s="122"/>
      <c r="M9" s="122"/>
      <c r="N9" s="122"/>
      <c r="O9" s="96"/>
      <c r="P9" s="7"/>
      <c r="Q9" s="93">
        <v>53.554505210370507</v>
      </c>
      <c r="R9" s="93">
        <v>0.27217663043478268</v>
      </c>
      <c r="S9" s="122" t="s">
        <v>1518</v>
      </c>
      <c r="T9" s="7"/>
      <c r="U9" s="7"/>
      <c r="V9" s="122"/>
      <c r="W9" s="122" t="s">
        <v>1518</v>
      </c>
      <c r="X9" s="122" t="s">
        <v>1518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6">
        <v>45295</v>
      </c>
      <c r="AM9" s="4"/>
      <c r="AN9" s="6" t="s">
        <v>1013</v>
      </c>
      <c r="AO9" s="4"/>
      <c r="AP9" s="4"/>
      <c r="AQ9" s="4"/>
      <c r="AR9" s="11">
        <v>750</v>
      </c>
      <c r="AS9" s="11"/>
      <c r="AT9" s="11"/>
      <c r="AU9" s="11"/>
    </row>
    <row r="10" spans="1:47" ht="15.75" x14ac:dyDescent="0.25">
      <c r="A10" s="114" t="s">
        <v>33</v>
      </c>
      <c r="B10" s="6" t="s">
        <v>1075</v>
      </c>
      <c r="C10" s="9" t="s">
        <v>3</v>
      </c>
      <c r="D10" s="8" t="s">
        <v>21</v>
      </c>
      <c r="E10" s="9">
        <v>3</v>
      </c>
      <c r="F10" s="9">
        <v>7</v>
      </c>
      <c r="G10" s="9"/>
      <c r="H10" s="7"/>
      <c r="I10" s="7"/>
      <c r="J10" s="7"/>
      <c r="K10" s="7" t="s">
        <v>14</v>
      </c>
      <c r="L10" s="122"/>
      <c r="M10" s="122"/>
      <c r="N10" s="122"/>
      <c r="O10" s="96"/>
      <c r="P10" s="14">
        <v>0.5</v>
      </c>
      <c r="Q10" s="93">
        <v>2.0055826710278026</v>
      </c>
      <c r="R10" s="93">
        <v>4.6370833333333321</v>
      </c>
      <c r="S10" s="122" t="s">
        <v>1518</v>
      </c>
      <c r="T10" s="7"/>
      <c r="U10" s="7"/>
      <c r="V10" s="122" t="s">
        <v>1518</v>
      </c>
      <c r="W10" s="122" t="s">
        <v>1518</v>
      </c>
      <c r="X10" s="122"/>
      <c r="Y10" s="7"/>
      <c r="Z10" s="7">
        <v>1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6">
        <v>45295</v>
      </c>
      <c r="AM10" s="4"/>
      <c r="AN10" s="11" t="s">
        <v>15</v>
      </c>
      <c r="AO10" s="11" t="s">
        <v>16</v>
      </c>
      <c r="AP10" s="4"/>
      <c r="AQ10" s="4"/>
      <c r="AR10" s="11">
        <v>150</v>
      </c>
      <c r="AS10" s="11">
        <v>75</v>
      </c>
      <c r="AT10" s="11"/>
      <c r="AU10" s="11"/>
    </row>
    <row r="11" spans="1:47" ht="15.75" x14ac:dyDescent="0.25">
      <c r="A11" s="112" t="s">
        <v>1622</v>
      </c>
      <c r="B11" s="6" t="s">
        <v>1663</v>
      </c>
      <c r="C11" s="9" t="s">
        <v>3</v>
      </c>
      <c r="D11" s="7" t="s">
        <v>13</v>
      </c>
      <c r="E11" s="9" t="s">
        <v>20</v>
      </c>
      <c r="F11" s="9"/>
      <c r="G11" s="9"/>
      <c r="H11" s="7"/>
      <c r="I11" s="7"/>
      <c r="J11" s="7"/>
      <c r="K11" s="7"/>
      <c r="L11" s="122"/>
      <c r="M11" s="122"/>
      <c r="N11" s="122"/>
      <c r="O11" s="96"/>
      <c r="P11" s="7"/>
      <c r="Q11" s="93">
        <v>64.61058916832306</v>
      </c>
      <c r="R11" s="93">
        <v>14.885923566878985</v>
      </c>
      <c r="S11" s="122" t="s">
        <v>1518</v>
      </c>
      <c r="T11" s="7"/>
      <c r="U11" s="7"/>
      <c r="V11" s="124"/>
      <c r="W11" s="124"/>
      <c r="X11" s="122" t="s">
        <v>1518</v>
      </c>
      <c r="Y11" s="12"/>
      <c r="Z11" s="7"/>
      <c r="AA11" s="7"/>
      <c r="AB11" s="7">
        <v>1</v>
      </c>
      <c r="AC11" s="7"/>
      <c r="AD11" s="7"/>
      <c r="AE11" s="7"/>
      <c r="AF11" s="7"/>
      <c r="AG11" s="7"/>
      <c r="AH11" s="7"/>
      <c r="AI11" s="7"/>
      <c r="AJ11" s="7"/>
      <c r="AK11" s="7"/>
      <c r="AL11" s="16">
        <v>45295</v>
      </c>
      <c r="AM11" s="4"/>
      <c r="AN11" s="6" t="s">
        <v>1332</v>
      </c>
      <c r="AO11" s="4"/>
      <c r="AP11" s="4"/>
      <c r="AQ11" s="4"/>
      <c r="AR11" s="11">
        <v>700</v>
      </c>
      <c r="AS11" s="11"/>
      <c r="AT11" s="11"/>
      <c r="AU11" s="11"/>
    </row>
    <row r="12" spans="1:47" ht="28.5" x14ac:dyDescent="0.25">
      <c r="A12" s="112" t="s">
        <v>35</v>
      </c>
      <c r="B12" s="6" t="s">
        <v>1096</v>
      </c>
      <c r="C12" s="8" t="s">
        <v>3</v>
      </c>
      <c r="D12" s="8" t="s">
        <v>34</v>
      </c>
      <c r="E12" s="8"/>
      <c r="F12" s="8"/>
      <c r="G12" s="8"/>
      <c r="H12" s="7"/>
      <c r="I12" s="7"/>
      <c r="J12" s="7">
        <v>3</v>
      </c>
      <c r="K12" s="7"/>
      <c r="L12" s="122"/>
      <c r="M12" s="122"/>
      <c r="N12" s="122"/>
      <c r="O12" s="96"/>
      <c r="P12" s="7"/>
      <c r="Q12" s="93">
        <v>0.10382449458198129</v>
      </c>
      <c r="R12" s="93">
        <v>5.2167187499999991E-3</v>
      </c>
      <c r="S12" s="122" t="s">
        <v>1518</v>
      </c>
      <c r="T12" s="7"/>
      <c r="U12" s="7"/>
      <c r="V12" s="122" t="s">
        <v>1518</v>
      </c>
      <c r="W12" s="122" t="s">
        <v>1518</v>
      </c>
      <c r="X12" s="122"/>
      <c r="Y12" s="7" t="s">
        <v>7</v>
      </c>
      <c r="Z12" s="7">
        <v>1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6">
        <v>45295</v>
      </c>
      <c r="AM12" s="4"/>
      <c r="AN12" s="6" t="s">
        <v>993</v>
      </c>
      <c r="AO12" s="4"/>
      <c r="AP12" s="4"/>
      <c r="AQ12" s="4"/>
      <c r="AR12" s="11">
        <v>500</v>
      </c>
      <c r="AS12" s="11"/>
      <c r="AT12" s="11"/>
      <c r="AU12" s="11"/>
    </row>
    <row r="13" spans="1:47" ht="15.75" x14ac:dyDescent="0.25">
      <c r="A13" s="112" t="s">
        <v>36</v>
      </c>
      <c r="B13" s="6" t="s">
        <v>1099</v>
      </c>
      <c r="C13" s="9" t="s">
        <v>3</v>
      </c>
      <c r="D13" s="9" t="s">
        <v>13</v>
      </c>
      <c r="E13" s="9">
        <v>3</v>
      </c>
      <c r="F13" s="9"/>
      <c r="G13" s="9"/>
      <c r="H13" s="7"/>
      <c r="I13" s="7"/>
      <c r="J13" s="7"/>
      <c r="K13" s="7" t="s">
        <v>14</v>
      </c>
      <c r="L13" s="122"/>
      <c r="M13" s="122"/>
      <c r="N13" s="122"/>
      <c r="O13" s="96"/>
      <c r="P13" s="14">
        <v>0.3</v>
      </c>
      <c r="Q13" s="93">
        <v>2.0910301679515646</v>
      </c>
      <c r="R13" s="93">
        <v>6.9730576441102894</v>
      </c>
      <c r="S13" s="122" t="s">
        <v>1518</v>
      </c>
      <c r="T13" s="7"/>
      <c r="U13" s="7"/>
      <c r="V13" s="122" t="s">
        <v>1518</v>
      </c>
      <c r="W13" s="122"/>
      <c r="X13" s="122"/>
      <c r="Y13" s="7"/>
      <c r="Z13" s="7">
        <v>1</v>
      </c>
      <c r="AA13" s="7">
        <v>1</v>
      </c>
      <c r="AB13" s="7">
        <v>1</v>
      </c>
      <c r="AC13" s="7"/>
      <c r="AD13" s="7">
        <v>1</v>
      </c>
      <c r="AE13" s="7"/>
      <c r="AF13" s="7"/>
      <c r="AG13" s="7"/>
      <c r="AH13" s="7"/>
      <c r="AI13" s="7"/>
      <c r="AJ13" s="7"/>
      <c r="AK13" s="7"/>
      <c r="AL13" s="16">
        <v>45295</v>
      </c>
      <c r="AM13" s="4"/>
      <c r="AN13" s="6" t="s">
        <v>1014</v>
      </c>
      <c r="AO13" s="4"/>
      <c r="AP13" s="4"/>
      <c r="AQ13" s="4"/>
      <c r="AR13" s="11">
        <v>250</v>
      </c>
      <c r="AS13" s="11"/>
      <c r="AT13" s="11"/>
      <c r="AU13" s="11"/>
    </row>
    <row r="14" spans="1:47" ht="15.75" x14ac:dyDescent="0.25">
      <c r="A14" s="112" t="s">
        <v>1469</v>
      </c>
      <c r="B14" s="6" t="s">
        <v>1101</v>
      </c>
      <c r="C14" s="9" t="s">
        <v>3</v>
      </c>
      <c r="D14" s="8" t="s">
        <v>17</v>
      </c>
      <c r="E14" s="9" t="s">
        <v>25</v>
      </c>
      <c r="F14" s="9"/>
      <c r="G14" s="9"/>
      <c r="H14" s="7"/>
      <c r="I14" s="7"/>
      <c r="J14" s="7"/>
      <c r="K14" s="7"/>
      <c r="L14" s="122"/>
      <c r="M14" s="122"/>
      <c r="N14" s="122"/>
      <c r="O14" s="96"/>
      <c r="P14" s="14">
        <v>0.5</v>
      </c>
      <c r="Q14" s="93">
        <v>41.677817425037638</v>
      </c>
      <c r="R14" s="93">
        <v>0.20128619682243015</v>
      </c>
      <c r="S14" s="122" t="s">
        <v>1518</v>
      </c>
      <c r="T14" s="7"/>
      <c r="U14" s="7"/>
      <c r="V14" s="122"/>
      <c r="W14" s="122"/>
      <c r="X14" s="122" t="s">
        <v>1518</v>
      </c>
      <c r="Y14" s="127" t="s">
        <v>7</v>
      </c>
      <c r="Z14" s="7"/>
      <c r="AA14" s="7">
        <v>1</v>
      </c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16">
        <v>45295</v>
      </c>
      <c r="AM14" s="4"/>
      <c r="AN14" s="6" t="s">
        <v>1470</v>
      </c>
      <c r="AO14" s="4"/>
      <c r="AP14" s="4"/>
      <c r="AQ14" s="4"/>
      <c r="AR14" s="11">
        <v>200</v>
      </c>
      <c r="AS14" s="11"/>
      <c r="AT14" s="11"/>
      <c r="AU14" s="11"/>
    </row>
    <row r="15" spans="1:47" ht="15.75" x14ac:dyDescent="0.25">
      <c r="A15" s="112" t="s">
        <v>1102</v>
      </c>
      <c r="B15" s="6" t="s">
        <v>1103</v>
      </c>
      <c r="C15" s="9" t="s">
        <v>3</v>
      </c>
      <c r="D15" s="8" t="s">
        <v>1536</v>
      </c>
      <c r="E15" s="9" t="s">
        <v>25</v>
      </c>
      <c r="F15" s="9"/>
      <c r="G15" s="9"/>
      <c r="H15" s="7"/>
      <c r="I15" s="7"/>
      <c r="J15" s="7"/>
      <c r="K15" s="7"/>
      <c r="L15" s="122"/>
      <c r="M15" s="122"/>
      <c r="N15" s="122"/>
      <c r="O15" s="96"/>
      <c r="P15" s="14">
        <v>0.5</v>
      </c>
      <c r="Q15" s="93">
        <v>41.677817425037638</v>
      </c>
      <c r="R15" s="93">
        <v>0.20128619682243015</v>
      </c>
      <c r="S15" s="122" t="s">
        <v>1518</v>
      </c>
      <c r="T15" s="7"/>
      <c r="U15" s="7"/>
      <c r="V15" s="122"/>
      <c r="W15" s="122"/>
      <c r="X15" s="122" t="s">
        <v>1518</v>
      </c>
      <c r="Y15" s="127" t="s">
        <v>7</v>
      </c>
      <c r="Z15" s="7"/>
      <c r="AA15" s="7">
        <v>1</v>
      </c>
      <c r="AB15" s="7">
        <v>1</v>
      </c>
      <c r="AC15" s="7"/>
      <c r="AD15" s="7"/>
      <c r="AE15" s="7"/>
      <c r="AF15" s="7"/>
      <c r="AG15" s="7"/>
      <c r="AH15" s="7"/>
      <c r="AI15" s="7"/>
      <c r="AJ15" s="7"/>
      <c r="AK15" s="7"/>
      <c r="AL15" s="16">
        <v>45295</v>
      </c>
      <c r="AM15" s="4"/>
      <c r="AN15" s="6" t="s">
        <v>1470</v>
      </c>
      <c r="AO15" s="4"/>
      <c r="AP15" s="4"/>
      <c r="AQ15" s="4"/>
      <c r="AR15" s="11">
        <v>200</v>
      </c>
      <c r="AS15" s="11"/>
      <c r="AT15" s="11"/>
      <c r="AU15" s="11"/>
    </row>
    <row r="16" spans="1:47" ht="15.75" x14ac:dyDescent="0.25">
      <c r="A16" s="113" t="s">
        <v>1610</v>
      </c>
      <c r="B16" s="6" t="s">
        <v>1611</v>
      </c>
      <c r="C16" s="7" t="s">
        <v>3</v>
      </c>
      <c r="D16" s="7" t="s">
        <v>26</v>
      </c>
      <c r="E16" s="7">
        <v>3</v>
      </c>
      <c r="F16" s="7">
        <v>7</v>
      </c>
      <c r="G16" s="7"/>
      <c r="H16" s="7">
        <v>6</v>
      </c>
      <c r="I16" s="7"/>
      <c r="J16" s="7"/>
      <c r="K16" s="7" t="s">
        <v>14</v>
      </c>
      <c r="L16" s="122"/>
      <c r="M16" s="122"/>
      <c r="N16" s="122"/>
      <c r="O16" s="96"/>
      <c r="P16" s="14">
        <v>0.5</v>
      </c>
      <c r="Q16" s="93">
        <v>3.3456874878545255</v>
      </c>
      <c r="R16" s="93">
        <v>7.3359149029982298</v>
      </c>
      <c r="S16" s="122" t="s">
        <v>1518</v>
      </c>
      <c r="T16" s="7"/>
      <c r="U16" s="7"/>
      <c r="V16" s="122" t="s">
        <v>1518</v>
      </c>
      <c r="W16" s="122"/>
      <c r="X16" s="122" t="s">
        <v>1518</v>
      </c>
      <c r="Y16" s="7"/>
      <c r="Z16" s="7">
        <v>1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6">
        <v>45295</v>
      </c>
      <c r="AM16" s="16"/>
      <c r="AN16" s="6" t="s">
        <v>1021</v>
      </c>
      <c r="AO16" s="6" t="s">
        <v>1004</v>
      </c>
      <c r="AP16" s="4"/>
      <c r="AQ16" s="4"/>
      <c r="AR16" s="11">
        <v>45</v>
      </c>
      <c r="AS16" s="11">
        <v>62.5</v>
      </c>
      <c r="AT16" s="11"/>
      <c r="AU16" s="11"/>
    </row>
    <row r="17" spans="1:47" ht="15.75" x14ac:dyDescent="0.25">
      <c r="A17" s="112" t="s">
        <v>37</v>
      </c>
      <c r="B17" s="6" t="s">
        <v>1682</v>
      </c>
      <c r="C17" s="9" t="s">
        <v>3</v>
      </c>
      <c r="D17" s="7" t="s">
        <v>1468</v>
      </c>
      <c r="E17" s="9">
        <v>7</v>
      </c>
      <c r="F17" s="9"/>
      <c r="G17" s="9"/>
      <c r="H17" s="7"/>
      <c r="I17" s="7"/>
      <c r="J17" s="7"/>
      <c r="K17" s="7"/>
      <c r="L17" s="122"/>
      <c r="M17" s="122"/>
      <c r="N17" s="122"/>
      <c r="O17" s="96"/>
      <c r="P17" s="14"/>
      <c r="Q17" s="93">
        <v>0.20759812501504959</v>
      </c>
      <c r="R17" s="93">
        <v>2.7822500000000014E-2</v>
      </c>
      <c r="S17" s="122" t="s">
        <v>1518</v>
      </c>
      <c r="T17" s="7"/>
      <c r="U17" s="7"/>
      <c r="V17" s="122"/>
      <c r="W17" s="122"/>
      <c r="X17" s="122"/>
      <c r="Y17" s="7"/>
      <c r="Z17" s="7"/>
      <c r="AA17" s="7"/>
      <c r="AB17" s="7"/>
      <c r="AC17" s="7"/>
      <c r="AD17" s="7">
        <v>1</v>
      </c>
      <c r="AE17" s="7"/>
      <c r="AF17" s="7"/>
      <c r="AG17" s="7"/>
      <c r="AH17" s="7"/>
      <c r="AI17" s="7"/>
      <c r="AJ17" s="7"/>
      <c r="AK17" s="7"/>
      <c r="AL17" s="16">
        <v>45295</v>
      </c>
      <c r="AM17" s="4"/>
      <c r="AN17" s="6" t="s">
        <v>997</v>
      </c>
      <c r="AO17" s="4"/>
      <c r="AP17" s="4"/>
      <c r="AQ17" s="4"/>
      <c r="AR17" s="11">
        <v>500</v>
      </c>
      <c r="AS17" s="11"/>
      <c r="AT17" s="11"/>
      <c r="AU17" s="11"/>
    </row>
    <row r="18" spans="1:47" ht="15.75" x14ac:dyDescent="0.25">
      <c r="A18" s="112" t="s">
        <v>38</v>
      </c>
      <c r="B18" s="6" t="s">
        <v>1956</v>
      </c>
      <c r="C18" s="9" t="s">
        <v>3</v>
      </c>
      <c r="D18" s="9" t="s">
        <v>1468</v>
      </c>
      <c r="E18" s="9">
        <v>3</v>
      </c>
      <c r="F18" s="9"/>
      <c r="G18" s="9"/>
      <c r="H18" s="7">
        <v>20</v>
      </c>
      <c r="I18" s="7"/>
      <c r="J18" s="7"/>
      <c r="K18" s="7"/>
      <c r="L18" s="122"/>
      <c r="M18" s="122"/>
      <c r="N18" s="122"/>
      <c r="O18" s="96"/>
      <c r="P18" s="15">
        <v>0.3</v>
      </c>
      <c r="Q18" s="93">
        <v>2.896913812557282</v>
      </c>
      <c r="R18" s="93">
        <v>5.9619642857142834</v>
      </c>
      <c r="S18" s="122" t="s">
        <v>1518</v>
      </c>
      <c r="T18" s="7"/>
      <c r="U18" s="7"/>
      <c r="V18" s="122" t="s">
        <v>1518</v>
      </c>
      <c r="W18" s="122"/>
      <c r="X18" s="122" t="s">
        <v>1518</v>
      </c>
      <c r="Y18" s="7"/>
      <c r="Z18" s="12">
        <v>1</v>
      </c>
      <c r="AA18" s="12"/>
      <c r="AB18" s="12"/>
      <c r="AC18" s="12"/>
      <c r="AD18" s="12">
        <v>1</v>
      </c>
      <c r="AE18" s="12"/>
      <c r="AF18" s="12"/>
      <c r="AG18" s="12"/>
      <c r="AH18" s="12"/>
      <c r="AI18" s="12"/>
      <c r="AJ18" s="12"/>
      <c r="AK18" s="7"/>
      <c r="AL18" s="16">
        <v>45295</v>
      </c>
      <c r="AM18" s="4"/>
      <c r="AN18" s="6" t="s">
        <v>1021</v>
      </c>
      <c r="AO18" s="4"/>
      <c r="AP18" s="4"/>
      <c r="AQ18" s="4"/>
      <c r="AR18" s="11">
        <v>60</v>
      </c>
      <c r="AS18" s="11"/>
      <c r="AT18" s="11"/>
      <c r="AU18" s="11"/>
    </row>
    <row r="19" spans="1:47" ht="15.75" x14ac:dyDescent="0.25">
      <c r="A19" s="112" t="s">
        <v>40</v>
      </c>
      <c r="B19" s="6" t="s">
        <v>1115</v>
      </c>
      <c r="C19" s="9" t="s">
        <v>3</v>
      </c>
      <c r="D19" s="9" t="s">
        <v>26</v>
      </c>
      <c r="E19" s="9">
        <v>3</v>
      </c>
      <c r="F19" s="9">
        <v>3</v>
      </c>
      <c r="G19" s="9"/>
      <c r="H19" s="7"/>
      <c r="I19" s="7"/>
      <c r="J19" s="7"/>
      <c r="K19" s="7"/>
      <c r="L19" s="122"/>
      <c r="M19" s="122"/>
      <c r="N19" s="122"/>
      <c r="O19" s="96"/>
      <c r="P19" s="15">
        <v>0.3</v>
      </c>
      <c r="Q19" s="93">
        <v>1.3451514261569812</v>
      </c>
      <c r="R19" s="93">
        <v>4.0893698671497569</v>
      </c>
      <c r="S19" s="122" t="s">
        <v>1518</v>
      </c>
      <c r="T19" s="7"/>
      <c r="U19" s="7"/>
      <c r="V19" s="122" t="s">
        <v>1518</v>
      </c>
      <c r="W19" s="122"/>
      <c r="X19" s="122"/>
      <c r="Y19" s="7"/>
      <c r="Z19" s="12">
        <v>1</v>
      </c>
      <c r="AA19" s="12"/>
      <c r="AB19" s="12"/>
      <c r="AC19" s="12"/>
      <c r="AD19" s="12">
        <v>1</v>
      </c>
      <c r="AE19" s="12"/>
      <c r="AF19" s="12"/>
      <c r="AG19" s="12"/>
      <c r="AH19" s="12"/>
      <c r="AI19" s="12"/>
      <c r="AJ19" s="12"/>
      <c r="AK19" s="7"/>
      <c r="AL19" s="16">
        <v>45295</v>
      </c>
      <c r="AM19" s="4"/>
      <c r="AN19" s="11" t="s">
        <v>15</v>
      </c>
      <c r="AO19" s="11" t="s">
        <v>41</v>
      </c>
      <c r="AP19" s="5"/>
      <c r="AQ19" s="5"/>
      <c r="AR19" s="11">
        <v>125</v>
      </c>
      <c r="AS19" s="11">
        <v>125</v>
      </c>
      <c r="AT19" s="11"/>
      <c r="AU19" s="11"/>
    </row>
    <row r="20" spans="1:47" ht="15.75" x14ac:dyDescent="0.25">
      <c r="A20" s="112" t="s">
        <v>1638</v>
      </c>
      <c r="B20" s="6" t="s">
        <v>1639</v>
      </c>
      <c r="C20" s="9" t="s">
        <v>3</v>
      </c>
      <c r="D20" s="8" t="s">
        <v>29</v>
      </c>
      <c r="E20" s="9" t="s">
        <v>51</v>
      </c>
      <c r="F20" s="9"/>
      <c r="G20" s="9"/>
      <c r="H20" s="7"/>
      <c r="I20" s="7"/>
      <c r="J20" s="7"/>
      <c r="K20" s="7"/>
      <c r="L20" s="122"/>
      <c r="M20" s="122"/>
      <c r="N20" s="122"/>
      <c r="O20" s="96"/>
      <c r="P20" s="7"/>
      <c r="Q20" s="93">
        <v>4.984822955664861E-2</v>
      </c>
      <c r="R20" s="93">
        <v>2.8601529999999955E-3</v>
      </c>
      <c r="S20" s="122" t="s">
        <v>1518</v>
      </c>
      <c r="T20" s="7"/>
      <c r="U20" s="7"/>
      <c r="V20" s="124"/>
      <c r="W20" s="124"/>
      <c r="X20" s="124"/>
      <c r="Y20" s="12"/>
      <c r="Z20" s="7">
        <v>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6">
        <v>45295</v>
      </c>
      <c r="AM20" s="4"/>
      <c r="AN20" s="4" t="s">
        <v>52</v>
      </c>
      <c r="AO20" s="4"/>
      <c r="AP20" s="4"/>
      <c r="AQ20" s="4"/>
      <c r="AR20" s="11">
        <v>51.4</v>
      </c>
      <c r="AS20" s="11"/>
      <c r="AT20" s="11"/>
      <c r="AU20" s="11"/>
    </row>
    <row r="21" spans="1:47" ht="15.75" x14ac:dyDescent="0.25">
      <c r="A21" s="112" t="s">
        <v>1480</v>
      </c>
      <c r="B21" s="6" t="s">
        <v>1124</v>
      </c>
      <c r="C21" s="9" t="s">
        <v>3</v>
      </c>
      <c r="D21" s="9" t="s">
        <v>13</v>
      </c>
      <c r="E21" s="9">
        <v>3</v>
      </c>
      <c r="F21" s="9">
        <v>5</v>
      </c>
      <c r="G21" s="9"/>
      <c r="H21" s="7">
        <v>20</v>
      </c>
      <c r="I21" s="7"/>
      <c r="J21" s="7"/>
      <c r="K21" s="7" t="s">
        <v>14</v>
      </c>
      <c r="L21" s="122"/>
      <c r="M21" s="122"/>
      <c r="N21" s="122"/>
      <c r="O21" s="96"/>
      <c r="P21" s="12"/>
      <c r="Q21" s="93">
        <v>10.550523349587952</v>
      </c>
      <c r="R21" s="93">
        <v>1.5743371088435363</v>
      </c>
      <c r="S21" s="122" t="s">
        <v>1518</v>
      </c>
      <c r="T21" s="7"/>
      <c r="U21" s="7"/>
      <c r="V21" s="122" t="s">
        <v>1518</v>
      </c>
      <c r="W21" s="122"/>
      <c r="X21" s="122" t="s">
        <v>1518</v>
      </c>
      <c r="Y21" s="7"/>
      <c r="Z21" s="7">
        <v>1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6">
        <v>45295</v>
      </c>
      <c r="AM21" s="4"/>
      <c r="AN21" s="11" t="s">
        <v>15</v>
      </c>
      <c r="AO21" s="11" t="s">
        <v>42</v>
      </c>
      <c r="AP21" s="4"/>
      <c r="AQ21" s="4"/>
      <c r="AR21" s="11">
        <v>160</v>
      </c>
      <c r="AS21" s="11">
        <v>300</v>
      </c>
      <c r="AT21" s="11"/>
      <c r="AU21" s="11"/>
    </row>
    <row r="22" spans="1:47" ht="15.75" x14ac:dyDescent="0.25">
      <c r="A22" s="112" t="s">
        <v>1478</v>
      </c>
      <c r="B22" s="6" t="s">
        <v>1124</v>
      </c>
      <c r="C22" s="9" t="s">
        <v>3</v>
      </c>
      <c r="D22" s="9" t="s">
        <v>13</v>
      </c>
      <c r="E22" s="9">
        <v>3</v>
      </c>
      <c r="F22" s="9">
        <v>5</v>
      </c>
      <c r="G22" s="9"/>
      <c r="H22" s="7">
        <v>20</v>
      </c>
      <c r="I22" s="7"/>
      <c r="J22" s="7"/>
      <c r="K22" s="7" t="s">
        <v>120</v>
      </c>
      <c r="L22" s="122"/>
      <c r="M22" s="122"/>
      <c r="N22" s="122"/>
      <c r="O22" s="96"/>
      <c r="P22" s="12"/>
      <c r="Q22" s="93">
        <v>17.584205582646586</v>
      </c>
      <c r="R22" s="93">
        <v>2.623895181405894</v>
      </c>
      <c r="S22" s="122" t="s">
        <v>1518</v>
      </c>
      <c r="T22" s="7"/>
      <c r="U22" s="7"/>
      <c r="V22" s="122" t="s">
        <v>1518</v>
      </c>
      <c r="W22" s="122"/>
      <c r="X22" s="122" t="s">
        <v>1518</v>
      </c>
      <c r="Y22" s="7"/>
      <c r="Z22" s="7">
        <v>1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6">
        <v>45295</v>
      </c>
      <c r="AM22" s="4"/>
      <c r="AN22" s="11" t="s">
        <v>15</v>
      </c>
      <c r="AO22" s="11" t="s">
        <v>42</v>
      </c>
      <c r="AP22" s="4"/>
      <c r="AQ22" s="4"/>
      <c r="AR22" s="11">
        <v>160</v>
      </c>
      <c r="AS22" s="11">
        <v>300</v>
      </c>
      <c r="AT22" s="11"/>
      <c r="AU22" s="11"/>
    </row>
    <row r="23" spans="1:47" ht="15.75" x14ac:dyDescent="0.25">
      <c r="A23" s="112" t="s">
        <v>43</v>
      </c>
      <c r="B23" s="6" t="s">
        <v>1957</v>
      </c>
      <c r="C23" s="9" t="s">
        <v>3</v>
      </c>
      <c r="D23" s="8" t="s">
        <v>44</v>
      </c>
      <c r="E23" s="9"/>
      <c r="F23" s="9"/>
      <c r="G23" s="9"/>
      <c r="H23" s="7"/>
      <c r="I23" s="7"/>
      <c r="J23" s="7"/>
      <c r="K23" s="7"/>
      <c r="L23" s="122"/>
      <c r="M23" s="122"/>
      <c r="N23" s="122"/>
      <c r="O23" s="96"/>
      <c r="P23" s="7"/>
      <c r="Q23" s="93">
        <v>0</v>
      </c>
      <c r="R23" s="93">
        <v>0</v>
      </c>
      <c r="S23" s="122"/>
      <c r="T23" s="7"/>
      <c r="U23" s="7"/>
      <c r="V23" s="124"/>
      <c r="W23" s="124"/>
      <c r="X23" s="124"/>
      <c r="Y23" s="12"/>
      <c r="Z23" s="7"/>
      <c r="AA23" s="7"/>
      <c r="AB23" s="7"/>
      <c r="AC23" s="7"/>
      <c r="AD23" s="7">
        <v>2</v>
      </c>
      <c r="AE23" s="7"/>
      <c r="AF23" s="7"/>
      <c r="AG23" s="7"/>
      <c r="AH23" s="7"/>
      <c r="AI23" s="7"/>
      <c r="AJ23" s="7">
        <v>1</v>
      </c>
      <c r="AK23" s="7"/>
      <c r="AL23" s="16">
        <v>45295</v>
      </c>
      <c r="AM23" s="4" t="s">
        <v>1958</v>
      </c>
      <c r="AN23" s="4" t="s">
        <v>45</v>
      </c>
      <c r="AO23" s="4"/>
      <c r="AP23" s="4"/>
      <c r="AQ23" s="4"/>
      <c r="AR23" s="11">
        <v>1</v>
      </c>
      <c r="AS23" s="11"/>
      <c r="AT23" s="11"/>
      <c r="AU23" s="11"/>
    </row>
    <row r="24" spans="1:47" ht="15.75" x14ac:dyDescent="0.25">
      <c r="A24" s="116" t="s">
        <v>46</v>
      </c>
      <c r="B24" s="6" t="s">
        <v>1130</v>
      </c>
      <c r="C24" s="50" t="s">
        <v>3</v>
      </c>
      <c r="D24" s="9" t="s">
        <v>13</v>
      </c>
      <c r="E24" s="50">
        <v>3</v>
      </c>
      <c r="F24" s="50">
        <v>3</v>
      </c>
      <c r="G24" s="50"/>
      <c r="H24" s="50"/>
      <c r="I24" s="50"/>
      <c r="J24" s="50"/>
      <c r="K24" s="50"/>
      <c r="L24" s="123"/>
      <c r="M24" s="123"/>
      <c r="N24" s="123"/>
      <c r="O24" s="97"/>
      <c r="P24" s="55">
        <v>0.3</v>
      </c>
      <c r="Q24" s="93">
        <v>2.9400997995148739</v>
      </c>
      <c r="R24" s="93">
        <v>12.938430714436189</v>
      </c>
      <c r="S24" s="123" t="s">
        <v>1518</v>
      </c>
      <c r="T24" s="50"/>
      <c r="U24" s="50"/>
      <c r="V24" s="123"/>
      <c r="W24" s="123"/>
      <c r="X24" s="123"/>
      <c r="Y24" s="50"/>
      <c r="Z24" s="50"/>
      <c r="AA24" s="50"/>
      <c r="AB24" s="50"/>
      <c r="AC24" s="50"/>
      <c r="AD24" s="50">
        <v>1</v>
      </c>
      <c r="AE24" s="50"/>
      <c r="AF24" s="50"/>
      <c r="AG24" s="50"/>
      <c r="AH24" s="50"/>
      <c r="AI24" s="50"/>
      <c r="AJ24" s="50"/>
      <c r="AK24" s="50"/>
      <c r="AL24" s="16">
        <v>45295</v>
      </c>
      <c r="AM24" s="51"/>
      <c r="AN24" s="6" t="s">
        <v>1014</v>
      </c>
      <c r="AO24" s="53" t="s">
        <v>47</v>
      </c>
      <c r="AP24" s="51"/>
      <c r="AQ24" s="51"/>
      <c r="AR24" s="53">
        <v>250</v>
      </c>
      <c r="AS24" s="53">
        <v>125</v>
      </c>
      <c r="AT24" s="53"/>
      <c r="AU24" s="53"/>
    </row>
    <row r="25" spans="1:47" ht="15.75" x14ac:dyDescent="0.25">
      <c r="A25" s="112" t="s">
        <v>1841</v>
      </c>
      <c r="B25" s="6" t="s">
        <v>1932</v>
      </c>
      <c r="C25" s="9" t="s">
        <v>3</v>
      </c>
      <c r="D25" s="8" t="s">
        <v>26</v>
      </c>
      <c r="E25" s="9">
        <v>27</v>
      </c>
      <c r="F25" s="9"/>
      <c r="G25" s="9"/>
      <c r="H25" s="7"/>
      <c r="I25" s="7"/>
      <c r="J25" s="7"/>
      <c r="K25" s="7"/>
      <c r="L25" s="122"/>
      <c r="M25" s="122"/>
      <c r="N25" s="122"/>
      <c r="O25" s="96"/>
      <c r="P25" s="7"/>
      <c r="Q25" s="93">
        <v>0.19944667307963712</v>
      </c>
      <c r="R25" s="93">
        <v>5.3551425742574272</v>
      </c>
      <c r="S25" s="122" t="s">
        <v>1518</v>
      </c>
      <c r="T25" s="7"/>
      <c r="U25" s="7"/>
      <c r="V25" s="124" t="s">
        <v>1518</v>
      </c>
      <c r="W25" s="124"/>
      <c r="X25" s="124" t="s">
        <v>1518</v>
      </c>
      <c r="Y25" s="12"/>
      <c r="Z25" s="7"/>
      <c r="AA25" s="7"/>
      <c r="AB25" s="7">
        <v>1</v>
      </c>
      <c r="AC25" s="7"/>
      <c r="AD25" s="7"/>
      <c r="AE25" s="7"/>
      <c r="AF25" s="7"/>
      <c r="AG25" s="7"/>
      <c r="AH25" s="7"/>
      <c r="AI25" s="7"/>
      <c r="AJ25" s="7"/>
      <c r="AK25" s="7"/>
      <c r="AL25" s="16">
        <v>45295</v>
      </c>
      <c r="AM25" s="4"/>
      <c r="AN25" s="4" t="s">
        <v>30</v>
      </c>
      <c r="AO25" s="4"/>
      <c r="AP25" s="4"/>
      <c r="AQ25" s="4"/>
      <c r="AR25" s="11">
        <v>450</v>
      </c>
      <c r="AS25" s="11"/>
      <c r="AT25" s="11"/>
      <c r="AU25" s="11"/>
    </row>
    <row r="26" spans="1:47" ht="15.75" x14ac:dyDescent="0.25">
      <c r="A26" s="112" t="s">
        <v>1635</v>
      </c>
      <c r="B26" s="6" t="s">
        <v>1637</v>
      </c>
      <c r="C26" s="9" t="s">
        <v>3</v>
      </c>
      <c r="D26" s="9" t="s">
        <v>17</v>
      </c>
      <c r="E26" s="9" t="s">
        <v>25</v>
      </c>
      <c r="F26" s="9"/>
      <c r="G26" s="9"/>
      <c r="H26" s="7"/>
      <c r="I26" s="7"/>
      <c r="J26" s="7"/>
      <c r="K26" s="7"/>
      <c r="L26" s="122"/>
      <c r="M26" s="122"/>
      <c r="N26" s="122"/>
      <c r="O26" s="96"/>
      <c r="P26" s="14">
        <v>0.5</v>
      </c>
      <c r="Q26" s="93">
        <v>52.461952683766114</v>
      </c>
      <c r="R26" s="93">
        <v>1.2383318232044251</v>
      </c>
      <c r="S26" s="122" t="s">
        <v>1518</v>
      </c>
      <c r="T26" s="7"/>
      <c r="U26" s="7"/>
      <c r="V26" s="122"/>
      <c r="W26" s="122"/>
      <c r="X26" s="122" t="s">
        <v>1518</v>
      </c>
      <c r="Y26" s="7" t="s">
        <v>7</v>
      </c>
      <c r="Z26" s="7"/>
      <c r="AA26" s="7">
        <v>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6">
        <v>45295</v>
      </c>
      <c r="AM26" s="4"/>
      <c r="AN26" s="4" t="s">
        <v>49</v>
      </c>
      <c r="AO26" s="4"/>
      <c r="AP26" s="4"/>
      <c r="AQ26" s="4"/>
      <c r="AR26" s="11">
        <v>190</v>
      </c>
      <c r="AS26" s="11"/>
      <c r="AT26" s="11"/>
      <c r="AU26" s="11"/>
    </row>
    <row r="27" spans="1:47" ht="15.75" x14ac:dyDescent="0.25">
      <c r="A27" s="112" t="s">
        <v>48</v>
      </c>
      <c r="B27" s="6" t="s">
        <v>1131</v>
      </c>
      <c r="C27" s="9" t="s">
        <v>3</v>
      </c>
      <c r="D27" s="8" t="s">
        <v>29</v>
      </c>
      <c r="E27" s="9" t="s">
        <v>25</v>
      </c>
      <c r="F27" s="9"/>
      <c r="G27" s="9"/>
      <c r="H27" s="7"/>
      <c r="I27" s="7"/>
      <c r="J27" s="7"/>
      <c r="K27" s="7"/>
      <c r="L27" s="122"/>
      <c r="M27" s="122"/>
      <c r="N27" s="122"/>
      <c r="O27" s="96"/>
      <c r="P27" s="14">
        <v>0.5</v>
      </c>
      <c r="Q27" s="93">
        <v>59.390889830678617</v>
      </c>
      <c r="R27" s="93">
        <v>1.4018850828729341</v>
      </c>
      <c r="S27" s="122" t="s">
        <v>1518</v>
      </c>
      <c r="T27" s="7"/>
      <c r="U27" s="7"/>
      <c r="V27" s="122"/>
      <c r="W27" s="122"/>
      <c r="X27" s="122" t="s">
        <v>1518</v>
      </c>
      <c r="Y27" s="7" t="s">
        <v>7</v>
      </c>
      <c r="Z27" s="7"/>
      <c r="AA27" s="7"/>
      <c r="AB27" s="7">
        <v>1</v>
      </c>
      <c r="AC27" s="7"/>
      <c r="AD27" s="7"/>
      <c r="AE27" s="7"/>
      <c r="AF27" s="7"/>
      <c r="AG27" s="7"/>
      <c r="AH27" s="7"/>
      <c r="AI27" s="7"/>
      <c r="AJ27" s="7"/>
      <c r="AK27" s="7"/>
      <c r="AL27" s="16">
        <v>45295</v>
      </c>
      <c r="AM27" s="4"/>
      <c r="AN27" s="4" t="s">
        <v>49</v>
      </c>
      <c r="AO27" s="4"/>
      <c r="AP27" s="4"/>
      <c r="AQ27" s="4"/>
      <c r="AR27" s="11">
        <v>380</v>
      </c>
      <c r="AS27" s="11"/>
      <c r="AT27" s="11"/>
      <c r="AU27" s="11"/>
    </row>
    <row r="28" spans="1:47" ht="15.75" x14ac:dyDescent="0.25">
      <c r="A28" s="112" t="s">
        <v>1526</v>
      </c>
      <c r="B28" s="6" t="s">
        <v>1636</v>
      </c>
      <c r="C28" s="9" t="s">
        <v>3</v>
      </c>
      <c r="D28" s="9" t="s">
        <v>13</v>
      </c>
      <c r="E28" s="9" t="s">
        <v>25</v>
      </c>
      <c r="F28" s="9"/>
      <c r="G28" s="9"/>
      <c r="H28" s="7"/>
      <c r="I28" s="7"/>
      <c r="J28" s="7"/>
      <c r="K28" s="7"/>
      <c r="L28" s="122"/>
      <c r="M28" s="122"/>
      <c r="N28" s="122"/>
      <c r="O28" s="96"/>
      <c r="P28" s="14">
        <v>0.5</v>
      </c>
      <c r="Q28" s="93">
        <v>52.461952683766114</v>
      </c>
      <c r="R28" s="93">
        <v>1.2383318232044251</v>
      </c>
      <c r="S28" s="122" t="s">
        <v>1518</v>
      </c>
      <c r="T28" s="7"/>
      <c r="U28" s="7"/>
      <c r="V28" s="122"/>
      <c r="W28" s="122"/>
      <c r="X28" s="122" t="s">
        <v>1518</v>
      </c>
      <c r="Y28" s="7" t="s">
        <v>7</v>
      </c>
      <c r="Z28" s="7"/>
      <c r="AA28" s="7">
        <v>1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>
        <v>45295</v>
      </c>
      <c r="AM28" s="4"/>
      <c r="AN28" s="4" t="s">
        <v>49</v>
      </c>
      <c r="AO28" s="4"/>
      <c r="AP28" s="4"/>
      <c r="AQ28" s="4"/>
      <c r="AR28" s="11">
        <v>190</v>
      </c>
      <c r="AS28" s="11"/>
      <c r="AT28" s="11"/>
      <c r="AU28" s="11"/>
    </row>
    <row r="29" spans="1:47" ht="15.75" x14ac:dyDescent="0.25">
      <c r="A29" s="112" t="s">
        <v>1132</v>
      </c>
      <c r="B29" s="6" t="s">
        <v>1133</v>
      </c>
      <c r="C29" s="9" t="s">
        <v>3</v>
      </c>
      <c r="D29" s="8" t="s">
        <v>54</v>
      </c>
      <c r="E29" s="9" t="s">
        <v>25</v>
      </c>
      <c r="F29" s="9"/>
      <c r="G29" s="9"/>
      <c r="H29" s="7"/>
      <c r="I29" s="7"/>
      <c r="J29" s="7"/>
      <c r="K29" s="7"/>
      <c r="L29" s="122"/>
      <c r="M29" s="122"/>
      <c r="N29" s="122"/>
      <c r="O29" s="96"/>
      <c r="P29" s="14">
        <v>0.5</v>
      </c>
      <c r="Q29" s="93">
        <v>182.34045123453961</v>
      </c>
      <c r="R29" s="93">
        <v>4.3040331491712891</v>
      </c>
      <c r="S29" s="122" t="s">
        <v>1518</v>
      </c>
      <c r="T29" s="7"/>
      <c r="U29" s="7"/>
      <c r="V29" s="122"/>
      <c r="W29" s="122" t="s">
        <v>1518</v>
      </c>
      <c r="X29" s="122" t="s">
        <v>1518</v>
      </c>
      <c r="Y29" s="7"/>
      <c r="Z29" s="7"/>
      <c r="AA29" s="7"/>
      <c r="AB29" s="7">
        <v>1</v>
      </c>
      <c r="AC29" s="7"/>
      <c r="AD29" s="7"/>
      <c r="AE29" s="7"/>
      <c r="AF29" s="7"/>
      <c r="AG29" s="7"/>
      <c r="AH29" s="7"/>
      <c r="AI29" s="7"/>
      <c r="AJ29" s="7"/>
      <c r="AK29" s="7"/>
      <c r="AL29" s="16">
        <v>45295</v>
      </c>
      <c r="AM29" s="4"/>
      <c r="AN29" s="4" t="s">
        <v>49</v>
      </c>
      <c r="AO29" s="4"/>
      <c r="AP29" s="4"/>
      <c r="AQ29" s="4"/>
      <c r="AR29" s="11">
        <v>500</v>
      </c>
      <c r="AS29" s="11"/>
      <c r="AT29" s="11"/>
      <c r="AU29" s="11"/>
    </row>
    <row r="30" spans="1:47" ht="15.75" x14ac:dyDescent="0.25">
      <c r="A30" s="112" t="s">
        <v>50</v>
      </c>
      <c r="B30" s="6" t="s">
        <v>1136</v>
      </c>
      <c r="C30" s="9" t="s">
        <v>3</v>
      </c>
      <c r="D30" s="8" t="s">
        <v>17</v>
      </c>
      <c r="E30" s="9" t="s">
        <v>51</v>
      </c>
      <c r="F30" s="9"/>
      <c r="G30" s="9"/>
      <c r="H30" s="7"/>
      <c r="I30" s="7"/>
      <c r="J30" s="7"/>
      <c r="K30" s="7"/>
      <c r="L30" s="122"/>
      <c r="M30" s="122"/>
      <c r="N30" s="122"/>
      <c r="O30" s="96"/>
      <c r="P30" s="7"/>
      <c r="Q30" s="93">
        <v>4.984822955664861E-2</v>
      </c>
      <c r="R30" s="93">
        <v>2.8601529999999955E-3</v>
      </c>
      <c r="S30" s="122" t="s">
        <v>1518</v>
      </c>
      <c r="T30" s="7"/>
      <c r="U30" s="7"/>
      <c r="V30" s="124"/>
      <c r="W30" s="124"/>
      <c r="X30" s="124"/>
      <c r="Y30" s="12"/>
      <c r="Z30" s="7">
        <v>1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6">
        <v>45295</v>
      </c>
      <c r="AM30" s="4"/>
      <c r="AN30" s="4" t="s">
        <v>52</v>
      </c>
      <c r="AO30" s="4"/>
      <c r="AP30" s="4"/>
      <c r="AQ30" s="4"/>
      <c r="AR30" s="11">
        <v>51.4</v>
      </c>
      <c r="AS30" s="11"/>
      <c r="AT30" s="11"/>
      <c r="AU30" s="11"/>
    </row>
    <row r="31" spans="1:47" ht="15.75" x14ac:dyDescent="0.25">
      <c r="A31" s="112" t="s">
        <v>2039</v>
      </c>
      <c r="B31" s="6" t="s">
        <v>2040</v>
      </c>
      <c r="C31" s="9" t="s">
        <v>3</v>
      </c>
      <c r="D31" s="9" t="s">
        <v>109</v>
      </c>
      <c r="E31" s="9" t="s">
        <v>51</v>
      </c>
      <c r="F31" s="9"/>
      <c r="G31" s="9"/>
      <c r="H31" s="7"/>
      <c r="I31" s="7"/>
      <c r="J31" s="7"/>
      <c r="K31" s="7"/>
      <c r="L31" s="122"/>
      <c r="M31" s="122"/>
      <c r="N31" s="122"/>
      <c r="O31" s="96"/>
      <c r="P31" s="7"/>
      <c r="Q31" s="93">
        <f t="shared" ref="Q31" si="0">+BM31</f>
        <v>0</v>
      </c>
      <c r="R31" s="93">
        <f t="shared" ref="R31" si="1">+BR31</f>
        <v>0</v>
      </c>
      <c r="S31" s="122" t="s">
        <v>1518</v>
      </c>
      <c r="T31" s="7"/>
      <c r="U31" s="7"/>
      <c r="V31" s="124"/>
      <c r="W31" s="124"/>
      <c r="X31" s="124"/>
      <c r="Y31" s="12"/>
      <c r="Z31" s="7">
        <v>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>
        <v>45295</v>
      </c>
      <c r="AM31" s="4"/>
      <c r="AN31" s="4" t="s">
        <v>52</v>
      </c>
      <c r="AO31" s="4"/>
      <c r="AP31" s="4"/>
      <c r="AQ31" s="4"/>
      <c r="AR31" s="11">
        <v>51.4</v>
      </c>
      <c r="AS31" s="11"/>
      <c r="AT31" s="11"/>
      <c r="AU31" s="11"/>
    </row>
    <row r="32" spans="1:47" ht="15.75" x14ac:dyDescent="0.25">
      <c r="A32" s="112" t="s">
        <v>1959</v>
      </c>
      <c r="B32" s="6" t="s">
        <v>1960</v>
      </c>
      <c r="C32" s="9" t="s">
        <v>3</v>
      </c>
      <c r="D32" s="8" t="s">
        <v>17</v>
      </c>
      <c r="E32" s="9">
        <v>27</v>
      </c>
      <c r="F32" s="9"/>
      <c r="G32" s="9"/>
      <c r="H32" s="7"/>
      <c r="I32" s="7"/>
      <c r="J32" s="7"/>
      <c r="K32" s="7"/>
      <c r="L32" s="122"/>
      <c r="M32" s="122"/>
      <c r="N32" s="122"/>
      <c r="O32" s="96"/>
      <c r="P32" s="7"/>
      <c r="Q32" s="93">
        <v>0.19944667307963712</v>
      </c>
      <c r="R32" s="93">
        <v>5.3551425742574272</v>
      </c>
      <c r="S32" s="122" t="s">
        <v>1518</v>
      </c>
      <c r="T32" s="7"/>
      <c r="U32" s="7"/>
      <c r="V32" s="124" t="s">
        <v>1518</v>
      </c>
      <c r="W32" s="124"/>
      <c r="X32" s="124" t="s">
        <v>1518</v>
      </c>
      <c r="Y32" s="12"/>
      <c r="Z32" s="7"/>
      <c r="AA32" s="7"/>
      <c r="AB32" s="7">
        <v>1</v>
      </c>
      <c r="AC32" s="7"/>
      <c r="AD32" s="7"/>
      <c r="AE32" s="7"/>
      <c r="AF32" s="7"/>
      <c r="AG32" s="7"/>
      <c r="AH32" s="7"/>
      <c r="AI32" s="7"/>
      <c r="AJ32" s="7"/>
      <c r="AK32" s="7"/>
      <c r="AL32" s="16">
        <v>45295</v>
      </c>
      <c r="AM32" s="4"/>
      <c r="AN32" s="4" t="s">
        <v>30</v>
      </c>
      <c r="AO32" s="4"/>
      <c r="AP32" s="4"/>
      <c r="AQ32" s="4"/>
      <c r="AR32" s="11">
        <v>450</v>
      </c>
      <c r="AS32" s="11"/>
      <c r="AT32" s="11"/>
      <c r="AU32" s="11"/>
    </row>
    <row r="33" spans="1:47" ht="15.75" x14ac:dyDescent="0.25">
      <c r="A33" s="112" t="s">
        <v>1961</v>
      </c>
      <c r="B33" s="6" t="s">
        <v>1962</v>
      </c>
      <c r="C33" s="9" t="s">
        <v>3</v>
      </c>
      <c r="D33" s="8" t="s">
        <v>26</v>
      </c>
      <c r="E33" s="9">
        <v>27</v>
      </c>
      <c r="F33" s="9"/>
      <c r="G33" s="9"/>
      <c r="H33" s="7"/>
      <c r="I33" s="7"/>
      <c r="J33" s="7"/>
      <c r="K33" s="7"/>
      <c r="L33" s="122"/>
      <c r="M33" s="122"/>
      <c r="N33" s="122"/>
      <c r="O33" s="96"/>
      <c r="P33" s="7"/>
      <c r="Q33" s="93">
        <v>0.19944667307963712</v>
      </c>
      <c r="R33" s="93">
        <v>5.3551425742574272</v>
      </c>
      <c r="S33" s="122" t="s">
        <v>1518</v>
      </c>
      <c r="T33" s="7"/>
      <c r="U33" s="7"/>
      <c r="V33" s="124" t="s">
        <v>1518</v>
      </c>
      <c r="W33" s="124"/>
      <c r="X33" s="124" t="s">
        <v>1518</v>
      </c>
      <c r="Y33" s="12"/>
      <c r="Z33" s="7"/>
      <c r="AA33" s="7"/>
      <c r="AB33" s="7">
        <v>1</v>
      </c>
      <c r="AC33" s="7"/>
      <c r="AD33" s="7"/>
      <c r="AE33" s="7"/>
      <c r="AF33" s="7"/>
      <c r="AG33" s="7"/>
      <c r="AH33" s="7"/>
      <c r="AI33" s="7"/>
      <c r="AJ33" s="7"/>
      <c r="AK33" s="7"/>
      <c r="AL33" s="16">
        <v>45295</v>
      </c>
      <c r="AM33" s="4"/>
      <c r="AN33" s="4" t="s">
        <v>30</v>
      </c>
      <c r="AO33" s="4"/>
      <c r="AP33" s="4"/>
      <c r="AQ33" s="4"/>
      <c r="AR33" s="11">
        <v>450</v>
      </c>
      <c r="AS33" s="11"/>
      <c r="AT33" s="11"/>
      <c r="AU33" s="11"/>
    </row>
    <row r="34" spans="1:47" ht="15.75" x14ac:dyDescent="0.25">
      <c r="A34" s="112" t="s">
        <v>1827</v>
      </c>
      <c r="B34" s="6" t="s">
        <v>1963</v>
      </c>
      <c r="C34" s="9" t="s">
        <v>3</v>
      </c>
      <c r="D34" s="8" t="s">
        <v>13</v>
      </c>
      <c r="E34" s="9">
        <v>27</v>
      </c>
      <c r="F34" s="9"/>
      <c r="G34" s="9"/>
      <c r="H34" s="7"/>
      <c r="I34" s="7"/>
      <c r="J34" s="7"/>
      <c r="K34" s="7"/>
      <c r="L34" s="122"/>
      <c r="M34" s="122"/>
      <c r="N34" s="122"/>
      <c r="O34" s="96"/>
      <c r="P34" s="7"/>
      <c r="Q34" s="93">
        <v>0.19944667307963712</v>
      </c>
      <c r="R34" s="93">
        <v>5.3551425742574272</v>
      </c>
      <c r="S34" s="122" t="s">
        <v>1518</v>
      </c>
      <c r="T34" s="7"/>
      <c r="U34" s="7"/>
      <c r="V34" s="124" t="s">
        <v>1518</v>
      </c>
      <c r="W34" s="124"/>
      <c r="X34" s="124" t="s">
        <v>1518</v>
      </c>
      <c r="Y34" s="12"/>
      <c r="Z34" s="7"/>
      <c r="AA34" s="7"/>
      <c r="AB34" s="7">
        <v>1</v>
      </c>
      <c r="AC34" s="7"/>
      <c r="AD34" s="7"/>
      <c r="AE34" s="7"/>
      <c r="AF34" s="7"/>
      <c r="AG34" s="7"/>
      <c r="AH34" s="7"/>
      <c r="AI34" s="7"/>
      <c r="AJ34" s="7"/>
      <c r="AK34" s="7"/>
      <c r="AL34" s="16">
        <v>45295</v>
      </c>
      <c r="AM34" s="4"/>
      <c r="AN34" s="4" t="s">
        <v>30</v>
      </c>
      <c r="AO34" s="4"/>
      <c r="AP34" s="4"/>
      <c r="AQ34" s="4"/>
      <c r="AR34" s="11">
        <v>450</v>
      </c>
      <c r="AS34" s="11"/>
      <c r="AT34" s="11"/>
      <c r="AU34" s="11"/>
    </row>
    <row r="35" spans="1:47" ht="15.75" x14ac:dyDescent="0.25">
      <c r="A35" s="112" t="s">
        <v>1137</v>
      </c>
      <c r="B35" s="6" t="s">
        <v>1138</v>
      </c>
      <c r="C35" s="9" t="s">
        <v>3</v>
      </c>
      <c r="D35" s="8" t="s">
        <v>1612</v>
      </c>
      <c r="E35" s="9">
        <v>27</v>
      </c>
      <c r="F35" s="9"/>
      <c r="G35" s="9"/>
      <c r="H35" s="7"/>
      <c r="I35" s="7"/>
      <c r="J35" s="7"/>
      <c r="K35" s="7"/>
      <c r="L35" s="122"/>
      <c r="M35" s="122"/>
      <c r="N35" s="122"/>
      <c r="O35" s="96"/>
      <c r="P35" s="7"/>
      <c r="Q35" s="93">
        <v>0.19944667307963712</v>
      </c>
      <c r="R35" s="93">
        <v>5.3551425742574272</v>
      </c>
      <c r="S35" s="122" t="s">
        <v>1518</v>
      </c>
      <c r="T35" s="7"/>
      <c r="U35" s="7"/>
      <c r="V35" s="124" t="s">
        <v>1518</v>
      </c>
      <c r="W35" s="124"/>
      <c r="X35" s="124"/>
      <c r="Y35" s="12"/>
      <c r="Z35" s="7"/>
      <c r="AA35" s="7"/>
      <c r="AB35" s="7">
        <v>1</v>
      </c>
      <c r="AC35" s="7"/>
      <c r="AD35" s="7"/>
      <c r="AE35" s="7"/>
      <c r="AF35" s="7"/>
      <c r="AG35" s="7"/>
      <c r="AH35" s="7"/>
      <c r="AI35" s="7"/>
      <c r="AJ35" s="7"/>
      <c r="AK35" s="7"/>
      <c r="AL35" s="16">
        <v>45295</v>
      </c>
      <c r="AM35" s="4"/>
      <c r="AN35" s="4" t="s">
        <v>30</v>
      </c>
      <c r="AO35" s="4"/>
      <c r="AP35" s="4"/>
      <c r="AQ35" s="4"/>
      <c r="AR35" s="11">
        <v>450</v>
      </c>
      <c r="AS35" s="11"/>
      <c r="AT35" s="11"/>
      <c r="AU35" s="11"/>
    </row>
    <row r="36" spans="1:47" ht="15.75" x14ac:dyDescent="0.25">
      <c r="A36" s="116" t="s">
        <v>53</v>
      </c>
      <c r="B36" s="6" t="s">
        <v>1140</v>
      </c>
      <c r="C36" s="54" t="s">
        <v>3</v>
      </c>
      <c r="D36" s="7" t="s">
        <v>19</v>
      </c>
      <c r="E36" s="54">
        <v>3</v>
      </c>
      <c r="F36" s="54">
        <v>7</v>
      </c>
      <c r="G36" s="54"/>
      <c r="H36" s="50"/>
      <c r="I36" s="50"/>
      <c r="J36" s="50"/>
      <c r="K36" s="50"/>
      <c r="L36" s="123"/>
      <c r="M36" s="123"/>
      <c r="N36" s="123"/>
      <c r="O36" s="97"/>
      <c r="P36" s="55">
        <v>0.5</v>
      </c>
      <c r="Q36" s="93">
        <v>0.82925720426922911</v>
      </c>
      <c r="R36" s="93">
        <v>2.7101950710108627</v>
      </c>
      <c r="S36" s="123" t="s">
        <v>1518</v>
      </c>
      <c r="T36" s="50"/>
      <c r="U36" s="50"/>
      <c r="V36" s="123"/>
      <c r="W36" s="123"/>
      <c r="X36" s="123"/>
      <c r="Y36" s="50"/>
      <c r="Z36" s="50"/>
      <c r="AA36" s="50"/>
      <c r="AB36" s="50">
        <v>1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16">
        <v>45295</v>
      </c>
      <c r="AM36" s="51"/>
      <c r="AN36" s="6" t="s">
        <v>1014</v>
      </c>
      <c r="AO36" s="6" t="s">
        <v>1004</v>
      </c>
      <c r="AP36" s="51"/>
      <c r="AQ36" s="51"/>
      <c r="AR36" s="53">
        <v>50</v>
      </c>
      <c r="AS36" s="53">
        <v>75</v>
      </c>
      <c r="AT36" s="53"/>
      <c r="AU36" s="53"/>
    </row>
    <row r="37" spans="1:47" ht="15.75" x14ac:dyDescent="0.25">
      <c r="A37" s="112" t="s">
        <v>1159</v>
      </c>
      <c r="B37" s="6" t="s">
        <v>1160</v>
      </c>
      <c r="C37" s="9" t="s">
        <v>3</v>
      </c>
      <c r="D37" s="9" t="s">
        <v>54</v>
      </c>
      <c r="E37" s="9">
        <v>3</v>
      </c>
      <c r="F37" s="9"/>
      <c r="G37" s="9"/>
      <c r="H37" s="7"/>
      <c r="I37" s="7"/>
      <c r="J37" s="7"/>
      <c r="K37" s="7" t="s">
        <v>14</v>
      </c>
      <c r="L37" s="122"/>
      <c r="M37" s="122"/>
      <c r="N37" s="122"/>
      <c r="O37" s="96"/>
      <c r="P37" s="14">
        <v>0.3</v>
      </c>
      <c r="Q37" s="93">
        <v>2.0910301679515646</v>
      </c>
      <c r="R37" s="93">
        <v>6.9730576441102894</v>
      </c>
      <c r="S37" s="122" t="s">
        <v>1518</v>
      </c>
      <c r="T37" s="7"/>
      <c r="U37" s="7"/>
      <c r="V37" s="122" t="s">
        <v>1518</v>
      </c>
      <c r="W37" s="124"/>
      <c r="X37" s="124"/>
      <c r="Y37" s="12"/>
      <c r="Z37" s="7">
        <v>1</v>
      </c>
      <c r="AA37" s="7">
        <v>1</v>
      </c>
      <c r="AB37" s="7">
        <v>1</v>
      </c>
      <c r="AC37" s="7"/>
      <c r="AD37" s="7">
        <v>1</v>
      </c>
      <c r="AE37" s="7"/>
      <c r="AF37" s="7"/>
      <c r="AG37" s="7"/>
      <c r="AH37" s="7"/>
      <c r="AI37" s="7"/>
      <c r="AJ37" s="7"/>
      <c r="AK37" s="7"/>
      <c r="AL37" s="16">
        <v>45295</v>
      </c>
      <c r="AM37" s="4"/>
      <c r="AN37" s="6" t="s">
        <v>1014</v>
      </c>
      <c r="AO37" s="4"/>
      <c r="AP37" s="4"/>
      <c r="AQ37" s="4"/>
      <c r="AR37" s="11">
        <v>250</v>
      </c>
      <c r="AS37" s="11"/>
      <c r="AT37" s="11"/>
      <c r="AU37" s="11"/>
    </row>
    <row r="38" spans="1:47" ht="15.75" x14ac:dyDescent="0.25">
      <c r="A38" s="112" t="s">
        <v>920</v>
      </c>
      <c r="B38" s="6" t="s">
        <v>1163</v>
      </c>
      <c r="C38" s="9" t="s">
        <v>3</v>
      </c>
      <c r="D38" s="9" t="s">
        <v>26</v>
      </c>
      <c r="E38" s="9">
        <v>40</v>
      </c>
      <c r="F38" s="9">
        <v>45</v>
      </c>
      <c r="G38" s="9"/>
      <c r="H38" s="7"/>
      <c r="I38" s="7"/>
      <c r="J38" s="7"/>
      <c r="K38" s="7"/>
      <c r="L38" s="122"/>
      <c r="M38" s="122"/>
      <c r="N38" s="122"/>
      <c r="O38" s="96"/>
      <c r="P38" s="7"/>
      <c r="Q38" s="93">
        <v>0.70864045903439876</v>
      </c>
      <c r="R38" s="93">
        <v>0.17156515196811159</v>
      </c>
      <c r="S38" s="122"/>
      <c r="T38" s="7"/>
      <c r="U38" s="7"/>
      <c r="V38" s="122"/>
      <c r="W38" s="122"/>
      <c r="X38" s="122"/>
      <c r="Y38" s="7"/>
      <c r="Z38" s="7"/>
      <c r="AA38" s="7"/>
      <c r="AB38" s="7">
        <v>1</v>
      </c>
      <c r="AC38" s="7"/>
      <c r="AD38" s="7"/>
      <c r="AE38" s="7"/>
      <c r="AF38" s="7"/>
      <c r="AG38" s="7"/>
      <c r="AH38" s="7"/>
      <c r="AI38" s="7"/>
      <c r="AJ38" s="7"/>
      <c r="AK38" s="7"/>
      <c r="AL38" s="16">
        <v>45295</v>
      </c>
      <c r="AM38" s="4"/>
      <c r="AN38" s="6" t="s">
        <v>1001</v>
      </c>
      <c r="AO38" s="4" t="s">
        <v>666</v>
      </c>
      <c r="AP38" s="4"/>
      <c r="AQ38" s="4"/>
      <c r="AR38" s="11">
        <v>225</v>
      </c>
      <c r="AS38" s="11">
        <v>300</v>
      </c>
      <c r="AT38" s="11"/>
      <c r="AU38" s="11"/>
    </row>
    <row r="39" spans="1:47" ht="15.75" x14ac:dyDescent="0.25">
      <c r="A39" s="112" t="s">
        <v>55</v>
      </c>
      <c r="B39" s="6" t="s">
        <v>1171</v>
      </c>
      <c r="C39" s="9" t="s">
        <v>3</v>
      </c>
      <c r="D39" s="8" t="s">
        <v>29</v>
      </c>
      <c r="E39" s="9">
        <v>3</v>
      </c>
      <c r="F39" s="9">
        <v>7</v>
      </c>
      <c r="G39" s="9"/>
      <c r="H39" s="7">
        <v>20</v>
      </c>
      <c r="I39" s="7"/>
      <c r="J39" s="7"/>
      <c r="K39" s="7" t="s">
        <v>14</v>
      </c>
      <c r="L39" s="122"/>
      <c r="M39" s="122"/>
      <c r="N39" s="122"/>
      <c r="O39" s="96"/>
      <c r="P39" s="14">
        <v>0.5</v>
      </c>
      <c r="Q39" s="93">
        <v>20.166795872253839</v>
      </c>
      <c r="R39" s="93">
        <v>3.3255684365781741</v>
      </c>
      <c r="S39" s="122" t="s">
        <v>1518</v>
      </c>
      <c r="T39" s="7"/>
      <c r="U39" s="7"/>
      <c r="V39" s="122" t="s">
        <v>1518</v>
      </c>
      <c r="W39" s="124"/>
      <c r="X39" s="122" t="s">
        <v>1518</v>
      </c>
      <c r="Y39" s="12"/>
      <c r="Z39" s="7">
        <v>1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6">
        <v>45295</v>
      </c>
      <c r="AM39" s="4"/>
      <c r="AN39" s="4" t="s">
        <v>15</v>
      </c>
      <c r="AO39" s="4" t="s">
        <v>56</v>
      </c>
      <c r="AP39" s="4"/>
      <c r="AQ39" s="4"/>
      <c r="AR39" s="11">
        <v>150</v>
      </c>
      <c r="AS39" s="11">
        <v>75</v>
      </c>
      <c r="AT39" s="4"/>
      <c r="AU39" s="4"/>
    </row>
    <row r="40" spans="1:47" ht="15.75" x14ac:dyDescent="0.25">
      <c r="A40" s="113" t="s">
        <v>1172</v>
      </c>
      <c r="B40" s="6" t="s">
        <v>1173</v>
      </c>
      <c r="C40" s="7" t="s">
        <v>3</v>
      </c>
      <c r="D40" s="8" t="s">
        <v>17</v>
      </c>
      <c r="E40" s="7">
        <v>22</v>
      </c>
      <c r="F40" s="7">
        <v>40</v>
      </c>
      <c r="G40" s="7"/>
      <c r="H40" s="7">
        <v>6</v>
      </c>
      <c r="I40" s="7"/>
      <c r="J40" s="7"/>
      <c r="K40" s="7" t="s">
        <v>14</v>
      </c>
      <c r="L40" s="122"/>
      <c r="M40" s="122"/>
      <c r="N40" s="122"/>
      <c r="O40" s="96"/>
      <c r="P40" s="7"/>
      <c r="Q40" s="93">
        <v>4.1794724500867968</v>
      </c>
      <c r="R40" s="93">
        <v>0.16371995555555557</v>
      </c>
      <c r="S40" s="122" t="s">
        <v>1518</v>
      </c>
      <c r="T40" s="7"/>
      <c r="U40" s="7"/>
      <c r="V40" s="122"/>
      <c r="W40" s="122"/>
      <c r="X40" s="122"/>
      <c r="Y40" s="7"/>
      <c r="Z40" s="7"/>
      <c r="AA40" s="7"/>
      <c r="AB40" s="7">
        <v>1</v>
      </c>
      <c r="AC40" s="7"/>
      <c r="AD40" s="7"/>
      <c r="AE40" s="7"/>
      <c r="AF40" s="7"/>
      <c r="AG40" s="7"/>
      <c r="AH40" s="7"/>
      <c r="AI40" s="7"/>
      <c r="AJ40" s="7"/>
      <c r="AK40" s="7"/>
      <c r="AL40" s="16">
        <v>45295</v>
      </c>
      <c r="AM40" s="4"/>
      <c r="AN40" s="4" t="s">
        <v>57</v>
      </c>
      <c r="AO40" s="6" t="s">
        <v>1001</v>
      </c>
      <c r="AP40" s="4"/>
      <c r="AQ40" s="4"/>
      <c r="AR40" s="11">
        <v>180</v>
      </c>
      <c r="AS40" s="11">
        <v>180</v>
      </c>
      <c r="AT40" s="11"/>
      <c r="AU40" s="11"/>
    </row>
    <row r="41" spans="1:47" ht="15.75" x14ac:dyDescent="0.25">
      <c r="A41" s="112" t="s">
        <v>58</v>
      </c>
      <c r="B41" s="6" t="s">
        <v>1175</v>
      </c>
      <c r="C41" s="9" t="s">
        <v>3</v>
      </c>
      <c r="D41" s="9" t="s">
        <v>29</v>
      </c>
      <c r="E41" s="9">
        <v>4</v>
      </c>
      <c r="F41" s="9">
        <v>29</v>
      </c>
      <c r="G41" s="9"/>
      <c r="H41" s="7">
        <v>20</v>
      </c>
      <c r="I41" s="7"/>
      <c r="J41" s="7"/>
      <c r="K41" s="7" t="s">
        <v>59</v>
      </c>
      <c r="L41" s="122"/>
      <c r="M41" s="122"/>
      <c r="N41" s="122"/>
      <c r="O41" s="96"/>
      <c r="P41" s="7"/>
      <c r="Q41" s="93">
        <v>6.4697591345702818</v>
      </c>
      <c r="R41" s="93">
        <v>23.464363295883892</v>
      </c>
      <c r="S41" s="122" t="s">
        <v>1518</v>
      </c>
      <c r="T41" s="7"/>
      <c r="U41" s="7"/>
      <c r="V41" s="122" t="s">
        <v>1518</v>
      </c>
      <c r="W41" s="122" t="s">
        <v>1518</v>
      </c>
      <c r="X41" s="122" t="s">
        <v>1518</v>
      </c>
      <c r="Y41" s="7"/>
      <c r="Z41" s="7"/>
      <c r="AA41" s="7"/>
      <c r="AB41" s="7">
        <v>1</v>
      </c>
      <c r="AC41" s="7"/>
      <c r="AD41" s="7"/>
      <c r="AE41" s="7"/>
      <c r="AF41" s="7"/>
      <c r="AG41" s="7"/>
      <c r="AH41" s="7"/>
      <c r="AI41" s="7"/>
      <c r="AJ41" s="7"/>
      <c r="AK41" s="7"/>
      <c r="AL41" s="16">
        <v>45295</v>
      </c>
      <c r="AM41" s="4"/>
      <c r="AN41" s="6" t="s">
        <v>1024</v>
      </c>
      <c r="AO41" s="11" t="s">
        <v>60</v>
      </c>
      <c r="AP41" s="11"/>
      <c r="AQ41" s="4"/>
      <c r="AR41" s="11">
        <v>194</v>
      </c>
      <c r="AS41" s="11">
        <v>400</v>
      </c>
      <c r="AT41" s="11"/>
      <c r="AU41" s="11"/>
    </row>
    <row r="42" spans="1:47" ht="15.75" x14ac:dyDescent="0.25">
      <c r="A42" s="112" t="s">
        <v>1858</v>
      </c>
      <c r="B42" s="6" t="s">
        <v>1859</v>
      </c>
      <c r="C42" s="8" t="s">
        <v>3</v>
      </c>
      <c r="D42" s="8" t="s">
        <v>17</v>
      </c>
      <c r="E42" s="8">
        <v>3</v>
      </c>
      <c r="F42" s="8"/>
      <c r="G42" s="8"/>
      <c r="H42" s="7"/>
      <c r="I42" s="7"/>
      <c r="J42" s="7"/>
      <c r="K42" s="7"/>
      <c r="L42" s="122"/>
      <c r="M42" s="122"/>
      <c r="N42" s="122"/>
      <c r="O42" s="96"/>
      <c r="P42" s="7"/>
      <c r="Q42" s="93">
        <v>9.4472523381920789E-2</v>
      </c>
      <c r="R42" s="93">
        <v>0.4946222222222228</v>
      </c>
      <c r="S42" s="122" t="s">
        <v>1518</v>
      </c>
      <c r="T42" s="7"/>
      <c r="U42" s="7"/>
      <c r="V42" s="122" t="s">
        <v>1518</v>
      </c>
      <c r="W42" s="122" t="s">
        <v>1518</v>
      </c>
      <c r="X42" s="122"/>
      <c r="Y42" s="7"/>
      <c r="Z42" s="7">
        <v>1</v>
      </c>
      <c r="AA42" s="7">
        <v>1</v>
      </c>
      <c r="AB42" s="7"/>
      <c r="AC42" s="7"/>
      <c r="AD42" s="7">
        <v>1</v>
      </c>
      <c r="AE42" s="7"/>
      <c r="AF42" s="7"/>
      <c r="AG42" s="7"/>
      <c r="AH42" s="7"/>
      <c r="AI42" s="7"/>
      <c r="AJ42" s="7"/>
      <c r="AK42" s="7"/>
      <c r="AL42" s="16">
        <v>45295</v>
      </c>
      <c r="AM42" s="4"/>
      <c r="AN42" s="11" t="s">
        <v>15</v>
      </c>
      <c r="AO42" s="4"/>
      <c r="AP42" s="4"/>
      <c r="AQ42" s="4"/>
      <c r="AR42" s="11">
        <v>250</v>
      </c>
      <c r="AS42" s="11"/>
      <c r="AT42" s="11"/>
      <c r="AU42" s="11"/>
    </row>
    <row r="43" spans="1:47" ht="15.75" x14ac:dyDescent="0.25">
      <c r="A43" s="112" t="s">
        <v>1181</v>
      </c>
      <c r="B43" s="6" t="s">
        <v>1613</v>
      </c>
      <c r="C43" s="9" t="s">
        <v>3</v>
      </c>
      <c r="D43" s="9" t="s">
        <v>26</v>
      </c>
      <c r="E43" s="9">
        <v>3</v>
      </c>
      <c r="F43" s="9">
        <v>5</v>
      </c>
      <c r="G43" s="9"/>
      <c r="H43" s="7">
        <v>50</v>
      </c>
      <c r="I43" s="7"/>
      <c r="J43" s="7"/>
      <c r="K43" s="7" t="s">
        <v>14</v>
      </c>
      <c r="L43" s="122"/>
      <c r="M43" s="122"/>
      <c r="N43" s="122"/>
      <c r="O43" s="96"/>
      <c r="P43" s="14">
        <v>0.3</v>
      </c>
      <c r="Q43" s="93">
        <v>37.375827607941588</v>
      </c>
      <c r="R43" s="93">
        <v>5.7598972022447539</v>
      </c>
      <c r="S43" s="122" t="s">
        <v>1518</v>
      </c>
      <c r="T43" s="7"/>
      <c r="U43" s="7"/>
      <c r="V43" s="122" t="s">
        <v>1518</v>
      </c>
      <c r="W43" s="122"/>
      <c r="X43" s="122"/>
      <c r="Y43" s="7"/>
      <c r="Z43" s="7"/>
      <c r="AA43" s="7">
        <v>1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16">
        <v>45295</v>
      </c>
      <c r="AM43" s="4"/>
      <c r="AN43" s="6" t="s">
        <v>1014</v>
      </c>
      <c r="AO43" s="6" t="s">
        <v>1013</v>
      </c>
      <c r="AP43" s="4"/>
      <c r="AQ43" s="4"/>
      <c r="AR43" s="11">
        <v>100</v>
      </c>
      <c r="AS43" s="11">
        <v>375</v>
      </c>
      <c r="AT43" s="11"/>
      <c r="AU43" s="11"/>
    </row>
    <row r="44" spans="1:47" ht="15.75" x14ac:dyDescent="0.25">
      <c r="A44" s="112" t="s">
        <v>61</v>
      </c>
      <c r="B44" s="6" t="s">
        <v>1683</v>
      </c>
      <c r="C44" s="9" t="s">
        <v>3</v>
      </c>
      <c r="D44" s="8" t="s">
        <v>62</v>
      </c>
      <c r="E44" s="9">
        <v>3</v>
      </c>
      <c r="F44" s="9">
        <v>11</v>
      </c>
      <c r="G44" s="9"/>
      <c r="H44" s="7"/>
      <c r="I44" s="7"/>
      <c r="J44" s="7"/>
      <c r="K44" s="7" t="s">
        <v>14</v>
      </c>
      <c r="L44" s="122"/>
      <c r="M44" s="122"/>
      <c r="N44" s="122"/>
      <c r="O44" s="96"/>
      <c r="P44" s="7"/>
      <c r="Q44" s="93">
        <v>2.1078893954554552</v>
      </c>
      <c r="R44" s="93">
        <v>41.104593434343435</v>
      </c>
      <c r="S44" s="122" t="s">
        <v>1518</v>
      </c>
      <c r="T44" s="7"/>
      <c r="U44" s="7"/>
      <c r="V44" s="122" t="s">
        <v>1518</v>
      </c>
      <c r="W44" s="122" t="s">
        <v>1518</v>
      </c>
      <c r="X44" s="122"/>
      <c r="Y44" s="7"/>
      <c r="Z44" s="7">
        <v>1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6">
        <v>45295</v>
      </c>
      <c r="AM44" s="4"/>
      <c r="AN44" s="4" t="s">
        <v>15</v>
      </c>
      <c r="AO44" s="4" t="s">
        <v>951</v>
      </c>
      <c r="AP44" s="4"/>
      <c r="AQ44" s="4"/>
      <c r="AR44" s="11">
        <v>100</v>
      </c>
      <c r="AS44" s="11">
        <v>100</v>
      </c>
      <c r="AT44" s="11"/>
      <c r="AU44" s="11"/>
    </row>
    <row r="45" spans="1:47" ht="15.75" x14ac:dyDescent="0.25">
      <c r="A45" s="112" t="s">
        <v>63</v>
      </c>
      <c r="B45" s="6" t="s">
        <v>1188</v>
      </c>
      <c r="C45" s="9" t="s">
        <v>3</v>
      </c>
      <c r="D45" s="9" t="s">
        <v>17</v>
      </c>
      <c r="E45" s="9">
        <v>3</v>
      </c>
      <c r="F45" s="9"/>
      <c r="G45" s="9"/>
      <c r="H45" s="7"/>
      <c r="I45" s="7"/>
      <c r="J45" s="7"/>
      <c r="K45" s="7"/>
      <c r="L45" s="122"/>
      <c r="M45" s="122"/>
      <c r="N45" s="122"/>
      <c r="O45" s="96"/>
      <c r="P45" s="14">
        <v>0.3</v>
      </c>
      <c r="Q45" s="93">
        <v>2.5722121980865613</v>
      </c>
      <c r="R45" s="93">
        <v>7.5604619565217348</v>
      </c>
      <c r="S45" s="122" t="s">
        <v>1518</v>
      </c>
      <c r="T45" s="7"/>
      <c r="U45" s="7"/>
      <c r="V45" s="122" t="s">
        <v>1518</v>
      </c>
      <c r="W45" s="122"/>
      <c r="X45" s="122" t="s">
        <v>1518</v>
      </c>
      <c r="Y45" s="7"/>
      <c r="Z45" s="7">
        <v>1</v>
      </c>
      <c r="AA45" s="7"/>
      <c r="AB45" s="7"/>
      <c r="AC45" s="7"/>
      <c r="AD45" s="7">
        <v>1</v>
      </c>
      <c r="AE45" s="7"/>
      <c r="AF45" s="7">
        <v>1</v>
      </c>
      <c r="AG45" s="7"/>
      <c r="AH45" s="7">
        <v>1</v>
      </c>
      <c r="AI45" s="7"/>
      <c r="AJ45" s="7"/>
      <c r="AK45" s="7"/>
      <c r="AL45" s="16">
        <v>45295</v>
      </c>
      <c r="AM45" s="4"/>
      <c r="AN45" s="4" t="s">
        <v>41</v>
      </c>
      <c r="AO45" s="4"/>
      <c r="AP45" s="4"/>
      <c r="AQ45" s="4"/>
      <c r="AR45" s="11">
        <v>250</v>
      </c>
      <c r="AS45" s="11"/>
      <c r="AT45" s="11"/>
      <c r="AU45" s="11"/>
    </row>
    <row r="46" spans="1:47" ht="28.5" x14ac:dyDescent="0.25">
      <c r="A46" s="112" t="s">
        <v>65</v>
      </c>
      <c r="B46" s="6" t="s">
        <v>1192</v>
      </c>
      <c r="C46" s="9" t="s">
        <v>3</v>
      </c>
      <c r="D46" s="8" t="s">
        <v>1538</v>
      </c>
      <c r="E46" s="9">
        <v>11</v>
      </c>
      <c r="F46" s="9"/>
      <c r="G46" s="9"/>
      <c r="H46" s="7"/>
      <c r="I46" s="7"/>
      <c r="J46" s="7"/>
      <c r="K46" s="7"/>
      <c r="L46" s="122"/>
      <c r="M46" s="122"/>
      <c r="N46" s="122"/>
      <c r="O46" s="96"/>
      <c r="P46" s="7"/>
      <c r="Q46" s="93">
        <v>8.793589967851446</v>
      </c>
      <c r="R46" s="93">
        <v>5.9449786324786382</v>
      </c>
      <c r="S46" s="122" t="s">
        <v>1518</v>
      </c>
      <c r="T46" s="7"/>
      <c r="U46" s="7"/>
      <c r="V46" s="122"/>
      <c r="W46" s="122"/>
      <c r="X46" s="122"/>
      <c r="Y46" s="7"/>
      <c r="Z46" s="7"/>
      <c r="AA46" s="7"/>
      <c r="AB46" s="7">
        <v>1</v>
      </c>
      <c r="AC46" s="7"/>
      <c r="AD46" s="7"/>
      <c r="AE46" s="7"/>
      <c r="AF46" s="7"/>
      <c r="AG46" s="7"/>
      <c r="AH46" s="7"/>
      <c r="AI46" s="7"/>
      <c r="AJ46" s="7"/>
      <c r="AK46" s="7"/>
      <c r="AL46" s="16">
        <v>45295</v>
      </c>
      <c r="AM46" s="4"/>
      <c r="AN46" s="11" t="s">
        <v>22</v>
      </c>
      <c r="AO46" s="4"/>
      <c r="AP46" s="4"/>
      <c r="AQ46" s="4"/>
      <c r="AR46" s="11">
        <v>500</v>
      </c>
      <c r="AS46" s="11"/>
      <c r="AT46" s="11"/>
      <c r="AU46" s="11"/>
    </row>
    <row r="47" spans="1:47" ht="15.75" x14ac:dyDescent="0.25">
      <c r="A47" s="112" t="s">
        <v>1193</v>
      </c>
      <c r="B47" s="6" t="s">
        <v>1194</v>
      </c>
      <c r="C47" s="9" t="s">
        <v>3</v>
      </c>
      <c r="D47" s="9" t="s">
        <v>13</v>
      </c>
      <c r="E47" s="9" t="s">
        <v>25</v>
      </c>
      <c r="F47" s="9"/>
      <c r="G47" s="9"/>
      <c r="H47" s="7"/>
      <c r="I47" s="7"/>
      <c r="J47" s="7"/>
      <c r="K47" s="7"/>
      <c r="L47" s="122"/>
      <c r="M47" s="122"/>
      <c r="N47" s="122"/>
      <c r="O47" s="96"/>
      <c r="P47" s="14">
        <v>0.5</v>
      </c>
      <c r="Q47" s="93">
        <v>59.390889830678617</v>
      </c>
      <c r="R47" s="93">
        <v>1.4018850828729341</v>
      </c>
      <c r="S47" s="122" t="s">
        <v>1518</v>
      </c>
      <c r="T47" s="7"/>
      <c r="U47" s="7"/>
      <c r="V47" s="122"/>
      <c r="W47" s="122"/>
      <c r="X47" s="122" t="s">
        <v>1518</v>
      </c>
      <c r="Y47" s="7"/>
      <c r="Z47" s="7"/>
      <c r="AA47" s="7"/>
      <c r="AB47" s="7">
        <v>1</v>
      </c>
      <c r="AC47" s="7"/>
      <c r="AD47" s="7"/>
      <c r="AE47" s="7"/>
      <c r="AF47" s="7"/>
      <c r="AG47" s="7"/>
      <c r="AH47" s="7"/>
      <c r="AI47" s="7"/>
      <c r="AJ47" s="7"/>
      <c r="AK47" s="7"/>
      <c r="AL47" s="16">
        <v>45295</v>
      </c>
      <c r="AM47" s="4"/>
      <c r="AN47" s="4" t="s">
        <v>49</v>
      </c>
      <c r="AO47" s="4"/>
      <c r="AP47" s="4"/>
      <c r="AQ47" s="4"/>
      <c r="AR47" s="11">
        <v>380</v>
      </c>
      <c r="AS47" s="11"/>
      <c r="AT47" s="11"/>
      <c r="AU47" s="11"/>
    </row>
    <row r="48" spans="1:47" ht="15.75" x14ac:dyDescent="0.25">
      <c r="A48" s="112" t="s">
        <v>1198</v>
      </c>
      <c r="B48" s="6" t="s">
        <v>1199</v>
      </c>
      <c r="C48" s="8" t="s">
        <v>3</v>
      </c>
      <c r="D48" s="7" t="s">
        <v>19</v>
      </c>
      <c r="E48" s="8">
        <v>40</v>
      </c>
      <c r="F48" s="8"/>
      <c r="G48" s="8"/>
      <c r="H48" s="7"/>
      <c r="I48" s="7"/>
      <c r="J48" s="7"/>
      <c r="K48" s="7"/>
      <c r="L48" s="122"/>
      <c r="M48" s="122"/>
      <c r="N48" s="122"/>
      <c r="O48" s="96"/>
      <c r="P48" s="7"/>
      <c r="Q48" s="93">
        <v>0.29825997782780167</v>
      </c>
      <c r="R48" s="93">
        <v>0.10304629629629623</v>
      </c>
      <c r="S48" s="122"/>
      <c r="T48" s="7"/>
      <c r="U48" s="7"/>
      <c r="V48" s="122" t="s">
        <v>1518</v>
      </c>
      <c r="W48" s="122"/>
      <c r="X48" s="122"/>
      <c r="Y48" s="7"/>
      <c r="Z48" s="7"/>
      <c r="AA48" s="7"/>
      <c r="AB48" s="7">
        <v>1</v>
      </c>
      <c r="AC48" s="7"/>
      <c r="AD48" s="7"/>
      <c r="AE48" s="7"/>
      <c r="AF48" s="7"/>
      <c r="AG48" s="7"/>
      <c r="AH48" s="7"/>
      <c r="AI48" s="7"/>
      <c r="AJ48" s="7">
        <v>1</v>
      </c>
      <c r="AK48" s="7"/>
      <c r="AL48" s="16">
        <v>45295</v>
      </c>
      <c r="AM48" s="4"/>
      <c r="AN48" s="13" t="s">
        <v>1001</v>
      </c>
      <c r="AO48" s="4"/>
      <c r="AP48" s="4"/>
      <c r="AQ48" s="4"/>
      <c r="AR48" s="11">
        <v>150</v>
      </c>
      <c r="AS48" s="11"/>
      <c r="AT48" s="11"/>
      <c r="AU48" s="11"/>
    </row>
    <row r="49" spans="1:51" ht="15.75" x14ac:dyDescent="0.25">
      <c r="A49" s="112" t="s">
        <v>66</v>
      </c>
      <c r="B49" s="6" t="s">
        <v>1203</v>
      </c>
      <c r="C49" s="8" t="s">
        <v>3</v>
      </c>
      <c r="D49" s="9" t="s">
        <v>26</v>
      </c>
      <c r="E49" s="8">
        <v>7</v>
      </c>
      <c r="F49" s="8"/>
      <c r="G49" s="8"/>
      <c r="H49" s="7"/>
      <c r="I49" s="7"/>
      <c r="J49" s="7"/>
      <c r="K49" s="7"/>
      <c r="L49" s="122" t="s">
        <v>1518</v>
      </c>
      <c r="M49" s="122" t="s">
        <v>1518</v>
      </c>
      <c r="N49" s="122"/>
      <c r="O49" s="96"/>
      <c r="P49" s="7"/>
      <c r="Q49" s="93">
        <v>0</v>
      </c>
      <c r="R49" s="93">
        <v>0</v>
      </c>
      <c r="S49" s="122" t="s">
        <v>1518</v>
      </c>
      <c r="T49" s="7"/>
      <c r="U49" s="7"/>
      <c r="V49" s="122"/>
      <c r="W49" s="122"/>
      <c r="X49" s="122"/>
      <c r="Y49" s="7"/>
      <c r="Z49" s="7"/>
      <c r="AA49" s="7"/>
      <c r="AB49" s="7">
        <v>1</v>
      </c>
      <c r="AC49" s="7"/>
      <c r="AD49" s="7"/>
      <c r="AE49" s="7"/>
      <c r="AF49" s="7"/>
      <c r="AG49" s="7"/>
      <c r="AH49" s="7"/>
      <c r="AI49" s="7"/>
      <c r="AJ49" s="7"/>
      <c r="AK49" s="7"/>
      <c r="AL49" s="16">
        <v>45295</v>
      </c>
      <c r="AM49" s="4"/>
      <c r="AN49" s="4" t="s">
        <v>67</v>
      </c>
      <c r="AO49" s="4"/>
      <c r="AP49" s="4"/>
      <c r="AQ49" s="4"/>
      <c r="AR49" s="11">
        <v>460</v>
      </c>
      <c r="AS49" s="11"/>
      <c r="AT49" s="11"/>
      <c r="AU49" s="11"/>
    </row>
    <row r="50" spans="1:51" ht="15.75" x14ac:dyDescent="0.25">
      <c r="A50" s="112" t="s">
        <v>68</v>
      </c>
      <c r="B50" s="6" t="s">
        <v>1204</v>
      </c>
      <c r="C50" s="8" t="s">
        <v>3</v>
      </c>
      <c r="D50" s="9" t="s">
        <v>26</v>
      </c>
      <c r="E50" s="8" t="s">
        <v>25</v>
      </c>
      <c r="F50" s="8"/>
      <c r="G50" s="8"/>
      <c r="H50" s="7"/>
      <c r="I50" s="7"/>
      <c r="J50" s="7"/>
      <c r="K50" s="7"/>
      <c r="L50" s="122"/>
      <c r="M50" s="122"/>
      <c r="N50" s="122"/>
      <c r="O50" s="96"/>
      <c r="P50" s="14">
        <v>0.5</v>
      </c>
      <c r="Q50" s="93">
        <v>46.887544603167356</v>
      </c>
      <c r="R50" s="93">
        <v>0.45056680161943419</v>
      </c>
      <c r="S50" s="122" t="s">
        <v>1518</v>
      </c>
      <c r="T50" s="7"/>
      <c r="U50" s="7"/>
      <c r="V50" s="122" t="s">
        <v>1518</v>
      </c>
      <c r="W50" s="122"/>
      <c r="X50" s="122" t="s">
        <v>1518</v>
      </c>
      <c r="Y50" s="7" t="s">
        <v>7</v>
      </c>
      <c r="Z50" s="7"/>
      <c r="AA50" s="7">
        <v>1</v>
      </c>
      <c r="AB50" s="7">
        <v>1</v>
      </c>
      <c r="AC50" s="7"/>
      <c r="AD50" s="7"/>
      <c r="AE50" s="7"/>
      <c r="AF50" s="7"/>
      <c r="AG50" s="7"/>
      <c r="AH50" s="7"/>
      <c r="AI50" s="7"/>
      <c r="AJ50" s="7"/>
      <c r="AK50" s="7"/>
      <c r="AL50" s="16">
        <v>45295</v>
      </c>
      <c r="AM50" s="4"/>
      <c r="AN50" s="4" t="s">
        <v>69</v>
      </c>
      <c r="AO50" s="4"/>
      <c r="AP50" s="4"/>
      <c r="AQ50" s="4"/>
      <c r="AR50" s="11">
        <v>300</v>
      </c>
      <c r="AS50" s="11"/>
      <c r="AT50" s="11"/>
      <c r="AU50" s="11"/>
    </row>
    <row r="51" spans="1:51" ht="15.75" x14ac:dyDescent="0.25">
      <c r="A51" s="198" t="s">
        <v>1214</v>
      </c>
      <c r="B51" s="129" t="s">
        <v>1215</v>
      </c>
      <c r="C51" s="197" t="s">
        <v>3</v>
      </c>
      <c r="D51" s="197" t="s">
        <v>54</v>
      </c>
      <c r="E51" s="8">
        <v>11</v>
      </c>
      <c r="F51" s="8"/>
      <c r="G51" s="8"/>
      <c r="H51" s="130"/>
      <c r="I51" s="130"/>
      <c r="J51" s="130"/>
      <c r="K51" s="130"/>
      <c r="L51" s="131" t="s">
        <v>1518</v>
      </c>
      <c r="M51" s="131" t="s">
        <v>1518</v>
      </c>
      <c r="N51" s="131"/>
      <c r="O51" s="132"/>
      <c r="P51" s="130"/>
      <c r="Q51" s="93">
        <v>2.5557162218723408</v>
      </c>
      <c r="R51" s="93">
        <v>2.7822499999999965E-2</v>
      </c>
      <c r="S51" s="131" t="s">
        <v>1518</v>
      </c>
      <c r="T51" s="130"/>
      <c r="U51" s="130"/>
      <c r="V51" s="131"/>
      <c r="W51" s="131"/>
      <c r="X51" s="131"/>
      <c r="Y51" s="130"/>
      <c r="Z51" s="130">
        <v>1</v>
      </c>
      <c r="AA51" s="130"/>
      <c r="AB51" s="130">
        <v>1</v>
      </c>
      <c r="AC51" s="130"/>
      <c r="AD51" s="130">
        <v>1</v>
      </c>
      <c r="AE51" s="130"/>
      <c r="AF51" s="130">
        <v>1</v>
      </c>
      <c r="AG51" s="130"/>
      <c r="AH51" s="130"/>
      <c r="AI51" s="130"/>
      <c r="AJ51" s="130"/>
      <c r="AK51" s="130"/>
      <c r="AL51" s="16">
        <v>45295</v>
      </c>
      <c r="AM51" s="134"/>
      <c r="AN51" s="129" t="s">
        <v>996</v>
      </c>
      <c r="AO51" s="134"/>
      <c r="AP51" s="134"/>
      <c r="AQ51" s="134"/>
      <c r="AR51" s="135">
        <v>250</v>
      </c>
      <c r="AS51" s="135"/>
      <c r="AT51" s="135"/>
      <c r="AU51" s="135"/>
    </row>
    <row r="52" spans="1:51" ht="15.75" x14ac:dyDescent="0.25">
      <c r="A52" s="112" t="s">
        <v>70</v>
      </c>
      <c r="B52" s="6" t="s">
        <v>1228</v>
      </c>
      <c r="C52" s="9" t="s">
        <v>3</v>
      </c>
      <c r="D52" s="8" t="s">
        <v>21</v>
      </c>
      <c r="E52" s="9">
        <v>3</v>
      </c>
      <c r="F52" s="9"/>
      <c r="G52" s="9"/>
      <c r="H52" s="7">
        <v>6</v>
      </c>
      <c r="I52" s="7"/>
      <c r="J52" s="7"/>
      <c r="K52" s="7"/>
      <c r="L52" s="122"/>
      <c r="M52" s="122"/>
      <c r="N52" s="122"/>
      <c r="O52" s="96"/>
      <c r="P52" s="14">
        <v>0.3</v>
      </c>
      <c r="Q52" s="93">
        <v>2.5722121980865613</v>
      </c>
      <c r="R52" s="93">
        <v>7.5604619565217348</v>
      </c>
      <c r="S52" s="122" t="s">
        <v>1518</v>
      </c>
      <c r="T52" s="7"/>
      <c r="U52" s="7"/>
      <c r="V52" s="122" t="s">
        <v>1518</v>
      </c>
      <c r="W52" s="122"/>
      <c r="X52" s="122" t="s">
        <v>1518</v>
      </c>
      <c r="Y52" s="7"/>
      <c r="Z52" s="7">
        <v>1</v>
      </c>
      <c r="AA52" s="7"/>
      <c r="AB52" s="7"/>
      <c r="AC52" s="7"/>
      <c r="AD52" s="7">
        <v>1</v>
      </c>
      <c r="AE52" s="7"/>
      <c r="AF52" s="7">
        <v>1</v>
      </c>
      <c r="AG52" s="7"/>
      <c r="AH52" s="7">
        <v>1</v>
      </c>
      <c r="AI52" s="7">
        <v>1</v>
      </c>
      <c r="AJ52" s="7"/>
      <c r="AK52" s="7"/>
      <c r="AL52" s="16">
        <v>45295</v>
      </c>
      <c r="AM52" s="4"/>
      <c r="AN52" s="11" t="s">
        <v>41</v>
      </c>
      <c r="AO52" s="4"/>
      <c r="AP52" s="4"/>
      <c r="AQ52" s="4"/>
      <c r="AR52" s="11">
        <v>250</v>
      </c>
      <c r="AS52" s="11"/>
      <c r="AT52" s="11"/>
      <c r="AU52" s="11"/>
    </row>
    <row r="53" spans="1:51" s="2" customFormat="1" ht="15.75" x14ac:dyDescent="0.25">
      <c r="A53" s="112" t="s">
        <v>1616</v>
      </c>
      <c r="B53" s="6" t="s">
        <v>1617</v>
      </c>
      <c r="C53" s="9" t="s">
        <v>3</v>
      </c>
      <c r="D53" s="8" t="s">
        <v>26</v>
      </c>
      <c r="E53" s="9">
        <v>27</v>
      </c>
      <c r="F53" s="9">
        <v>28</v>
      </c>
      <c r="G53" s="9"/>
      <c r="H53" s="7"/>
      <c r="I53" s="7"/>
      <c r="J53" s="7"/>
      <c r="K53" s="7"/>
      <c r="L53" s="122"/>
      <c r="M53" s="122"/>
      <c r="N53" s="122"/>
      <c r="O53" s="96"/>
      <c r="P53" s="7"/>
      <c r="Q53" s="93">
        <v>0.22470493656458485</v>
      </c>
      <c r="R53" s="93">
        <v>5.7319859405940603</v>
      </c>
      <c r="S53" s="122" t="s">
        <v>1518</v>
      </c>
      <c r="T53" s="7"/>
      <c r="U53" s="7"/>
      <c r="V53" s="122"/>
      <c r="W53" s="122"/>
      <c r="X53" s="122"/>
      <c r="Y53" s="7"/>
      <c r="Z53" s="7"/>
      <c r="AA53" s="7"/>
      <c r="AB53" s="7">
        <v>1</v>
      </c>
      <c r="AC53" s="7"/>
      <c r="AD53" s="7"/>
      <c r="AE53" s="7"/>
      <c r="AF53" s="7"/>
      <c r="AG53" s="7"/>
      <c r="AH53" s="7"/>
      <c r="AI53" s="7"/>
      <c r="AJ53" s="7"/>
      <c r="AK53" s="7"/>
      <c r="AL53" s="16">
        <v>45295</v>
      </c>
      <c r="AM53" s="4"/>
      <c r="AN53" s="4" t="s">
        <v>30</v>
      </c>
      <c r="AO53" s="11" t="s">
        <v>31</v>
      </c>
      <c r="AP53" s="4"/>
      <c r="AQ53" s="4"/>
      <c r="AR53" s="11">
        <v>50</v>
      </c>
      <c r="AS53" s="11">
        <v>400</v>
      </c>
      <c r="AT53" s="11"/>
      <c r="AU53" s="11"/>
      <c r="AV53" s="1"/>
      <c r="AW53" s="1"/>
      <c r="AX53" s="1"/>
      <c r="AY53" s="1"/>
    </row>
    <row r="54" spans="1:51" s="2" customFormat="1" ht="15.75" x14ac:dyDescent="0.25">
      <c r="A54" s="112" t="s">
        <v>71</v>
      </c>
      <c r="B54" s="6" t="s">
        <v>1232</v>
      </c>
      <c r="C54" s="9" t="s">
        <v>3</v>
      </c>
      <c r="D54" s="9" t="s">
        <v>54</v>
      </c>
      <c r="E54" s="9">
        <v>29</v>
      </c>
      <c r="F54" s="9"/>
      <c r="G54" s="9"/>
      <c r="H54" s="7">
        <v>20</v>
      </c>
      <c r="I54" s="7"/>
      <c r="J54" s="7"/>
      <c r="K54" s="7" t="s">
        <v>59</v>
      </c>
      <c r="L54" s="122"/>
      <c r="M54" s="122"/>
      <c r="N54" s="122"/>
      <c r="O54" s="96"/>
      <c r="P54" s="7"/>
      <c r="Q54" s="93">
        <v>6.4603069825525035</v>
      </c>
      <c r="R54" s="93">
        <v>23.113187954309396</v>
      </c>
      <c r="S54" s="122" t="s">
        <v>1518</v>
      </c>
      <c r="T54" s="7"/>
      <c r="U54" s="7"/>
      <c r="V54" s="122"/>
      <c r="W54" s="122"/>
      <c r="X54" s="122" t="s">
        <v>1518</v>
      </c>
      <c r="Y54" s="7"/>
      <c r="Z54" s="7"/>
      <c r="AA54" s="7"/>
      <c r="AB54" s="7">
        <v>1</v>
      </c>
      <c r="AC54" s="7"/>
      <c r="AD54" s="7"/>
      <c r="AE54" s="7"/>
      <c r="AF54" s="7"/>
      <c r="AG54" s="7"/>
      <c r="AH54" s="7"/>
      <c r="AI54" s="7"/>
      <c r="AJ54" s="7"/>
      <c r="AK54" s="7"/>
      <c r="AL54" s="16">
        <v>45295</v>
      </c>
      <c r="AM54" s="4"/>
      <c r="AN54" s="11" t="s">
        <v>60</v>
      </c>
      <c r="AO54" s="4"/>
      <c r="AP54" s="4"/>
      <c r="AQ54" s="4"/>
      <c r="AR54" s="11">
        <v>500</v>
      </c>
      <c r="AS54" s="11"/>
      <c r="AT54" s="11"/>
      <c r="AU54" s="11"/>
    </row>
    <row r="55" spans="1:51" s="2" customFormat="1" ht="24.75" x14ac:dyDescent="0.25">
      <c r="A55" s="112" t="s">
        <v>72</v>
      </c>
      <c r="B55" s="6" t="s">
        <v>1233</v>
      </c>
      <c r="C55" s="8" t="s">
        <v>3</v>
      </c>
      <c r="D55" s="8" t="s">
        <v>21</v>
      </c>
      <c r="E55" s="8">
        <v>28</v>
      </c>
      <c r="F55" s="8">
        <v>43</v>
      </c>
      <c r="G55" s="8"/>
      <c r="H55" s="7"/>
      <c r="I55" s="7"/>
      <c r="J55" s="7"/>
      <c r="K55" s="7"/>
      <c r="L55" s="122" t="s">
        <v>1518</v>
      </c>
      <c r="M55" s="122" t="s">
        <v>1518</v>
      </c>
      <c r="N55" s="122"/>
      <c r="O55" s="96" t="s">
        <v>73</v>
      </c>
      <c r="P55" s="14">
        <v>0.3</v>
      </c>
      <c r="Q55" s="93">
        <v>0.19285385190149151</v>
      </c>
      <c r="R55" s="93">
        <v>0.66773999999999922</v>
      </c>
      <c r="S55" s="122" t="s">
        <v>1518</v>
      </c>
      <c r="T55" s="7"/>
      <c r="U55" s="7"/>
      <c r="V55" s="122"/>
      <c r="W55" s="122"/>
      <c r="X55" s="122"/>
      <c r="Y55" s="7"/>
      <c r="Z55" s="7"/>
      <c r="AA55" s="7"/>
      <c r="AB55" s="7">
        <v>1</v>
      </c>
      <c r="AC55" s="7"/>
      <c r="AD55" s="7"/>
      <c r="AE55" s="7"/>
      <c r="AF55" s="7"/>
      <c r="AG55" s="7"/>
      <c r="AH55" s="7"/>
      <c r="AI55" s="7"/>
      <c r="AJ55" s="7"/>
      <c r="AK55" s="7"/>
      <c r="AL55" s="16">
        <v>45295</v>
      </c>
      <c r="AM55" s="4"/>
      <c r="AN55" s="11" t="s">
        <v>31</v>
      </c>
      <c r="AO55" s="4" t="s">
        <v>74</v>
      </c>
      <c r="AP55" s="4"/>
      <c r="AQ55" s="4"/>
      <c r="AR55" s="11">
        <v>625</v>
      </c>
      <c r="AS55" s="11">
        <v>62.5</v>
      </c>
      <c r="AT55" s="11"/>
      <c r="AU55" s="11"/>
    </row>
    <row r="56" spans="1:51" ht="15.75" x14ac:dyDescent="0.25">
      <c r="A56" s="112" t="s">
        <v>1481</v>
      </c>
      <c r="B56" s="6" t="s">
        <v>1234</v>
      </c>
      <c r="C56" s="9" t="s">
        <v>3</v>
      </c>
      <c r="D56" s="8" t="s">
        <v>21</v>
      </c>
      <c r="E56" s="9">
        <v>3</v>
      </c>
      <c r="F56" s="9">
        <v>5</v>
      </c>
      <c r="G56" s="9"/>
      <c r="H56" s="7">
        <v>20</v>
      </c>
      <c r="I56" s="7"/>
      <c r="J56" s="7"/>
      <c r="K56" s="7" t="s">
        <v>14</v>
      </c>
      <c r="L56" s="122"/>
      <c r="M56" s="122"/>
      <c r="N56" s="122"/>
      <c r="O56" s="96"/>
      <c r="P56" s="7"/>
      <c r="Q56" s="93">
        <v>10.550523349587952</v>
      </c>
      <c r="R56" s="93">
        <v>1.5743371088435363</v>
      </c>
      <c r="S56" s="122" t="s">
        <v>1518</v>
      </c>
      <c r="T56" s="7"/>
      <c r="U56" s="7"/>
      <c r="V56" s="122" t="s">
        <v>1518</v>
      </c>
      <c r="W56" s="122"/>
      <c r="X56" s="122" t="s">
        <v>1518</v>
      </c>
      <c r="Y56" s="7"/>
      <c r="Z56" s="7">
        <v>1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16">
        <v>45295</v>
      </c>
      <c r="AM56" s="4"/>
      <c r="AN56" s="11" t="s">
        <v>15</v>
      </c>
      <c r="AO56" s="11" t="s">
        <v>42</v>
      </c>
      <c r="AP56" s="4"/>
      <c r="AQ56" s="4"/>
      <c r="AR56" s="11">
        <v>160</v>
      </c>
      <c r="AS56" s="11">
        <v>300</v>
      </c>
      <c r="AT56" s="11"/>
      <c r="AU56" s="11"/>
      <c r="AV56" s="2"/>
      <c r="AW56" s="2"/>
      <c r="AX56" s="2"/>
      <c r="AY56" s="2"/>
    </row>
    <row r="57" spans="1:51" s="2" customFormat="1" ht="15.75" x14ac:dyDescent="0.25">
      <c r="A57" s="112" t="s">
        <v>1498</v>
      </c>
      <c r="B57" s="6" t="s">
        <v>1234</v>
      </c>
      <c r="C57" s="9" t="s">
        <v>3</v>
      </c>
      <c r="D57" s="8" t="s">
        <v>21</v>
      </c>
      <c r="E57" s="9">
        <v>3</v>
      </c>
      <c r="F57" s="9">
        <v>5</v>
      </c>
      <c r="G57" s="9"/>
      <c r="H57" s="7">
        <v>20</v>
      </c>
      <c r="I57" s="7"/>
      <c r="J57" s="7"/>
      <c r="K57" s="7" t="s">
        <v>120</v>
      </c>
      <c r="L57" s="122"/>
      <c r="M57" s="122"/>
      <c r="N57" s="122"/>
      <c r="O57" s="96"/>
      <c r="P57" s="7"/>
      <c r="Q57" s="93">
        <v>17.584205582646586</v>
      </c>
      <c r="R57" s="93">
        <v>2.623895181405894</v>
      </c>
      <c r="S57" s="122" t="s">
        <v>1518</v>
      </c>
      <c r="T57" s="7"/>
      <c r="U57" s="7"/>
      <c r="V57" s="122" t="s">
        <v>1518</v>
      </c>
      <c r="W57" s="122"/>
      <c r="X57" s="122" t="s">
        <v>1518</v>
      </c>
      <c r="Y57" s="7"/>
      <c r="Z57" s="7">
        <v>1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6">
        <v>45295</v>
      </c>
      <c r="AM57" s="4"/>
      <c r="AN57" s="11" t="s">
        <v>15</v>
      </c>
      <c r="AO57" s="11" t="s">
        <v>42</v>
      </c>
      <c r="AP57" s="4"/>
      <c r="AQ57" s="4"/>
      <c r="AR57" s="11">
        <v>160</v>
      </c>
      <c r="AS57" s="11">
        <v>300</v>
      </c>
      <c r="AT57" s="11"/>
      <c r="AU57" s="11"/>
      <c r="AV57" s="1"/>
      <c r="AW57" s="1"/>
      <c r="AX57" s="1"/>
      <c r="AY57" s="1"/>
    </row>
    <row r="58" spans="1:51" ht="15.75" x14ac:dyDescent="0.25">
      <c r="A58" s="112" t="s">
        <v>75</v>
      </c>
      <c r="B58" s="6" t="s">
        <v>1235</v>
      </c>
      <c r="C58" s="9" t="s">
        <v>3</v>
      </c>
      <c r="D58" s="9" t="s">
        <v>17</v>
      </c>
      <c r="E58" s="9"/>
      <c r="F58" s="9"/>
      <c r="G58" s="9"/>
      <c r="H58" s="7"/>
      <c r="I58" s="7"/>
      <c r="J58" s="7"/>
      <c r="K58" s="7"/>
      <c r="L58" s="122"/>
      <c r="M58" s="122"/>
      <c r="N58" s="122"/>
      <c r="O58" s="96"/>
      <c r="P58" s="7"/>
      <c r="Q58" s="93">
        <v>5.1936516252039128E-4</v>
      </c>
      <c r="R58" s="93">
        <v>5.1991540404040297E-2</v>
      </c>
      <c r="S58" s="122"/>
      <c r="T58" s="7"/>
      <c r="U58" s="7"/>
      <c r="V58" s="122"/>
      <c r="W58" s="122"/>
      <c r="X58" s="122"/>
      <c r="Y58" s="7"/>
      <c r="Z58" s="7">
        <v>1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16">
        <v>45295</v>
      </c>
      <c r="AM58" s="4"/>
      <c r="AN58" s="4" t="s">
        <v>76</v>
      </c>
      <c r="AO58" s="4"/>
      <c r="AP58" s="4"/>
      <c r="AQ58" s="4"/>
      <c r="AR58" s="11">
        <v>37</v>
      </c>
      <c r="AS58" s="11"/>
      <c r="AT58" s="11"/>
      <c r="AU58" s="11"/>
      <c r="AV58" s="2"/>
      <c r="AW58" s="2"/>
      <c r="AX58" s="2"/>
      <c r="AY58" s="2"/>
    </row>
    <row r="59" spans="1:51" ht="15.75" x14ac:dyDescent="0.25">
      <c r="A59" s="112" t="s">
        <v>77</v>
      </c>
      <c r="B59" s="6" t="s">
        <v>1240</v>
      </c>
      <c r="C59" s="8" t="s">
        <v>3</v>
      </c>
      <c r="D59" s="9" t="s">
        <v>17</v>
      </c>
      <c r="E59" s="8" t="s">
        <v>25</v>
      </c>
      <c r="F59" s="8"/>
      <c r="G59" s="8"/>
      <c r="H59" s="7"/>
      <c r="I59" s="7"/>
      <c r="J59" s="7"/>
      <c r="K59" s="7"/>
      <c r="L59" s="122"/>
      <c r="M59" s="122"/>
      <c r="N59" s="122"/>
      <c r="O59" s="96"/>
      <c r="P59" s="14">
        <v>0.5</v>
      </c>
      <c r="Q59" s="93">
        <v>54.702135370361916</v>
      </c>
      <c r="R59" s="93">
        <v>0.52566126855600659</v>
      </c>
      <c r="S59" s="122" t="s">
        <v>1518</v>
      </c>
      <c r="T59" s="7"/>
      <c r="U59" s="7"/>
      <c r="V59" s="122" t="s">
        <v>1518</v>
      </c>
      <c r="W59" s="122"/>
      <c r="X59" s="122" t="s">
        <v>1518</v>
      </c>
      <c r="Y59" s="7"/>
      <c r="Z59" s="7"/>
      <c r="AA59" s="7"/>
      <c r="AB59" s="7">
        <v>1</v>
      </c>
      <c r="AC59" s="7"/>
      <c r="AD59" s="7"/>
      <c r="AE59" s="7"/>
      <c r="AF59" s="7"/>
      <c r="AG59" s="7"/>
      <c r="AH59" s="7"/>
      <c r="AI59" s="7"/>
      <c r="AJ59" s="7"/>
      <c r="AK59" s="7"/>
      <c r="AL59" s="16">
        <v>45295</v>
      </c>
      <c r="AM59" s="4"/>
      <c r="AN59" s="11" t="s">
        <v>69</v>
      </c>
      <c r="AO59" s="4"/>
      <c r="AP59" s="4"/>
      <c r="AQ59" s="4"/>
      <c r="AR59" s="11">
        <v>350</v>
      </c>
      <c r="AS59" s="11"/>
      <c r="AT59" s="11"/>
      <c r="AU59" s="11"/>
    </row>
    <row r="60" spans="1:51" ht="15.75" x14ac:dyDescent="0.25">
      <c r="A60" s="112" t="s">
        <v>78</v>
      </c>
      <c r="B60" s="6" t="s">
        <v>1241</v>
      </c>
      <c r="C60" s="8" t="s">
        <v>3</v>
      </c>
      <c r="D60" s="8" t="s">
        <v>959</v>
      </c>
      <c r="E60" s="8" t="s">
        <v>25</v>
      </c>
      <c r="F60" s="8"/>
      <c r="G60" s="8"/>
      <c r="H60" s="7"/>
      <c r="I60" s="7"/>
      <c r="J60" s="7"/>
      <c r="K60" s="7"/>
      <c r="L60" s="122"/>
      <c r="M60" s="122"/>
      <c r="N60" s="122"/>
      <c r="O60" s="96"/>
      <c r="P60" s="14">
        <v>0.5</v>
      </c>
      <c r="Q60" s="93">
        <v>54.702135370361916</v>
      </c>
      <c r="R60" s="93">
        <v>0.52566126855600659</v>
      </c>
      <c r="S60" s="122" t="s">
        <v>1518</v>
      </c>
      <c r="T60" s="7"/>
      <c r="U60" s="7"/>
      <c r="V60" s="122" t="s">
        <v>1518</v>
      </c>
      <c r="W60" s="122" t="s">
        <v>1518</v>
      </c>
      <c r="X60" s="122" t="s">
        <v>1518</v>
      </c>
      <c r="Y60" s="7"/>
      <c r="Z60" s="7"/>
      <c r="AA60" s="7"/>
      <c r="AB60" s="7">
        <v>1</v>
      </c>
      <c r="AC60" s="7"/>
      <c r="AD60" s="7"/>
      <c r="AE60" s="7"/>
      <c r="AF60" s="7"/>
      <c r="AG60" s="7"/>
      <c r="AH60" s="7"/>
      <c r="AI60" s="7"/>
      <c r="AJ60" s="7"/>
      <c r="AK60" s="7"/>
      <c r="AL60" s="16">
        <v>45295</v>
      </c>
      <c r="AM60" s="4"/>
      <c r="AN60" s="11" t="s">
        <v>69</v>
      </c>
      <c r="AO60" s="4"/>
      <c r="AP60" s="4"/>
      <c r="AQ60" s="4"/>
      <c r="AR60" s="11">
        <v>300</v>
      </c>
      <c r="AS60" s="11"/>
      <c r="AT60" s="11"/>
      <c r="AU60" s="11"/>
    </row>
    <row r="61" spans="1:51" ht="15.75" x14ac:dyDescent="0.25">
      <c r="A61" s="112" t="s">
        <v>1928</v>
      </c>
      <c r="B61" s="6" t="s">
        <v>1929</v>
      </c>
      <c r="C61" s="8" t="s">
        <v>3</v>
      </c>
      <c r="D61" s="8" t="s">
        <v>19</v>
      </c>
      <c r="E61" s="8" t="s">
        <v>1930</v>
      </c>
      <c r="F61" s="8"/>
      <c r="G61" s="8"/>
      <c r="H61" s="7"/>
      <c r="I61" s="7"/>
      <c r="J61" s="7"/>
      <c r="K61" s="7"/>
      <c r="L61" s="122"/>
      <c r="M61" s="122"/>
      <c r="N61" s="122"/>
      <c r="O61" s="96"/>
      <c r="P61" s="14"/>
      <c r="Q61" s="93">
        <v>4.6441924458176555E-2</v>
      </c>
      <c r="R61" s="93">
        <v>4.5470888661899895</v>
      </c>
      <c r="S61" s="122"/>
      <c r="T61" s="7"/>
      <c r="U61" s="7"/>
      <c r="V61" s="122"/>
      <c r="W61" s="122"/>
      <c r="X61" s="122"/>
      <c r="Y61" s="7"/>
      <c r="Z61" s="7">
        <v>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16">
        <v>45295</v>
      </c>
      <c r="AM61" s="4"/>
      <c r="AN61" s="4" t="s">
        <v>1097</v>
      </c>
      <c r="AO61" s="4"/>
      <c r="AP61" s="4"/>
      <c r="AQ61" s="4"/>
      <c r="AR61" s="11">
        <v>800</v>
      </c>
      <c r="AS61" s="11"/>
      <c r="AT61" s="11"/>
      <c r="AU61" s="11"/>
    </row>
    <row r="62" spans="1:51" ht="15.75" x14ac:dyDescent="0.25">
      <c r="A62" s="112" t="s">
        <v>1244</v>
      </c>
      <c r="B62" s="6" t="s">
        <v>1245</v>
      </c>
      <c r="C62" s="8" t="s">
        <v>3</v>
      </c>
      <c r="D62" s="8" t="s">
        <v>1650</v>
      </c>
      <c r="E62" s="8">
        <v>27</v>
      </c>
      <c r="F62" s="8">
        <v>29</v>
      </c>
      <c r="G62" s="8"/>
      <c r="H62" s="7">
        <v>6</v>
      </c>
      <c r="I62" s="7"/>
      <c r="J62" s="7"/>
      <c r="K62" s="7" t="s">
        <v>80</v>
      </c>
      <c r="L62" s="122"/>
      <c r="M62" s="122"/>
      <c r="N62" s="122"/>
      <c r="O62" s="96"/>
      <c r="P62" s="14">
        <v>0.5</v>
      </c>
      <c r="Q62" s="93">
        <v>6.2617298466364266</v>
      </c>
      <c r="R62" s="93">
        <v>27.178019647759122</v>
      </c>
      <c r="S62" s="122" t="s">
        <v>1518</v>
      </c>
      <c r="T62" s="7"/>
      <c r="U62" s="7"/>
      <c r="V62" s="122" t="s">
        <v>1518</v>
      </c>
      <c r="W62" s="122"/>
      <c r="X62" s="122" t="s">
        <v>1518</v>
      </c>
      <c r="Y62" s="7"/>
      <c r="Z62" s="7"/>
      <c r="AA62" s="7"/>
      <c r="AB62" s="7">
        <v>1</v>
      </c>
      <c r="AC62" s="7"/>
      <c r="AD62" s="7"/>
      <c r="AE62" s="7"/>
      <c r="AF62" s="7"/>
      <c r="AG62" s="7"/>
      <c r="AH62" s="7"/>
      <c r="AI62" s="7"/>
      <c r="AJ62" s="7"/>
      <c r="AK62" s="7"/>
      <c r="AL62" s="16">
        <v>45295</v>
      </c>
      <c r="AM62" s="4"/>
      <c r="AN62" s="11" t="s">
        <v>30</v>
      </c>
      <c r="AO62" s="4" t="s">
        <v>60</v>
      </c>
      <c r="AP62" s="4"/>
      <c r="AQ62" s="4"/>
      <c r="AR62" s="11">
        <v>250</v>
      </c>
      <c r="AS62" s="11">
        <v>375</v>
      </c>
      <c r="AT62" s="11"/>
      <c r="AU62" s="11"/>
    </row>
    <row r="63" spans="1:51" ht="15.75" x14ac:dyDescent="0.25">
      <c r="A63" s="112" t="s">
        <v>2044</v>
      </c>
      <c r="B63" s="6" t="s">
        <v>2045</v>
      </c>
      <c r="C63" s="9" t="s">
        <v>3</v>
      </c>
      <c r="D63" s="9" t="s">
        <v>2046</v>
      </c>
      <c r="E63" s="9"/>
      <c r="F63" s="9"/>
      <c r="G63" s="9"/>
      <c r="H63" s="7"/>
      <c r="I63" s="7"/>
      <c r="J63" s="7"/>
      <c r="K63" s="7"/>
      <c r="L63" s="122"/>
      <c r="M63" s="122"/>
      <c r="N63" s="122"/>
      <c r="O63" s="96"/>
      <c r="P63" s="7"/>
      <c r="Q63" s="93">
        <f t="shared" ref="Q63" si="2">+BM63</f>
        <v>0</v>
      </c>
      <c r="R63" s="93">
        <f t="shared" ref="R63" si="3">+BR63</f>
        <v>0</v>
      </c>
      <c r="S63" s="122"/>
      <c r="T63" s="7"/>
      <c r="U63" s="7"/>
      <c r="V63" s="124"/>
      <c r="W63" s="124"/>
      <c r="X63" s="124"/>
      <c r="Y63" s="12"/>
      <c r="Z63" s="7"/>
      <c r="AA63" s="7"/>
      <c r="AB63" s="7"/>
      <c r="AC63" s="7"/>
      <c r="AD63" s="7">
        <v>2</v>
      </c>
      <c r="AE63" s="7"/>
      <c r="AF63" s="7"/>
      <c r="AG63" s="7"/>
      <c r="AH63" s="7"/>
      <c r="AI63" s="7"/>
      <c r="AJ63" s="7">
        <v>1</v>
      </c>
      <c r="AK63" s="7"/>
      <c r="AL63" s="16">
        <v>45295</v>
      </c>
      <c r="AM63" s="4"/>
      <c r="AN63" s="4" t="s">
        <v>45</v>
      </c>
      <c r="AO63" s="4"/>
      <c r="AP63" s="4"/>
      <c r="AQ63" s="4"/>
      <c r="AR63" s="11">
        <v>1</v>
      </c>
      <c r="AS63" s="11"/>
      <c r="AT63" s="11"/>
      <c r="AU63" s="11"/>
    </row>
    <row r="64" spans="1:51" ht="15.75" x14ac:dyDescent="0.25">
      <c r="A64" s="112" t="s">
        <v>79</v>
      </c>
      <c r="B64" s="6" t="s">
        <v>1252</v>
      </c>
      <c r="C64" s="8" t="s">
        <v>3</v>
      </c>
      <c r="D64" s="9" t="s">
        <v>17</v>
      </c>
      <c r="E64" s="8">
        <v>21</v>
      </c>
      <c r="F64" s="8"/>
      <c r="G64" s="8"/>
      <c r="H64" s="7"/>
      <c r="I64" s="7"/>
      <c r="J64" s="7"/>
      <c r="K64" s="7" t="s">
        <v>14</v>
      </c>
      <c r="L64" s="122"/>
      <c r="M64" s="122"/>
      <c r="N64" s="122"/>
      <c r="O64" s="96"/>
      <c r="P64" s="7"/>
      <c r="Q64" s="93">
        <v>3.9745478645455989</v>
      </c>
      <c r="R64" s="93">
        <v>2.2258000000000007E-2</v>
      </c>
      <c r="S64" s="122" t="s">
        <v>1518</v>
      </c>
      <c r="T64" s="7"/>
      <c r="U64" s="7"/>
      <c r="V64" s="122"/>
      <c r="W64" s="122"/>
      <c r="X64" s="122"/>
      <c r="Y64" s="7"/>
      <c r="Z64" s="7"/>
      <c r="AA64" s="7"/>
      <c r="AB64" s="7"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16">
        <v>45295</v>
      </c>
      <c r="AM64" s="4"/>
      <c r="AN64" s="11" t="s">
        <v>911</v>
      </c>
      <c r="AO64" s="4"/>
      <c r="AP64" s="4"/>
      <c r="AQ64" s="4"/>
      <c r="AR64" s="11">
        <v>200</v>
      </c>
      <c r="AS64" s="11"/>
      <c r="AT64" s="11"/>
      <c r="AU64" s="11"/>
    </row>
    <row r="65" spans="1:47" ht="15.75" x14ac:dyDescent="0.25">
      <c r="A65" s="112" t="s">
        <v>1842</v>
      </c>
      <c r="B65" s="6" t="s">
        <v>1843</v>
      </c>
      <c r="C65" s="9" t="s">
        <v>3</v>
      </c>
      <c r="D65" s="8" t="s">
        <v>26</v>
      </c>
      <c r="E65" s="9">
        <v>3</v>
      </c>
      <c r="F65" s="9"/>
      <c r="G65" s="9"/>
      <c r="H65" s="7"/>
      <c r="I65" s="7"/>
      <c r="J65" s="7"/>
      <c r="K65" s="7" t="s">
        <v>14</v>
      </c>
      <c r="L65" s="122"/>
      <c r="M65" s="122"/>
      <c r="N65" s="122"/>
      <c r="O65" s="96"/>
      <c r="P65" s="14">
        <v>0.3</v>
      </c>
      <c r="Q65" s="93">
        <v>2.0910301679515646</v>
      </c>
      <c r="R65" s="93">
        <v>6.9730576441102894</v>
      </c>
      <c r="S65" s="122" t="s">
        <v>1518</v>
      </c>
      <c r="T65" s="7"/>
      <c r="U65" s="7"/>
      <c r="V65" s="122" t="s">
        <v>1518</v>
      </c>
      <c r="W65" s="122"/>
      <c r="X65" s="122"/>
      <c r="Y65" s="7"/>
      <c r="Z65" s="7">
        <v>1</v>
      </c>
      <c r="AA65" s="7">
        <v>1</v>
      </c>
      <c r="AB65" s="7">
        <v>1</v>
      </c>
      <c r="AC65" s="7"/>
      <c r="AD65" s="7">
        <v>1</v>
      </c>
      <c r="AE65" s="7"/>
      <c r="AF65" s="7"/>
      <c r="AG65" s="7"/>
      <c r="AH65" s="7"/>
      <c r="AI65" s="7"/>
      <c r="AJ65" s="7"/>
      <c r="AK65" s="7"/>
      <c r="AL65" s="16">
        <v>45295</v>
      </c>
      <c r="AM65" s="4"/>
      <c r="AN65" s="6" t="s">
        <v>1014</v>
      </c>
      <c r="AO65" s="4"/>
      <c r="AP65" s="4"/>
      <c r="AQ65" s="4"/>
      <c r="AR65" s="11">
        <v>250</v>
      </c>
      <c r="AS65" s="11"/>
      <c r="AT65" s="11"/>
      <c r="AU65" s="11"/>
    </row>
    <row r="66" spans="1:47" ht="15.75" x14ac:dyDescent="0.25">
      <c r="A66" s="112" t="s">
        <v>81</v>
      </c>
      <c r="B66" s="6" t="s">
        <v>1263</v>
      </c>
      <c r="C66" s="9" t="s">
        <v>3</v>
      </c>
      <c r="D66" s="8" t="s">
        <v>29</v>
      </c>
      <c r="E66" s="9">
        <v>29</v>
      </c>
      <c r="F66" s="9"/>
      <c r="G66" s="9"/>
      <c r="H66" s="7">
        <v>20</v>
      </c>
      <c r="I66" s="7"/>
      <c r="J66" s="7"/>
      <c r="K66" s="7" t="s">
        <v>59</v>
      </c>
      <c r="L66" s="122"/>
      <c r="M66" s="122"/>
      <c r="N66" s="122"/>
      <c r="O66" s="96"/>
      <c r="P66" s="7"/>
      <c r="Q66" s="93">
        <v>6.4603069825525035</v>
      </c>
      <c r="R66" s="93">
        <v>23.113187954309396</v>
      </c>
      <c r="S66" s="122" t="s">
        <v>1518</v>
      </c>
      <c r="T66" s="7"/>
      <c r="U66" s="7"/>
      <c r="V66" s="122"/>
      <c r="W66" s="122"/>
      <c r="X66" s="122" t="s">
        <v>1518</v>
      </c>
      <c r="Y66" s="7"/>
      <c r="Z66" s="7"/>
      <c r="AA66" s="7"/>
      <c r="AB66" s="7">
        <v>1</v>
      </c>
      <c r="AC66" s="7"/>
      <c r="AD66" s="7"/>
      <c r="AE66" s="7"/>
      <c r="AF66" s="7"/>
      <c r="AG66" s="7"/>
      <c r="AH66" s="7"/>
      <c r="AI66" s="7"/>
      <c r="AJ66" s="7"/>
      <c r="AK66" s="7"/>
      <c r="AL66" s="16">
        <v>45295</v>
      </c>
      <c r="AM66" s="4"/>
      <c r="AN66" s="11" t="s">
        <v>60</v>
      </c>
      <c r="AO66" s="4"/>
      <c r="AP66" s="4"/>
      <c r="AQ66" s="4"/>
      <c r="AR66" s="11">
        <v>500</v>
      </c>
      <c r="AS66" s="11"/>
      <c r="AT66" s="11"/>
      <c r="AU66" s="11"/>
    </row>
    <row r="67" spans="1:47" ht="15.75" x14ac:dyDescent="0.25">
      <c r="A67" s="112" t="s">
        <v>1264</v>
      </c>
      <c r="B67" s="6" t="s">
        <v>1265</v>
      </c>
      <c r="C67" s="9" t="s">
        <v>3</v>
      </c>
      <c r="D67" s="8" t="s">
        <v>29</v>
      </c>
      <c r="E67" s="9">
        <v>12</v>
      </c>
      <c r="F67" s="9"/>
      <c r="G67" s="9"/>
      <c r="H67" s="7"/>
      <c r="I67" s="7"/>
      <c r="J67" s="7"/>
      <c r="K67" s="7"/>
      <c r="L67" s="122"/>
      <c r="M67" s="122"/>
      <c r="N67" s="122"/>
      <c r="O67" s="96"/>
      <c r="P67" s="14">
        <v>0.3</v>
      </c>
      <c r="Q67" s="93">
        <v>0</v>
      </c>
      <c r="R67" s="93">
        <v>0</v>
      </c>
      <c r="S67" s="122" t="s">
        <v>1518</v>
      </c>
      <c r="T67" s="7"/>
      <c r="U67" s="7"/>
      <c r="V67" s="122"/>
      <c r="W67" s="122"/>
      <c r="X67" s="122"/>
      <c r="Y67" s="7"/>
      <c r="Z67" s="7"/>
      <c r="AA67" s="7"/>
      <c r="AB67" s="7">
        <v>1</v>
      </c>
      <c r="AC67" s="7"/>
      <c r="AD67" s="7"/>
      <c r="AE67" s="7"/>
      <c r="AF67" s="7"/>
      <c r="AG67" s="7"/>
      <c r="AH67" s="7"/>
      <c r="AI67" s="7"/>
      <c r="AJ67" s="7"/>
      <c r="AK67" s="7"/>
      <c r="AL67" s="16">
        <v>45295</v>
      </c>
      <c r="AM67" s="4"/>
      <c r="AN67" s="4" t="s">
        <v>82</v>
      </c>
      <c r="AO67" s="4"/>
      <c r="AP67" s="4"/>
      <c r="AQ67" s="4"/>
      <c r="AR67" s="11">
        <v>100</v>
      </c>
      <c r="AS67" s="11"/>
      <c r="AT67" s="11"/>
      <c r="AU67" s="11"/>
    </row>
    <row r="68" spans="1:47" ht="15.75" x14ac:dyDescent="0.25">
      <c r="A68" s="112" t="s">
        <v>1621</v>
      </c>
      <c r="B68" s="6" t="s">
        <v>1673</v>
      </c>
      <c r="C68" s="9" t="s">
        <v>3</v>
      </c>
      <c r="D68" s="7" t="s">
        <v>26</v>
      </c>
      <c r="E68" s="9" t="s">
        <v>20</v>
      </c>
      <c r="F68" s="9"/>
      <c r="G68" s="9"/>
      <c r="H68" s="7"/>
      <c r="I68" s="7"/>
      <c r="J68" s="7"/>
      <c r="K68" s="7"/>
      <c r="L68" s="122"/>
      <c r="M68" s="122"/>
      <c r="N68" s="122"/>
      <c r="O68" s="96"/>
      <c r="P68" s="7"/>
      <c r="Q68" s="93">
        <v>64.61058916832306</v>
      </c>
      <c r="R68" s="93">
        <v>14.885923566878985</v>
      </c>
      <c r="S68" s="122" t="s">
        <v>1518</v>
      </c>
      <c r="T68" s="7"/>
      <c r="U68" s="7"/>
      <c r="V68" s="124"/>
      <c r="W68" s="124"/>
      <c r="X68" s="122" t="s">
        <v>1518</v>
      </c>
      <c r="Y68" s="12"/>
      <c r="Z68" s="7"/>
      <c r="AA68" s="7"/>
      <c r="AB68" s="7">
        <v>1</v>
      </c>
      <c r="AC68" s="7"/>
      <c r="AD68" s="7"/>
      <c r="AE68" s="7"/>
      <c r="AF68" s="7"/>
      <c r="AG68" s="7"/>
      <c r="AH68" s="7"/>
      <c r="AI68" s="7"/>
      <c r="AJ68" s="7"/>
      <c r="AK68" s="7"/>
      <c r="AL68" s="16">
        <v>45295</v>
      </c>
      <c r="AM68" s="4"/>
      <c r="AN68" s="6" t="s">
        <v>1332</v>
      </c>
      <c r="AO68" s="4"/>
      <c r="AP68" s="4"/>
      <c r="AQ68" s="4"/>
      <c r="AR68" s="11">
        <v>700</v>
      </c>
      <c r="AS68" s="11"/>
      <c r="AT68" s="11"/>
      <c r="AU68" s="11"/>
    </row>
    <row r="69" spans="1:47" ht="15.75" x14ac:dyDescent="0.25">
      <c r="A69" s="112" t="s">
        <v>84</v>
      </c>
      <c r="B69" s="6" t="s">
        <v>1296</v>
      </c>
      <c r="C69" s="9" t="s">
        <v>3</v>
      </c>
      <c r="D69" s="8" t="s">
        <v>21</v>
      </c>
      <c r="E69" s="9">
        <v>7</v>
      </c>
      <c r="F69" s="9"/>
      <c r="G69" s="9"/>
      <c r="H69" s="7"/>
      <c r="I69" s="7"/>
      <c r="J69" s="7"/>
      <c r="K69" s="7"/>
      <c r="L69" s="122"/>
      <c r="M69" s="122"/>
      <c r="N69" s="122"/>
      <c r="O69" s="96"/>
      <c r="P69" s="7"/>
      <c r="Q69" s="93">
        <v>0.20863579427924969</v>
      </c>
      <c r="R69" s="93">
        <v>5.4393939393939349E-2</v>
      </c>
      <c r="S69" s="122" t="s">
        <v>1518</v>
      </c>
      <c r="T69" s="7"/>
      <c r="U69" s="7"/>
      <c r="V69" s="122"/>
      <c r="W69" s="122"/>
      <c r="X69" s="122"/>
      <c r="Y69" s="7"/>
      <c r="Z69" s="7"/>
      <c r="AA69" s="7"/>
      <c r="AB69" s="7"/>
      <c r="AC69" s="7"/>
      <c r="AD69" s="7"/>
      <c r="AE69" s="7"/>
      <c r="AF69" s="7">
        <v>1</v>
      </c>
      <c r="AG69" s="7"/>
      <c r="AH69" s="7"/>
      <c r="AI69" s="7"/>
      <c r="AJ69" s="7"/>
      <c r="AK69" s="7"/>
      <c r="AL69" s="16">
        <v>45295</v>
      </c>
      <c r="AM69" s="4"/>
      <c r="AN69" s="11" t="s">
        <v>92</v>
      </c>
      <c r="AO69" s="4"/>
      <c r="AP69" s="4"/>
      <c r="AQ69" s="4"/>
      <c r="AR69" s="11">
        <v>500</v>
      </c>
      <c r="AS69" s="11"/>
      <c r="AT69" s="11"/>
      <c r="AU69" s="11"/>
    </row>
    <row r="70" spans="1:47" ht="15.75" x14ac:dyDescent="0.25">
      <c r="A70" s="112" t="s">
        <v>85</v>
      </c>
      <c r="B70" s="6" t="s">
        <v>1297</v>
      </c>
      <c r="C70" s="9" t="s">
        <v>3</v>
      </c>
      <c r="D70" s="8" t="s">
        <v>21</v>
      </c>
      <c r="E70" s="9">
        <v>7</v>
      </c>
      <c r="F70" s="9">
        <v>11</v>
      </c>
      <c r="G70" s="9"/>
      <c r="H70" s="7"/>
      <c r="I70" s="7"/>
      <c r="J70" s="7"/>
      <c r="K70" s="7"/>
      <c r="L70" s="122"/>
      <c r="M70" s="122"/>
      <c r="N70" s="122"/>
      <c r="O70" s="96"/>
      <c r="P70" s="7"/>
      <c r="Q70" s="93">
        <v>14.236652583985714</v>
      </c>
      <c r="R70" s="93">
        <v>9.5554809634809725</v>
      </c>
      <c r="S70" s="122" t="s">
        <v>1518</v>
      </c>
      <c r="T70" s="7"/>
      <c r="U70" s="7"/>
      <c r="V70" s="122"/>
      <c r="W70" s="122"/>
      <c r="X70" s="122"/>
      <c r="Y70" s="7"/>
      <c r="Z70" s="7"/>
      <c r="AA70" s="7"/>
      <c r="AB70" s="7"/>
      <c r="AC70" s="7"/>
      <c r="AD70" s="7"/>
      <c r="AE70" s="7"/>
      <c r="AF70" s="7">
        <v>1</v>
      </c>
      <c r="AG70" s="7"/>
      <c r="AH70" s="7"/>
      <c r="AI70" s="7"/>
      <c r="AJ70" s="7">
        <v>1</v>
      </c>
      <c r="AK70" s="7"/>
      <c r="AL70" s="16">
        <v>45295</v>
      </c>
      <c r="AM70" s="4"/>
      <c r="AN70" s="4" t="s">
        <v>92</v>
      </c>
      <c r="AO70" s="4" t="s">
        <v>22</v>
      </c>
      <c r="AP70" s="4"/>
      <c r="AQ70" s="4"/>
      <c r="AR70" s="11">
        <v>250</v>
      </c>
      <c r="AS70" s="11">
        <v>250</v>
      </c>
      <c r="AT70" s="11"/>
      <c r="AU70" s="11"/>
    </row>
    <row r="71" spans="1:47" ht="15.75" x14ac:dyDescent="0.25">
      <c r="A71" s="112" t="s">
        <v>1305</v>
      </c>
      <c r="B71" s="6" t="s">
        <v>1306</v>
      </c>
      <c r="C71" s="8" t="s">
        <v>3</v>
      </c>
      <c r="D71" s="8" t="s">
        <v>17</v>
      </c>
      <c r="E71" s="8">
        <v>27</v>
      </c>
      <c r="F71" s="8">
        <v>29</v>
      </c>
      <c r="G71" s="8"/>
      <c r="H71" s="7">
        <v>6</v>
      </c>
      <c r="I71" s="7"/>
      <c r="J71" s="7"/>
      <c r="K71" s="7" t="s">
        <v>80</v>
      </c>
      <c r="L71" s="122"/>
      <c r="M71" s="122"/>
      <c r="N71" s="122"/>
      <c r="O71" s="96"/>
      <c r="P71" s="14">
        <v>0.5</v>
      </c>
      <c r="Q71" s="93">
        <v>6.0112606527709689</v>
      </c>
      <c r="R71" s="93">
        <v>26.090898861848757</v>
      </c>
      <c r="S71" s="122" t="s">
        <v>1518</v>
      </c>
      <c r="T71" s="7"/>
      <c r="U71" s="7"/>
      <c r="V71" s="122" t="s">
        <v>1518</v>
      </c>
      <c r="W71" s="122"/>
      <c r="X71" s="122" t="s">
        <v>1518</v>
      </c>
      <c r="Y71" s="7"/>
      <c r="Z71" s="7"/>
      <c r="AA71" s="7"/>
      <c r="AB71" s="7">
        <v>1</v>
      </c>
      <c r="AC71" s="7"/>
      <c r="AD71" s="7"/>
      <c r="AE71" s="7"/>
      <c r="AF71" s="7"/>
      <c r="AG71" s="7"/>
      <c r="AH71" s="7"/>
      <c r="AI71" s="7"/>
      <c r="AJ71" s="7"/>
      <c r="AK71" s="7"/>
      <c r="AL71" s="16">
        <v>45295</v>
      </c>
      <c r="AM71" s="4"/>
      <c r="AN71" s="11" t="s">
        <v>30</v>
      </c>
      <c r="AO71" s="4" t="s">
        <v>60</v>
      </c>
      <c r="AP71" s="4"/>
      <c r="AQ71" s="4"/>
      <c r="AR71" s="11">
        <v>200</v>
      </c>
      <c r="AS71" s="11">
        <v>300</v>
      </c>
      <c r="AT71" s="11"/>
      <c r="AU71" s="11"/>
    </row>
    <row r="72" spans="1:47" ht="15.75" x14ac:dyDescent="0.25">
      <c r="A72" s="112" t="s">
        <v>87</v>
      </c>
      <c r="B72" s="6" t="s">
        <v>1311</v>
      </c>
      <c r="C72" s="9" t="s">
        <v>3</v>
      </c>
      <c r="D72" s="7" t="s">
        <v>19</v>
      </c>
      <c r="E72" s="9">
        <v>40</v>
      </c>
      <c r="F72" s="9">
        <v>45</v>
      </c>
      <c r="G72" s="9"/>
      <c r="H72" s="7"/>
      <c r="I72" s="7"/>
      <c r="J72" s="7"/>
      <c r="K72" s="7"/>
      <c r="L72" s="122"/>
      <c r="M72" s="122"/>
      <c r="N72" s="122"/>
      <c r="O72" s="96"/>
      <c r="P72" s="7"/>
      <c r="Q72" s="93">
        <v>0.70864045903439876</v>
      </c>
      <c r="R72" s="93">
        <v>0.17156515196811159</v>
      </c>
      <c r="S72" s="122"/>
      <c r="T72" s="7"/>
      <c r="U72" s="7"/>
      <c r="V72" s="122"/>
      <c r="W72" s="122"/>
      <c r="X72" s="122"/>
      <c r="Y72" s="7"/>
      <c r="Z72" s="7"/>
      <c r="AA72" s="7"/>
      <c r="AB72" s="7">
        <v>1</v>
      </c>
      <c r="AC72" s="7"/>
      <c r="AD72" s="7"/>
      <c r="AE72" s="7"/>
      <c r="AF72" s="7"/>
      <c r="AG72" s="7"/>
      <c r="AH72" s="7"/>
      <c r="AI72" s="7"/>
      <c r="AJ72" s="7"/>
      <c r="AK72" s="7"/>
      <c r="AL72" s="16">
        <v>45295</v>
      </c>
      <c r="AM72" s="4"/>
      <c r="AN72" s="6" t="s">
        <v>1001</v>
      </c>
      <c r="AO72" s="4" t="s">
        <v>666</v>
      </c>
      <c r="AP72" s="4"/>
      <c r="AQ72" s="4"/>
      <c r="AR72" s="11">
        <v>225</v>
      </c>
      <c r="AS72" s="11">
        <v>300</v>
      </c>
      <c r="AT72" s="11"/>
      <c r="AU72" s="11"/>
    </row>
    <row r="73" spans="1:47" ht="15.75" x14ac:dyDescent="0.25">
      <c r="A73" s="112" t="s">
        <v>1316</v>
      </c>
      <c r="B73" s="6" t="s">
        <v>1317</v>
      </c>
      <c r="C73" s="9" t="s">
        <v>3</v>
      </c>
      <c r="D73" s="9" t="s">
        <v>17</v>
      </c>
      <c r="E73" s="9" t="s">
        <v>25</v>
      </c>
      <c r="F73" s="9"/>
      <c r="G73" s="9"/>
      <c r="H73" s="7"/>
      <c r="I73" s="7"/>
      <c r="J73" s="7"/>
      <c r="K73" s="7"/>
      <c r="L73" s="122"/>
      <c r="M73" s="122"/>
      <c r="N73" s="122"/>
      <c r="O73" s="96"/>
      <c r="P73" s="14">
        <v>0.5</v>
      </c>
      <c r="Q73" s="93">
        <v>54.702135370361887</v>
      </c>
      <c r="R73" s="93">
        <v>1.2912099447513867</v>
      </c>
      <c r="S73" s="122" t="s">
        <v>1518</v>
      </c>
      <c r="T73" s="7"/>
      <c r="U73" s="7"/>
      <c r="V73" s="122"/>
      <c r="W73" s="122"/>
      <c r="X73" s="122" t="s">
        <v>1518</v>
      </c>
      <c r="Y73" s="7"/>
      <c r="Z73" s="7"/>
      <c r="AA73" s="7"/>
      <c r="AB73" s="7">
        <v>1</v>
      </c>
      <c r="AC73" s="7"/>
      <c r="AD73" s="7"/>
      <c r="AE73" s="7"/>
      <c r="AF73" s="7"/>
      <c r="AG73" s="7"/>
      <c r="AH73" s="7"/>
      <c r="AI73" s="7"/>
      <c r="AJ73" s="7">
        <v>1</v>
      </c>
      <c r="AK73" s="7"/>
      <c r="AL73" s="16">
        <v>45295</v>
      </c>
      <c r="AM73" s="4"/>
      <c r="AN73" s="11" t="s">
        <v>49</v>
      </c>
      <c r="AO73" s="11"/>
      <c r="AP73" s="4"/>
      <c r="AQ73" s="4"/>
      <c r="AR73" s="11">
        <v>350</v>
      </c>
      <c r="AS73" s="11"/>
      <c r="AT73" s="11"/>
      <c r="AU73" s="11"/>
    </row>
    <row r="74" spans="1:47" ht="15.75" x14ac:dyDescent="0.25">
      <c r="A74" s="112" t="s">
        <v>1319</v>
      </c>
      <c r="B74" s="6" t="s">
        <v>1320</v>
      </c>
      <c r="C74" s="9" t="s">
        <v>3</v>
      </c>
      <c r="D74" s="9" t="s">
        <v>17</v>
      </c>
      <c r="E74" s="9">
        <v>3</v>
      </c>
      <c r="F74" s="9">
        <v>7</v>
      </c>
      <c r="G74" s="9"/>
      <c r="H74" s="7"/>
      <c r="I74" s="7"/>
      <c r="J74" s="7"/>
      <c r="K74" s="7" t="s">
        <v>14</v>
      </c>
      <c r="L74" s="122"/>
      <c r="M74" s="122"/>
      <c r="N74" s="122"/>
      <c r="O74" s="96"/>
      <c r="P74" s="14">
        <v>0.5</v>
      </c>
      <c r="Q74" s="93">
        <v>4.0955350935800166</v>
      </c>
      <c r="R74" s="93">
        <v>10.868920108695647</v>
      </c>
      <c r="S74" s="122" t="s">
        <v>1518</v>
      </c>
      <c r="T74" s="7"/>
      <c r="U74" s="7"/>
      <c r="V74" s="122"/>
      <c r="W74" s="122"/>
      <c r="X74" s="122" t="s">
        <v>1518</v>
      </c>
      <c r="Y74" s="7"/>
      <c r="Z74" s="7">
        <v>1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16">
        <v>45295</v>
      </c>
      <c r="AM74" s="4"/>
      <c r="AN74" s="11" t="s">
        <v>41</v>
      </c>
      <c r="AO74" s="11" t="s">
        <v>16</v>
      </c>
      <c r="AP74" s="4"/>
      <c r="AQ74" s="4"/>
      <c r="AR74" s="11">
        <v>166</v>
      </c>
      <c r="AS74" s="11">
        <v>50</v>
      </c>
      <c r="AT74" s="11"/>
      <c r="AU74" s="11"/>
    </row>
    <row r="75" spans="1:47" ht="15.75" x14ac:dyDescent="0.25">
      <c r="A75" s="112" t="s">
        <v>1325</v>
      </c>
      <c r="B75" s="6" t="s">
        <v>1326</v>
      </c>
      <c r="C75" s="8" t="s">
        <v>3</v>
      </c>
      <c r="D75" s="9" t="s">
        <v>26</v>
      </c>
      <c r="E75" s="8" t="s">
        <v>51</v>
      </c>
      <c r="F75" s="8"/>
      <c r="G75" s="8"/>
      <c r="H75" s="7"/>
      <c r="I75" s="7"/>
      <c r="J75" s="7"/>
      <c r="K75" s="7"/>
      <c r="L75" s="122"/>
      <c r="M75" s="122"/>
      <c r="N75" s="122"/>
      <c r="O75" s="96"/>
      <c r="P75" s="7"/>
      <c r="Q75" s="93">
        <v>5.0430115504780694E-2</v>
      </c>
      <c r="R75" s="93">
        <v>2.8935399999999952E-3</v>
      </c>
      <c r="S75" s="122" t="s">
        <v>1518</v>
      </c>
      <c r="T75" s="7"/>
      <c r="U75" s="7"/>
      <c r="V75" s="122"/>
      <c r="W75" s="122"/>
      <c r="X75" s="122"/>
      <c r="Y75" s="7"/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16">
        <v>45295</v>
      </c>
      <c r="AM75" s="4"/>
      <c r="AN75" s="11" t="s">
        <v>52</v>
      </c>
      <c r="AO75" s="11"/>
      <c r="AP75" s="4"/>
      <c r="AQ75" s="4"/>
      <c r="AR75" s="11">
        <v>51.4</v>
      </c>
      <c r="AS75" s="11"/>
      <c r="AT75" s="11"/>
      <c r="AU75" s="11"/>
    </row>
    <row r="76" spans="1:47" ht="15.75" x14ac:dyDescent="0.25">
      <c r="A76" s="112" t="s">
        <v>1330</v>
      </c>
      <c r="B76" s="6" t="s">
        <v>1331</v>
      </c>
      <c r="C76" s="9" t="s">
        <v>3</v>
      </c>
      <c r="D76" s="7" t="s">
        <v>19</v>
      </c>
      <c r="E76" s="9" t="s">
        <v>20</v>
      </c>
      <c r="F76" s="9"/>
      <c r="G76" s="9"/>
      <c r="H76" s="7"/>
      <c r="I76" s="7"/>
      <c r="J76" s="7"/>
      <c r="K76" s="7"/>
      <c r="L76" s="122"/>
      <c r="M76" s="122"/>
      <c r="N76" s="122"/>
      <c r="O76" s="96"/>
      <c r="P76" s="7"/>
      <c r="Q76" s="93">
        <v>64.61058916832306</v>
      </c>
      <c r="R76" s="93">
        <v>14.885923566878985</v>
      </c>
      <c r="S76" s="122" t="s">
        <v>1518</v>
      </c>
      <c r="T76" s="7"/>
      <c r="U76" s="7"/>
      <c r="V76" s="124"/>
      <c r="W76" s="124"/>
      <c r="X76" s="122" t="s">
        <v>1518</v>
      </c>
      <c r="Y76" s="12"/>
      <c r="Z76" s="7"/>
      <c r="AA76" s="7"/>
      <c r="AB76" s="7">
        <v>1</v>
      </c>
      <c r="AC76" s="7"/>
      <c r="AD76" s="7"/>
      <c r="AE76" s="7"/>
      <c r="AF76" s="7"/>
      <c r="AG76" s="7"/>
      <c r="AH76" s="7"/>
      <c r="AI76" s="7"/>
      <c r="AJ76" s="7"/>
      <c r="AK76" s="7"/>
      <c r="AL76" s="16">
        <v>45295</v>
      </c>
      <c r="AM76" s="4"/>
      <c r="AN76" s="6" t="s">
        <v>1332</v>
      </c>
      <c r="AO76" s="4"/>
      <c r="AP76" s="4"/>
      <c r="AQ76" s="4"/>
      <c r="AR76" s="11">
        <v>700</v>
      </c>
      <c r="AS76" s="11"/>
      <c r="AT76" s="11"/>
      <c r="AU76" s="11"/>
    </row>
    <row r="77" spans="1:47" ht="15.75" x14ac:dyDescent="0.25">
      <c r="A77" s="112" t="s">
        <v>1496</v>
      </c>
      <c r="B77" s="6" t="s">
        <v>1336</v>
      </c>
      <c r="C77" s="8" t="s">
        <v>3</v>
      </c>
      <c r="D77" s="8" t="s">
        <v>29</v>
      </c>
      <c r="E77" s="8">
        <v>3</v>
      </c>
      <c r="F77" s="8">
        <v>11</v>
      </c>
      <c r="G77" s="8"/>
      <c r="H77" s="7"/>
      <c r="I77" s="7"/>
      <c r="J77" s="7"/>
      <c r="K77" s="7"/>
      <c r="L77" s="122" t="s">
        <v>1518</v>
      </c>
      <c r="M77" s="122" t="s">
        <v>1518</v>
      </c>
      <c r="N77" s="122"/>
      <c r="O77" s="96"/>
      <c r="P77" s="14">
        <v>0.3</v>
      </c>
      <c r="Q77" s="93">
        <v>4.1356031454494371</v>
      </c>
      <c r="R77" s="93">
        <v>6.9953156441102893</v>
      </c>
      <c r="S77" s="122" t="s">
        <v>1518</v>
      </c>
      <c r="T77" s="7"/>
      <c r="U77" s="7"/>
      <c r="V77" s="122"/>
      <c r="W77" s="122"/>
      <c r="X77" s="122"/>
      <c r="Y77" s="7"/>
      <c r="Z77" s="7"/>
      <c r="AA77" s="7">
        <v>1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16">
        <v>45295</v>
      </c>
      <c r="AM77" s="4"/>
      <c r="AN77" s="6" t="s">
        <v>1014</v>
      </c>
      <c r="AO77" s="6" t="s">
        <v>996</v>
      </c>
      <c r="AP77" s="4"/>
      <c r="AQ77" s="4"/>
      <c r="AR77" s="11">
        <v>125</v>
      </c>
      <c r="AS77" s="11">
        <v>200</v>
      </c>
      <c r="AT77" s="11"/>
      <c r="AU77" s="11"/>
    </row>
    <row r="78" spans="1:47" ht="15.75" x14ac:dyDescent="0.25">
      <c r="A78" s="112" t="s">
        <v>1497</v>
      </c>
      <c r="B78" s="6" t="s">
        <v>1336</v>
      </c>
      <c r="C78" s="8" t="s">
        <v>3</v>
      </c>
      <c r="D78" s="8" t="s">
        <v>29</v>
      </c>
      <c r="E78" s="8">
        <v>3</v>
      </c>
      <c r="F78" s="8">
        <v>11</v>
      </c>
      <c r="G78" s="8"/>
      <c r="H78" s="7">
        <v>20</v>
      </c>
      <c r="I78" s="7"/>
      <c r="J78" s="7"/>
      <c r="K78" s="7"/>
      <c r="L78" s="122" t="s">
        <v>1518</v>
      </c>
      <c r="M78" s="122" t="s">
        <v>1518</v>
      </c>
      <c r="N78" s="122"/>
      <c r="O78" s="96"/>
      <c r="P78" s="14">
        <v>0.3</v>
      </c>
      <c r="Q78" s="93">
        <v>4.1356031454494371</v>
      </c>
      <c r="R78" s="93">
        <v>6.9953156441102893</v>
      </c>
      <c r="S78" s="122" t="s">
        <v>1518</v>
      </c>
      <c r="T78" s="7"/>
      <c r="U78" s="7"/>
      <c r="V78" s="122"/>
      <c r="W78" s="122"/>
      <c r="X78" s="122"/>
      <c r="Y78" s="7"/>
      <c r="Z78" s="7"/>
      <c r="AA78" s="7"/>
      <c r="AB78" s="7"/>
      <c r="AC78" s="7"/>
      <c r="AD78" s="7"/>
      <c r="AE78" s="7">
        <v>1</v>
      </c>
      <c r="AF78" s="7"/>
      <c r="AG78" s="7"/>
      <c r="AH78" s="7"/>
      <c r="AI78" s="7"/>
      <c r="AJ78" s="7"/>
      <c r="AK78" s="7"/>
      <c r="AL78" s="16">
        <v>45295</v>
      </c>
      <c r="AM78" s="4"/>
      <c r="AN78" s="6" t="s">
        <v>1014</v>
      </c>
      <c r="AO78" s="6" t="s">
        <v>996</v>
      </c>
      <c r="AP78" s="4"/>
      <c r="AQ78" s="4"/>
      <c r="AR78" s="11">
        <v>125</v>
      </c>
      <c r="AS78" s="11">
        <v>200</v>
      </c>
      <c r="AT78" s="11"/>
      <c r="AU78" s="11"/>
    </row>
    <row r="79" spans="1:47" ht="15.75" x14ac:dyDescent="0.25">
      <c r="A79" s="112" t="s">
        <v>89</v>
      </c>
      <c r="B79" s="6" t="s">
        <v>1337</v>
      </c>
      <c r="C79" s="8" t="s">
        <v>3</v>
      </c>
      <c r="D79" s="8" t="s">
        <v>21</v>
      </c>
      <c r="E79" s="8">
        <v>3</v>
      </c>
      <c r="F79" s="8"/>
      <c r="G79" s="8"/>
      <c r="H79" s="7"/>
      <c r="I79" s="7"/>
      <c r="J79" s="7"/>
      <c r="K79" s="7"/>
      <c r="L79" s="122"/>
      <c r="M79" s="122"/>
      <c r="N79" s="122"/>
      <c r="O79" s="96"/>
      <c r="P79" s="7"/>
      <c r="Q79" s="93">
        <v>9.4472523381920789E-2</v>
      </c>
      <c r="R79" s="93">
        <v>0.4946222222222228</v>
      </c>
      <c r="S79" s="122" t="s">
        <v>1518</v>
      </c>
      <c r="T79" s="7"/>
      <c r="U79" s="7"/>
      <c r="V79" s="122" t="s">
        <v>1518</v>
      </c>
      <c r="W79" s="122" t="s">
        <v>1518</v>
      </c>
      <c r="X79" s="122"/>
      <c r="Y79" s="7"/>
      <c r="Z79" s="7">
        <v>1</v>
      </c>
      <c r="AA79" s="7">
        <v>1</v>
      </c>
      <c r="AB79" s="7"/>
      <c r="AC79" s="7"/>
      <c r="AD79" s="7">
        <v>1</v>
      </c>
      <c r="AE79" s="7"/>
      <c r="AF79" s="7"/>
      <c r="AG79" s="7"/>
      <c r="AH79" s="7"/>
      <c r="AI79" s="7"/>
      <c r="AJ79" s="7"/>
      <c r="AK79" s="7"/>
      <c r="AL79" s="16">
        <v>45295</v>
      </c>
      <c r="AM79" s="4"/>
      <c r="AN79" s="11" t="s">
        <v>15</v>
      </c>
      <c r="AO79" s="4"/>
      <c r="AP79" s="4"/>
      <c r="AQ79" s="4"/>
      <c r="AR79" s="11">
        <v>250</v>
      </c>
      <c r="AS79" s="11"/>
      <c r="AT79" s="11"/>
      <c r="AU79" s="11"/>
    </row>
    <row r="80" spans="1:47" ht="15.75" x14ac:dyDescent="0.25">
      <c r="A80" s="112" t="s">
        <v>90</v>
      </c>
      <c r="B80" s="6" t="s">
        <v>1339</v>
      </c>
      <c r="C80" s="9" t="s">
        <v>3</v>
      </c>
      <c r="D80" s="7" t="s">
        <v>21</v>
      </c>
      <c r="E80" s="9">
        <v>3</v>
      </c>
      <c r="F80" s="9">
        <v>5</v>
      </c>
      <c r="G80" s="9"/>
      <c r="H80" s="7">
        <v>20</v>
      </c>
      <c r="I80" s="7"/>
      <c r="J80" s="7"/>
      <c r="K80" s="7" t="s">
        <v>120</v>
      </c>
      <c r="L80" s="122"/>
      <c r="M80" s="122"/>
      <c r="N80" s="122"/>
      <c r="O80" s="96"/>
      <c r="P80" s="14">
        <v>0.3</v>
      </c>
      <c r="Q80" s="93">
        <v>19.542358393337743</v>
      </c>
      <c r="R80" s="93">
        <v>8.1625216004880148</v>
      </c>
      <c r="S80" s="122" t="s">
        <v>1518</v>
      </c>
      <c r="T80" s="7"/>
      <c r="U80" s="7"/>
      <c r="V80" s="122" t="s">
        <v>1518</v>
      </c>
      <c r="W80" s="122"/>
      <c r="X80" s="122" t="s">
        <v>1518</v>
      </c>
      <c r="Y80" s="7"/>
      <c r="Z80" s="7">
        <v>1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16">
        <v>45295</v>
      </c>
      <c r="AM80" s="4"/>
      <c r="AN80" s="11" t="s">
        <v>41</v>
      </c>
      <c r="AO80" s="11" t="s">
        <v>42</v>
      </c>
      <c r="AP80" s="11"/>
      <c r="AQ80" s="4"/>
      <c r="AR80" s="11">
        <v>133</v>
      </c>
      <c r="AS80" s="11">
        <v>250</v>
      </c>
      <c r="AT80" s="11"/>
      <c r="AU80" s="11"/>
    </row>
    <row r="81" spans="1:47" ht="15.75" x14ac:dyDescent="0.25">
      <c r="A81" s="112" t="s">
        <v>1482</v>
      </c>
      <c r="B81" s="6" t="s">
        <v>1339</v>
      </c>
      <c r="C81" s="9" t="s">
        <v>3</v>
      </c>
      <c r="D81" s="7" t="s">
        <v>21</v>
      </c>
      <c r="E81" s="9">
        <v>3</v>
      </c>
      <c r="F81" s="9">
        <v>5</v>
      </c>
      <c r="G81" s="9"/>
      <c r="H81" s="7">
        <v>20</v>
      </c>
      <c r="I81" s="7"/>
      <c r="J81" s="7"/>
      <c r="K81" s="7" t="s">
        <v>14</v>
      </c>
      <c r="L81" s="122"/>
      <c r="M81" s="122"/>
      <c r="N81" s="122"/>
      <c r="O81" s="96"/>
      <c r="P81" s="14">
        <v>0.3</v>
      </c>
      <c r="Q81" s="93">
        <v>19.542358393337743</v>
      </c>
      <c r="R81" s="93">
        <v>8.1625216004880148</v>
      </c>
      <c r="S81" s="122" t="s">
        <v>1518</v>
      </c>
      <c r="T81" s="7"/>
      <c r="U81" s="7"/>
      <c r="V81" s="122" t="s">
        <v>1518</v>
      </c>
      <c r="W81" s="122"/>
      <c r="X81" s="122" t="s">
        <v>1518</v>
      </c>
      <c r="Y81" s="7"/>
      <c r="Z81" s="7">
        <v>1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16">
        <v>45295</v>
      </c>
      <c r="AM81" s="4"/>
      <c r="AN81" s="11" t="s">
        <v>41</v>
      </c>
      <c r="AO81" s="11" t="s">
        <v>42</v>
      </c>
      <c r="AP81" s="11"/>
      <c r="AQ81" s="4"/>
      <c r="AR81" s="11">
        <v>133</v>
      </c>
      <c r="AS81" s="11">
        <v>250</v>
      </c>
      <c r="AT81" s="11"/>
      <c r="AU81" s="11"/>
    </row>
    <row r="82" spans="1:47" ht="15.75" x14ac:dyDescent="0.25">
      <c r="A82" s="112" t="s">
        <v>91</v>
      </c>
      <c r="B82" s="6" t="s">
        <v>1344</v>
      </c>
      <c r="C82" s="9" t="s">
        <v>3</v>
      </c>
      <c r="D82" s="8" t="s">
        <v>21</v>
      </c>
      <c r="E82" s="9">
        <v>3</v>
      </c>
      <c r="F82" s="9">
        <v>7</v>
      </c>
      <c r="G82" s="9"/>
      <c r="H82" s="7"/>
      <c r="I82" s="7"/>
      <c r="J82" s="7"/>
      <c r="K82" s="7"/>
      <c r="L82" s="122"/>
      <c r="M82" s="122"/>
      <c r="N82" s="122"/>
      <c r="O82" s="96"/>
      <c r="P82" s="7"/>
      <c r="Q82" s="93">
        <v>0.16336322425332533</v>
      </c>
      <c r="R82" s="93">
        <v>0.3363358585858589</v>
      </c>
      <c r="S82" s="122" t="s">
        <v>1518</v>
      </c>
      <c r="T82" s="7"/>
      <c r="U82" s="7"/>
      <c r="V82" s="122"/>
      <c r="W82" s="122"/>
      <c r="X82" s="122"/>
      <c r="Y82" s="7"/>
      <c r="Z82" s="7"/>
      <c r="AA82" s="7"/>
      <c r="AB82" s="7"/>
      <c r="AC82" s="7"/>
      <c r="AD82" s="7">
        <v>1</v>
      </c>
      <c r="AE82" s="7">
        <v>1</v>
      </c>
      <c r="AF82" s="7"/>
      <c r="AG82" s="7"/>
      <c r="AH82" s="7"/>
      <c r="AI82" s="7"/>
      <c r="AJ82" s="7"/>
      <c r="AK82" s="7"/>
      <c r="AL82" s="16">
        <v>45295</v>
      </c>
      <c r="AM82" s="4"/>
      <c r="AN82" s="4" t="s">
        <v>15</v>
      </c>
      <c r="AO82" s="4" t="s">
        <v>92</v>
      </c>
      <c r="AP82" s="4"/>
      <c r="AQ82" s="4"/>
      <c r="AR82" s="11">
        <v>125</v>
      </c>
      <c r="AS82" s="11">
        <v>125</v>
      </c>
      <c r="AT82" s="11"/>
      <c r="AU82" s="11"/>
    </row>
    <row r="83" spans="1:47" ht="15.75" x14ac:dyDescent="0.25">
      <c r="A83" s="112" t="s">
        <v>977</v>
      </c>
      <c r="B83" s="6" t="s">
        <v>1345</v>
      </c>
      <c r="C83" s="8" t="s">
        <v>3</v>
      </c>
      <c r="D83" s="8" t="s">
        <v>26</v>
      </c>
      <c r="E83" s="8"/>
      <c r="F83" s="8"/>
      <c r="G83" s="8"/>
      <c r="H83" s="7"/>
      <c r="I83" s="7"/>
      <c r="J83" s="7"/>
      <c r="K83" s="7"/>
      <c r="L83" s="122"/>
      <c r="M83" s="122"/>
      <c r="N83" s="122"/>
      <c r="O83" s="96"/>
      <c r="P83" s="7"/>
      <c r="Q83" s="93">
        <v>0</v>
      </c>
      <c r="R83" s="93">
        <v>0</v>
      </c>
      <c r="S83" s="122"/>
      <c r="T83" s="7"/>
      <c r="U83" s="7"/>
      <c r="V83" s="122"/>
      <c r="W83" s="122"/>
      <c r="X83" s="122"/>
      <c r="Y83" s="7"/>
      <c r="Z83" s="7"/>
      <c r="AA83" s="7"/>
      <c r="AB83" s="7">
        <v>1</v>
      </c>
      <c r="AC83" s="7"/>
      <c r="AD83" s="7"/>
      <c r="AE83" s="7"/>
      <c r="AF83" s="7"/>
      <c r="AG83" s="7"/>
      <c r="AH83" s="7"/>
      <c r="AI83" s="7"/>
      <c r="AJ83" s="7"/>
      <c r="AK83" s="7"/>
      <c r="AL83" s="16">
        <v>45295</v>
      </c>
      <c r="AM83" s="4"/>
      <c r="AN83" s="4" t="s">
        <v>976</v>
      </c>
      <c r="AO83" s="4"/>
      <c r="AP83" s="4"/>
      <c r="AQ83" s="4"/>
      <c r="AR83" s="11"/>
      <c r="AS83" s="11"/>
      <c r="AT83" s="11"/>
      <c r="AU83" s="11"/>
    </row>
    <row r="84" spans="1:47" ht="15.75" x14ac:dyDescent="0.25">
      <c r="A84" s="112" t="s">
        <v>1846</v>
      </c>
      <c r="B84" s="6" t="s">
        <v>1848</v>
      </c>
      <c r="C84" s="9" t="s">
        <v>3</v>
      </c>
      <c r="D84" s="8" t="s">
        <v>29</v>
      </c>
      <c r="E84" s="9">
        <v>3</v>
      </c>
      <c r="F84" s="9">
        <v>5</v>
      </c>
      <c r="G84" s="9"/>
      <c r="H84" s="7">
        <v>20</v>
      </c>
      <c r="I84" s="7"/>
      <c r="J84" s="7"/>
      <c r="K84" s="7" t="s">
        <v>14</v>
      </c>
      <c r="L84" s="122"/>
      <c r="M84" s="122"/>
      <c r="N84" s="122"/>
      <c r="O84" s="96"/>
      <c r="P84" s="7"/>
      <c r="Q84" s="93">
        <v>10.550523349587952</v>
      </c>
      <c r="R84" s="93">
        <v>1.5743371088435363</v>
      </c>
      <c r="S84" s="122" t="s">
        <v>1518</v>
      </c>
      <c r="T84" s="7"/>
      <c r="U84" s="7"/>
      <c r="V84" s="122" t="s">
        <v>1518</v>
      </c>
      <c r="W84" s="122"/>
      <c r="X84" s="122" t="s">
        <v>1518</v>
      </c>
      <c r="Y84" s="7"/>
      <c r="Z84" s="7">
        <v>1</v>
      </c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16">
        <v>45295</v>
      </c>
      <c r="AM84" s="4"/>
      <c r="AN84" s="11" t="s">
        <v>15</v>
      </c>
      <c r="AO84" s="11" t="s">
        <v>42</v>
      </c>
      <c r="AP84" s="4"/>
      <c r="AQ84" s="4"/>
      <c r="AR84" s="11">
        <v>160</v>
      </c>
      <c r="AS84" s="11">
        <v>300</v>
      </c>
      <c r="AT84" s="11"/>
      <c r="AU84" s="11"/>
    </row>
    <row r="85" spans="1:47" ht="15.75" x14ac:dyDescent="0.25">
      <c r="A85" s="112" t="s">
        <v>1847</v>
      </c>
      <c r="B85" s="6" t="s">
        <v>1848</v>
      </c>
      <c r="C85" s="9" t="s">
        <v>3</v>
      </c>
      <c r="D85" s="8" t="s">
        <v>29</v>
      </c>
      <c r="E85" s="9">
        <v>3</v>
      </c>
      <c r="F85" s="9">
        <v>5</v>
      </c>
      <c r="G85" s="9"/>
      <c r="H85" s="7">
        <v>20</v>
      </c>
      <c r="I85" s="7"/>
      <c r="J85" s="7"/>
      <c r="K85" s="7" t="s">
        <v>120</v>
      </c>
      <c r="L85" s="122"/>
      <c r="M85" s="122"/>
      <c r="N85" s="122"/>
      <c r="O85" s="96"/>
      <c r="P85" s="7"/>
      <c r="Q85" s="93">
        <v>17.584205582646586</v>
      </c>
      <c r="R85" s="93">
        <v>2.623895181405894</v>
      </c>
      <c r="S85" s="122" t="s">
        <v>1518</v>
      </c>
      <c r="T85" s="7"/>
      <c r="U85" s="7"/>
      <c r="V85" s="122" t="s">
        <v>1518</v>
      </c>
      <c r="W85" s="122"/>
      <c r="X85" s="122" t="s">
        <v>1518</v>
      </c>
      <c r="Y85" s="7"/>
      <c r="Z85" s="7">
        <v>1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6">
        <v>45295</v>
      </c>
      <c r="AM85" s="4"/>
      <c r="AN85" s="11" t="s">
        <v>15</v>
      </c>
      <c r="AO85" s="11" t="s">
        <v>42</v>
      </c>
      <c r="AP85" s="4"/>
      <c r="AQ85" s="4"/>
      <c r="AR85" s="11">
        <v>160</v>
      </c>
      <c r="AS85" s="11">
        <v>300</v>
      </c>
      <c r="AT85" s="11"/>
      <c r="AU85" s="11"/>
    </row>
    <row r="86" spans="1:47" ht="15.75" x14ac:dyDescent="0.25">
      <c r="A86" s="112" t="s">
        <v>93</v>
      </c>
      <c r="B86" s="6" t="s">
        <v>1618</v>
      </c>
      <c r="C86" s="9" t="s">
        <v>3</v>
      </c>
      <c r="D86" s="8" t="s">
        <v>1536</v>
      </c>
      <c r="E86" s="9">
        <v>27</v>
      </c>
      <c r="F86" s="9">
        <v>28</v>
      </c>
      <c r="G86" s="9"/>
      <c r="H86" s="7"/>
      <c r="I86" s="7"/>
      <c r="J86" s="7"/>
      <c r="K86" s="7"/>
      <c r="L86" s="122"/>
      <c r="M86" s="122"/>
      <c r="N86" s="122"/>
      <c r="O86" s="96"/>
      <c r="P86" s="7"/>
      <c r="Q86" s="93">
        <v>0.22470493656458485</v>
      </c>
      <c r="R86" s="93">
        <v>5.7319859405940603</v>
      </c>
      <c r="S86" s="122" t="s">
        <v>1518</v>
      </c>
      <c r="T86" s="7"/>
      <c r="U86" s="7"/>
      <c r="V86" s="122"/>
      <c r="W86" s="122"/>
      <c r="X86" s="122"/>
      <c r="Y86" s="7"/>
      <c r="Z86" s="7"/>
      <c r="AA86" s="7"/>
      <c r="AB86" s="7">
        <v>1</v>
      </c>
      <c r="AC86" s="7"/>
      <c r="AD86" s="7"/>
      <c r="AE86" s="7"/>
      <c r="AF86" s="7"/>
      <c r="AG86" s="7"/>
      <c r="AH86" s="7"/>
      <c r="AI86" s="7"/>
      <c r="AJ86" s="7"/>
      <c r="AK86" s="7"/>
      <c r="AL86" s="16">
        <v>45295</v>
      </c>
      <c r="AM86" s="4"/>
      <c r="AN86" s="4" t="s">
        <v>30</v>
      </c>
      <c r="AO86" s="11" t="s">
        <v>31</v>
      </c>
      <c r="AP86" s="4"/>
      <c r="AQ86" s="4"/>
      <c r="AR86" s="11">
        <v>50</v>
      </c>
      <c r="AS86" s="11">
        <v>400</v>
      </c>
      <c r="AT86" s="11"/>
      <c r="AU86" s="11"/>
    </row>
    <row r="87" spans="1:47" ht="15.75" x14ac:dyDescent="0.25">
      <c r="A87" s="112" t="s">
        <v>94</v>
      </c>
      <c r="B87" s="6" t="s">
        <v>1349</v>
      </c>
      <c r="C87" s="9" t="s">
        <v>3</v>
      </c>
      <c r="D87" s="8" t="s">
        <v>34</v>
      </c>
      <c r="E87" s="9">
        <v>21</v>
      </c>
      <c r="F87" s="9"/>
      <c r="G87" s="9"/>
      <c r="H87" s="7"/>
      <c r="I87" s="7"/>
      <c r="J87" s="7"/>
      <c r="K87" s="7"/>
      <c r="L87" s="122"/>
      <c r="M87" s="122"/>
      <c r="N87" s="122"/>
      <c r="O87" s="96"/>
      <c r="P87" s="7"/>
      <c r="Q87" s="93">
        <v>0.25518830153732003</v>
      </c>
      <c r="R87" s="93">
        <v>0.34778124999999993</v>
      </c>
      <c r="S87" s="122" t="s">
        <v>1518</v>
      </c>
      <c r="T87" s="7"/>
      <c r="U87" s="7"/>
      <c r="V87" s="122" t="s">
        <v>1518</v>
      </c>
      <c r="W87" s="122"/>
      <c r="X87" s="122"/>
      <c r="Y87" s="7"/>
      <c r="Z87" s="7"/>
      <c r="AA87" s="7"/>
      <c r="AB87" s="7">
        <v>1</v>
      </c>
      <c r="AC87" s="7"/>
      <c r="AD87" s="7"/>
      <c r="AE87" s="7"/>
      <c r="AF87" s="7"/>
      <c r="AG87" s="7"/>
      <c r="AH87" s="7"/>
      <c r="AI87" s="7"/>
      <c r="AJ87" s="7">
        <v>1</v>
      </c>
      <c r="AK87" s="7"/>
      <c r="AL87" s="16">
        <v>45295</v>
      </c>
      <c r="AM87" s="4"/>
      <c r="AN87" s="6" t="s">
        <v>1034</v>
      </c>
      <c r="AO87" s="4"/>
      <c r="AP87" s="4"/>
      <c r="AQ87" s="4"/>
      <c r="AR87" s="11">
        <v>160</v>
      </c>
      <c r="AS87" s="11"/>
      <c r="AT87" s="11"/>
      <c r="AU87" s="11"/>
    </row>
    <row r="88" spans="1:47" ht="15.75" x14ac:dyDescent="0.25">
      <c r="A88" s="112" t="s">
        <v>94</v>
      </c>
      <c r="B88" s="6" t="s">
        <v>1350</v>
      </c>
      <c r="C88" s="9" t="s">
        <v>3</v>
      </c>
      <c r="D88" s="8" t="s">
        <v>26</v>
      </c>
      <c r="E88" s="9">
        <v>21</v>
      </c>
      <c r="F88" s="9"/>
      <c r="G88" s="9"/>
      <c r="H88" s="7"/>
      <c r="I88" s="7"/>
      <c r="J88" s="7"/>
      <c r="K88" s="7"/>
      <c r="L88" s="122"/>
      <c r="M88" s="122"/>
      <c r="N88" s="122"/>
      <c r="O88" s="96"/>
      <c r="P88" s="7"/>
      <c r="Q88" s="93">
        <v>0.25518830153732003</v>
      </c>
      <c r="R88" s="93">
        <v>0.34778124999999993</v>
      </c>
      <c r="S88" s="122" t="s">
        <v>1518</v>
      </c>
      <c r="T88" s="7"/>
      <c r="U88" s="7"/>
      <c r="V88" s="122" t="s">
        <v>1518</v>
      </c>
      <c r="W88" s="122"/>
      <c r="X88" s="122"/>
      <c r="Y88" s="7"/>
      <c r="Z88" s="7"/>
      <c r="AA88" s="7"/>
      <c r="AB88" s="7">
        <v>1</v>
      </c>
      <c r="AC88" s="7"/>
      <c r="AD88" s="7"/>
      <c r="AE88" s="7"/>
      <c r="AF88" s="7"/>
      <c r="AG88" s="7"/>
      <c r="AH88" s="7"/>
      <c r="AI88" s="7"/>
      <c r="AJ88" s="7">
        <v>1</v>
      </c>
      <c r="AK88" s="7"/>
      <c r="AL88" s="16">
        <v>45295</v>
      </c>
      <c r="AM88" s="4"/>
      <c r="AN88" s="6" t="s">
        <v>1034</v>
      </c>
      <c r="AO88" s="4"/>
      <c r="AP88" s="4"/>
      <c r="AQ88" s="4"/>
      <c r="AR88" s="11">
        <v>160</v>
      </c>
      <c r="AS88" s="11"/>
      <c r="AT88" s="11"/>
      <c r="AU88" s="11"/>
    </row>
    <row r="89" spans="1:47" ht="28.5" x14ac:dyDescent="0.25">
      <c r="A89" s="112" t="s">
        <v>95</v>
      </c>
      <c r="B89" s="6" t="s">
        <v>1355</v>
      </c>
      <c r="C89" s="9" t="s">
        <v>3</v>
      </c>
      <c r="D89" s="8" t="s">
        <v>1533</v>
      </c>
      <c r="E89" s="9">
        <v>40</v>
      </c>
      <c r="F89" s="9"/>
      <c r="G89" s="9"/>
      <c r="H89" s="7"/>
      <c r="I89" s="7"/>
      <c r="J89" s="7"/>
      <c r="K89" s="7"/>
      <c r="L89" s="122"/>
      <c r="M89" s="122"/>
      <c r="N89" s="122"/>
      <c r="O89" s="96"/>
      <c r="P89" s="7"/>
      <c r="Q89" s="93">
        <v>0.202849864185186</v>
      </c>
      <c r="R89" s="93">
        <v>1.6693499999999986E-2</v>
      </c>
      <c r="S89" s="122" t="s">
        <v>1518</v>
      </c>
      <c r="T89" s="7"/>
      <c r="U89" s="7"/>
      <c r="V89" s="122"/>
      <c r="W89" s="122"/>
      <c r="X89" s="122"/>
      <c r="Y89" s="7"/>
      <c r="Z89" s="7"/>
      <c r="AA89" s="7"/>
      <c r="AB89" s="7">
        <v>1</v>
      </c>
      <c r="AC89" s="7"/>
      <c r="AD89" s="7"/>
      <c r="AE89" s="7"/>
      <c r="AF89" s="7"/>
      <c r="AG89" s="7"/>
      <c r="AH89" s="7"/>
      <c r="AI89" s="7"/>
      <c r="AJ89" s="7">
        <v>1</v>
      </c>
      <c r="AK89" s="7"/>
      <c r="AL89" s="16">
        <v>45295</v>
      </c>
      <c r="AM89" s="4"/>
      <c r="AN89" s="11" t="s">
        <v>97</v>
      </c>
      <c r="AO89" s="11"/>
      <c r="AP89" s="4"/>
      <c r="AQ89" s="4"/>
      <c r="AR89" s="11">
        <v>250</v>
      </c>
      <c r="AS89" s="11"/>
      <c r="AT89" s="11"/>
      <c r="AU89" s="11"/>
    </row>
    <row r="90" spans="1:47" ht="15.75" x14ac:dyDescent="0.25">
      <c r="A90" s="112" t="s">
        <v>96</v>
      </c>
      <c r="B90" s="6" t="s">
        <v>1356</v>
      </c>
      <c r="C90" s="9" t="s">
        <v>3</v>
      </c>
      <c r="D90" s="9" t="s">
        <v>958</v>
      </c>
      <c r="E90" s="9">
        <v>3</v>
      </c>
      <c r="F90" s="9">
        <v>40</v>
      </c>
      <c r="G90" s="9"/>
      <c r="H90" s="7"/>
      <c r="I90" s="7"/>
      <c r="J90" s="7"/>
      <c r="K90" s="7" t="s">
        <v>14</v>
      </c>
      <c r="L90" s="122"/>
      <c r="M90" s="122"/>
      <c r="N90" s="122"/>
      <c r="O90" s="96"/>
      <c r="P90" s="14">
        <v>0.3</v>
      </c>
      <c r="Q90" s="93">
        <v>2.712086065727064</v>
      </c>
      <c r="R90" s="93">
        <v>8.3843626729323475</v>
      </c>
      <c r="S90" s="122" t="s">
        <v>1518</v>
      </c>
      <c r="T90" s="7"/>
      <c r="U90" s="7"/>
      <c r="V90" s="122"/>
      <c r="W90" s="122"/>
      <c r="X90" s="122"/>
      <c r="Y90" s="7"/>
      <c r="Z90" s="7"/>
      <c r="AA90" s="7"/>
      <c r="AB90" s="7">
        <v>1</v>
      </c>
      <c r="AC90" s="7"/>
      <c r="AD90" s="7"/>
      <c r="AE90" s="7"/>
      <c r="AF90" s="7"/>
      <c r="AG90" s="7"/>
      <c r="AH90" s="7"/>
      <c r="AI90" s="7"/>
      <c r="AJ90" s="7">
        <v>1</v>
      </c>
      <c r="AK90" s="7"/>
      <c r="AL90" s="16">
        <v>45295</v>
      </c>
      <c r="AM90" s="4"/>
      <c r="AN90" s="11" t="s">
        <v>1014</v>
      </c>
      <c r="AO90" s="6" t="s">
        <v>97</v>
      </c>
      <c r="AP90" s="4"/>
      <c r="AQ90" s="4"/>
      <c r="AR90" s="11">
        <v>250</v>
      </c>
      <c r="AS90" s="11">
        <v>250</v>
      </c>
      <c r="AT90" s="11"/>
      <c r="AU90" s="11"/>
    </row>
    <row r="91" spans="1:47" ht="15.75" x14ac:dyDescent="0.25">
      <c r="A91" s="112" t="s">
        <v>948</v>
      </c>
      <c r="B91" s="6" t="s">
        <v>1359</v>
      </c>
      <c r="C91" s="8" t="s">
        <v>3</v>
      </c>
      <c r="D91" s="8" t="s">
        <v>29</v>
      </c>
      <c r="E91" s="8">
        <v>7</v>
      </c>
      <c r="F91" s="8"/>
      <c r="G91" s="8"/>
      <c r="H91" s="7"/>
      <c r="I91" s="7"/>
      <c r="J91" s="7"/>
      <c r="K91" s="7"/>
      <c r="L91" s="122"/>
      <c r="M91" s="122"/>
      <c r="N91" s="122"/>
      <c r="O91" s="96"/>
      <c r="P91" s="14">
        <v>0.3</v>
      </c>
      <c r="Q91" s="93">
        <v>0.86164545657070768</v>
      </c>
      <c r="R91" s="93">
        <v>2.6379851851851766</v>
      </c>
      <c r="S91" s="122" t="s">
        <v>1518</v>
      </c>
      <c r="T91" s="7"/>
      <c r="U91" s="7"/>
      <c r="V91" s="122"/>
      <c r="W91" s="122"/>
      <c r="X91" s="122"/>
      <c r="Y91" s="7"/>
      <c r="Z91" s="7"/>
      <c r="AA91" s="7"/>
      <c r="AB91" s="7">
        <v>1</v>
      </c>
      <c r="AC91" s="7"/>
      <c r="AD91" s="7"/>
      <c r="AE91" s="7"/>
      <c r="AF91" s="7"/>
      <c r="AG91" s="7"/>
      <c r="AH91" s="7"/>
      <c r="AI91" s="7"/>
      <c r="AJ91" s="7"/>
      <c r="AK91" s="7"/>
      <c r="AL91" s="16">
        <v>45295</v>
      </c>
      <c r="AM91" s="4"/>
      <c r="AN91" s="6" t="s">
        <v>1004</v>
      </c>
      <c r="AO91" s="4"/>
      <c r="AP91" s="4"/>
      <c r="AQ91" s="4"/>
      <c r="AR91" s="11">
        <v>300</v>
      </c>
      <c r="AS91" s="11"/>
      <c r="AT91" s="11"/>
      <c r="AU91" s="11"/>
    </row>
    <row r="92" spans="1:47" ht="15.75" x14ac:dyDescent="0.25">
      <c r="A92" s="112" t="s">
        <v>1595</v>
      </c>
      <c r="B92" s="6" t="s">
        <v>1596</v>
      </c>
      <c r="C92" s="9" t="s">
        <v>3</v>
      </c>
      <c r="D92" s="9" t="s">
        <v>29</v>
      </c>
      <c r="E92" s="9">
        <v>12</v>
      </c>
      <c r="F92" s="9"/>
      <c r="G92" s="9"/>
      <c r="H92" s="7"/>
      <c r="I92" s="7"/>
      <c r="J92" s="7"/>
      <c r="K92" s="7"/>
      <c r="L92" s="122"/>
      <c r="M92" s="122"/>
      <c r="N92" s="122"/>
      <c r="O92" s="96"/>
      <c r="P92" s="14">
        <v>0.3</v>
      </c>
      <c r="Q92" s="93">
        <v>3.9804442254858481</v>
      </c>
      <c r="R92" s="93">
        <v>8.2641089108910978E-2</v>
      </c>
      <c r="S92" s="122" t="s">
        <v>1518</v>
      </c>
      <c r="T92" s="7"/>
      <c r="U92" s="7"/>
      <c r="V92" s="122"/>
      <c r="W92" s="122"/>
      <c r="X92" s="122"/>
      <c r="Y92" s="7"/>
      <c r="Z92" s="7"/>
      <c r="AA92" s="7"/>
      <c r="AB92" s="7"/>
      <c r="AC92" s="7"/>
      <c r="AD92" s="7">
        <v>1</v>
      </c>
      <c r="AE92" s="7"/>
      <c r="AF92" s="7"/>
      <c r="AG92" s="7"/>
      <c r="AH92" s="7"/>
      <c r="AI92" s="7"/>
      <c r="AJ92" s="7"/>
      <c r="AK92" s="7"/>
      <c r="AL92" s="16">
        <v>45295</v>
      </c>
      <c r="AM92" s="4"/>
      <c r="AN92" s="4" t="s">
        <v>82</v>
      </c>
      <c r="AO92" s="6"/>
      <c r="AP92" s="4"/>
      <c r="AQ92" s="4"/>
      <c r="AR92" s="11">
        <v>500</v>
      </c>
      <c r="AS92" s="11"/>
      <c r="AT92" s="11"/>
      <c r="AU92" s="11"/>
    </row>
    <row r="93" spans="1:47" ht="15.75" x14ac:dyDescent="0.25">
      <c r="A93" s="114" t="s">
        <v>1647</v>
      </c>
      <c r="B93" s="6" t="s">
        <v>1648</v>
      </c>
      <c r="C93" s="8" t="s">
        <v>3</v>
      </c>
      <c r="D93" s="8" t="s">
        <v>13</v>
      </c>
      <c r="E93" s="8" t="s">
        <v>25</v>
      </c>
      <c r="F93" s="8"/>
      <c r="G93" s="8"/>
      <c r="H93" s="7"/>
      <c r="I93" s="7"/>
      <c r="J93" s="7"/>
      <c r="K93" s="7"/>
      <c r="L93" s="122"/>
      <c r="M93" s="122"/>
      <c r="N93" s="122"/>
      <c r="O93" s="96"/>
      <c r="P93" s="7"/>
      <c r="Q93" s="93">
        <v>59.390889830678617</v>
      </c>
      <c r="R93" s="93">
        <v>1.4018850828729341</v>
      </c>
      <c r="S93" s="122" t="s">
        <v>1518</v>
      </c>
      <c r="T93" s="7"/>
      <c r="U93" s="7"/>
      <c r="V93" s="122"/>
      <c r="W93" s="122"/>
      <c r="X93" s="122"/>
      <c r="Y93" s="7" t="s">
        <v>7</v>
      </c>
      <c r="Z93" s="7"/>
      <c r="AA93" s="7"/>
      <c r="AB93" s="7">
        <v>1</v>
      </c>
      <c r="AC93" s="7"/>
      <c r="AD93" s="7"/>
      <c r="AE93" s="7"/>
      <c r="AF93" s="7"/>
      <c r="AG93" s="7"/>
      <c r="AH93" s="7"/>
      <c r="AI93" s="7"/>
      <c r="AJ93" s="7"/>
      <c r="AK93" s="7"/>
      <c r="AL93" s="16">
        <v>45295</v>
      </c>
      <c r="AM93" s="4"/>
      <c r="AN93" s="4" t="s">
        <v>49</v>
      </c>
      <c r="AO93" s="4"/>
      <c r="AP93" s="4"/>
      <c r="AQ93" s="4"/>
      <c r="AR93" s="11">
        <v>380</v>
      </c>
      <c r="AS93" s="11"/>
      <c r="AT93" s="11"/>
      <c r="AU93" s="11"/>
    </row>
    <row r="94" spans="1:47" ht="15.75" x14ac:dyDescent="0.25">
      <c r="A94" s="112" t="s">
        <v>98</v>
      </c>
      <c r="B94" s="6" t="s">
        <v>1372</v>
      </c>
      <c r="C94" s="8" t="s">
        <v>3</v>
      </c>
      <c r="D94" s="7" t="s">
        <v>19</v>
      </c>
      <c r="E94" s="8">
        <v>7</v>
      </c>
      <c r="F94" s="8"/>
      <c r="G94" s="8"/>
      <c r="H94" s="7"/>
      <c r="I94" s="7"/>
      <c r="J94" s="7"/>
      <c r="K94" s="7"/>
      <c r="L94" s="122"/>
      <c r="M94" s="122"/>
      <c r="N94" s="122"/>
      <c r="O94" s="96"/>
      <c r="P94" s="14">
        <v>0.3</v>
      </c>
      <c r="Q94" s="93">
        <v>0.86164545657070768</v>
      </c>
      <c r="R94" s="93">
        <v>2.6379851851851766</v>
      </c>
      <c r="S94" s="122" t="s">
        <v>1518</v>
      </c>
      <c r="T94" s="7"/>
      <c r="U94" s="7"/>
      <c r="V94" s="122"/>
      <c r="W94" s="122"/>
      <c r="X94" s="122"/>
      <c r="Y94" s="7"/>
      <c r="Z94" s="7"/>
      <c r="AA94" s="7"/>
      <c r="AB94" s="7">
        <v>1</v>
      </c>
      <c r="AC94" s="7"/>
      <c r="AD94" s="7"/>
      <c r="AE94" s="7"/>
      <c r="AF94" s="7"/>
      <c r="AG94" s="7"/>
      <c r="AH94" s="7"/>
      <c r="AI94" s="7"/>
      <c r="AJ94" s="7"/>
      <c r="AK94" s="7"/>
      <c r="AL94" s="16">
        <v>45295</v>
      </c>
      <c r="AM94" s="4"/>
      <c r="AN94" s="6" t="s">
        <v>1004</v>
      </c>
      <c r="AO94" s="4"/>
      <c r="AP94" s="4"/>
      <c r="AQ94" s="4"/>
      <c r="AR94" s="11">
        <v>300</v>
      </c>
      <c r="AS94" s="11"/>
      <c r="AT94" s="11"/>
      <c r="AU94" s="11"/>
    </row>
    <row r="95" spans="1:47" ht="28.5" x14ac:dyDescent="0.25">
      <c r="A95" s="112" t="s">
        <v>979</v>
      </c>
      <c r="B95" s="6" t="s">
        <v>1972</v>
      </c>
      <c r="C95" s="8" t="s">
        <v>3</v>
      </c>
      <c r="D95" s="7" t="s">
        <v>21</v>
      </c>
      <c r="E95" s="8"/>
      <c r="F95" s="8"/>
      <c r="G95" s="8"/>
      <c r="H95" s="7"/>
      <c r="I95" s="7"/>
      <c r="J95" s="7"/>
      <c r="K95" s="7"/>
      <c r="L95" s="122"/>
      <c r="M95" s="122"/>
      <c r="N95" s="122"/>
      <c r="O95" s="96"/>
      <c r="P95" s="14"/>
      <c r="Q95" s="93"/>
      <c r="R95" s="93"/>
      <c r="S95" s="122"/>
      <c r="T95" s="7"/>
      <c r="U95" s="7"/>
      <c r="V95" s="122"/>
      <c r="W95" s="122"/>
      <c r="X95" s="122"/>
      <c r="Y95" s="7"/>
      <c r="Z95" s="7"/>
      <c r="AA95" s="7"/>
      <c r="AB95" s="7">
        <v>1</v>
      </c>
      <c r="AC95" s="7"/>
      <c r="AD95" s="7"/>
      <c r="AE95" s="7"/>
      <c r="AF95" s="7"/>
      <c r="AG95" s="7"/>
      <c r="AH95" s="7"/>
      <c r="AI95" s="7"/>
      <c r="AJ95" s="7"/>
      <c r="AK95" s="7"/>
      <c r="AL95" s="16">
        <v>45295</v>
      </c>
      <c r="AM95" s="4"/>
      <c r="AN95" s="6" t="s">
        <v>1973</v>
      </c>
      <c r="AO95" s="4"/>
      <c r="AP95" s="4"/>
      <c r="AQ95" s="4"/>
      <c r="AR95" s="11"/>
      <c r="AS95" s="11"/>
      <c r="AT95" s="11"/>
      <c r="AU95" s="11"/>
    </row>
    <row r="96" spans="1:47" ht="15.75" x14ac:dyDescent="0.25">
      <c r="A96" s="112" t="s">
        <v>1936</v>
      </c>
      <c r="B96" s="6" t="s">
        <v>1937</v>
      </c>
      <c r="C96" s="9" t="s">
        <v>3</v>
      </c>
      <c r="D96" s="9" t="s">
        <v>13</v>
      </c>
      <c r="E96" s="9">
        <v>3</v>
      </c>
      <c r="F96" s="9">
        <v>5</v>
      </c>
      <c r="G96" s="9"/>
      <c r="H96" s="7">
        <v>50</v>
      </c>
      <c r="I96" s="7"/>
      <c r="J96" s="7"/>
      <c r="K96" s="7" t="s">
        <v>14</v>
      </c>
      <c r="L96" s="122"/>
      <c r="M96" s="122"/>
      <c r="N96" s="122"/>
      <c r="O96" s="96"/>
      <c r="P96" s="14">
        <v>0.3</v>
      </c>
      <c r="Q96" s="93">
        <v>37.375827607941588</v>
      </c>
      <c r="R96" s="93">
        <v>5.7598972022447539</v>
      </c>
      <c r="S96" s="122" t="s">
        <v>1518</v>
      </c>
      <c r="T96" s="7"/>
      <c r="U96" s="7"/>
      <c r="V96" s="122" t="s">
        <v>1518</v>
      </c>
      <c r="W96" s="122"/>
      <c r="X96" s="122"/>
      <c r="Y96" s="7"/>
      <c r="Z96" s="7"/>
      <c r="AA96" s="7">
        <v>1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16">
        <v>45295</v>
      </c>
      <c r="AM96" s="4"/>
      <c r="AN96" s="6" t="s">
        <v>1014</v>
      </c>
      <c r="AO96" s="6" t="s">
        <v>1013</v>
      </c>
      <c r="AP96" s="4"/>
      <c r="AQ96" s="4"/>
      <c r="AR96" s="11">
        <v>100</v>
      </c>
      <c r="AS96" s="11">
        <v>375</v>
      </c>
      <c r="AT96" s="11"/>
      <c r="AU96" s="11"/>
    </row>
    <row r="97" spans="1:48" ht="15.75" x14ac:dyDescent="0.25">
      <c r="A97" s="112" t="s">
        <v>99</v>
      </c>
      <c r="B97" s="6" t="s">
        <v>1373</v>
      </c>
      <c r="C97" s="9" t="s">
        <v>3</v>
      </c>
      <c r="D97" s="8" t="s">
        <v>21</v>
      </c>
      <c r="E97" s="9">
        <v>3</v>
      </c>
      <c r="F97" s="9"/>
      <c r="G97" s="9"/>
      <c r="H97" s="7"/>
      <c r="I97" s="7"/>
      <c r="J97" s="7"/>
      <c r="K97" s="7" t="s">
        <v>14</v>
      </c>
      <c r="L97" s="122"/>
      <c r="M97" s="122"/>
      <c r="N97" s="122"/>
      <c r="O97" s="96"/>
      <c r="P97" s="14">
        <v>0.3</v>
      </c>
      <c r="Q97" s="93">
        <v>2.0910301679515646</v>
      </c>
      <c r="R97" s="93">
        <v>6.9730576441102894</v>
      </c>
      <c r="S97" s="122" t="s">
        <v>1518</v>
      </c>
      <c r="T97" s="7"/>
      <c r="U97" s="7"/>
      <c r="V97" s="122" t="s">
        <v>1518</v>
      </c>
      <c r="W97" s="122"/>
      <c r="X97" s="122"/>
      <c r="Y97" s="7"/>
      <c r="Z97" s="7">
        <v>1</v>
      </c>
      <c r="AA97" s="7">
        <v>1</v>
      </c>
      <c r="AB97" s="7">
        <v>1</v>
      </c>
      <c r="AC97" s="7"/>
      <c r="AD97" s="7">
        <v>1</v>
      </c>
      <c r="AE97" s="7"/>
      <c r="AF97" s="7"/>
      <c r="AG97" s="7"/>
      <c r="AH97" s="7"/>
      <c r="AI97" s="7"/>
      <c r="AJ97" s="7"/>
      <c r="AK97" s="7"/>
      <c r="AL97" s="16">
        <v>45295</v>
      </c>
      <c r="AM97" s="4"/>
      <c r="AN97" s="6" t="s">
        <v>1014</v>
      </c>
      <c r="AO97" s="4"/>
      <c r="AP97" s="4"/>
      <c r="AQ97" s="4"/>
      <c r="AR97" s="11">
        <v>250</v>
      </c>
      <c r="AS97" s="11"/>
      <c r="AT97" s="11"/>
      <c r="AU97" s="11"/>
    </row>
    <row r="98" spans="1:48" ht="15.75" x14ac:dyDescent="0.25">
      <c r="A98" s="112" t="s">
        <v>100</v>
      </c>
      <c r="B98" s="6" t="s">
        <v>1374</v>
      </c>
      <c r="C98" s="9" t="s">
        <v>3</v>
      </c>
      <c r="D98" s="7" t="s">
        <v>19</v>
      </c>
      <c r="E98" s="9">
        <v>7</v>
      </c>
      <c r="F98" s="9">
        <v>11</v>
      </c>
      <c r="G98" s="9"/>
      <c r="H98" s="7"/>
      <c r="I98" s="7"/>
      <c r="J98" s="7"/>
      <c r="K98" s="7"/>
      <c r="L98" s="122"/>
      <c r="M98" s="122"/>
      <c r="N98" s="122"/>
      <c r="O98" s="96"/>
      <c r="P98" s="14"/>
      <c r="Q98" s="93">
        <v>2.2568953661158258</v>
      </c>
      <c r="R98" s="93">
        <v>3.6377294163265253E-2</v>
      </c>
      <c r="S98" s="122" t="s">
        <v>1518</v>
      </c>
      <c r="T98" s="7"/>
      <c r="U98" s="7"/>
      <c r="V98" s="122"/>
      <c r="W98" s="122"/>
      <c r="X98" s="122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16">
        <v>45295</v>
      </c>
      <c r="AM98" s="4"/>
      <c r="AN98" s="6" t="s">
        <v>997</v>
      </c>
      <c r="AO98" s="4" t="s">
        <v>86</v>
      </c>
      <c r="AP98" s="4"/>
      <c r="AQ98" s="4"/>
      <c r="AR98" s="11">
        <v>267</v>
      </c>
      <c r="AS98" s="11">
        <v>67</v>
      </c>
      <c r="AT98" s="11"/>
      <c r="AU98" s="11"/>
    </row>
    <row r="99" spans="1:48" ht="15.75" x14ac:dyDescent="0.25">
      <c r="A99" s="112" t="s">
        <v>101</v>
      </c>
      <c r="B99" s="6" t="s">
        <v>1378</v>
      </c>
      <c r="C99" s="9" t="s">
        <v>3</v>
      </c>
      <c r="D99" s="9" t="s">
        <v>26</v>
      </c>
      <c r="E99" s="9">
        <v>3</v>
      </c>
      <c r="F99" s="9"/>
      <c r="G99" s="9"/>
      <c r="H99" s="7">
        <v>20</v>
      </c>
      <c r="I99" s="7"/>
      <c r="J99" s="7"/>
      <c r="K99" s="7"/>
      <c r="L99" s="122"/>
      <c r="M99" s="122"/>
      <c r="N99" s="122"/>
      <c r="O99" s="96"/>
      <c r="P99" s="15">
        <v>0.3</v>
      </c>
      <c r="Q99" s="93">
        <v>2.896913812557282</v>
      </c>
      <c r="R99" s="93">
        <v>5.9619642857142834</v>
      </c>
      <c r="S99" s="122" t="s">
        <v>1518</v>
      </c>
      <c r="T99" s="7"/>
      <c r="U99" s="7"/>
      <c r="V99" s="122" t="s">
        <v>1518</v>
      </c>
      <c r="W99" s="122"/>
      <c r="X99" s="122" t="s">
        <v>1518</v>
      </c>
      <c r="Y99" s="7"/>
      <c r="Z99" s="7">
        <v>1</v>
      </c>
      <c r="AA99" s="7"/>
      <c r="AB99" s="7"/>
      <c r="AC99" s="7"/>
      <c r="AD99" s="7">
        <v>1</v>
      </c>
      <c r="AE99" s="7">
        <v>1</v>
      </c>
      <c r="AF99" s="7"/>
      <c r="AG99" s="7"/>
      <c r="AH99" s="7"/>
      <c r="AI99" s="7"/>
      <c r="AJ99" s="7"/>
      <c r="AK99" s="7"/>
      <c r="AL99" s="16">
        <v>45295</v>
      </c>
      <c r="AM99" s="4"/>
      <c r="AN99" s="6" t="s">
        <v>1021</v>
      </c>
      <c r="AO99" s="4"/>
      <c r="AP99" s="4"/>
      <c r="AQ99" s="4"/>
      <c r="AR99" s="11">
        <v>60</v>
      </c>
      <c r="AS99" s="11"/>
      <c r="AT99" s="11"/>
      <c r="AU99" s="11"/>
    </row>
    <row r="100" spans="1:48" ht="15.75" x14ac:dyDescent="0.25">
      <c r="A100" s="112" t="s">
        <v>102</v>
      </c>
      <c r="B100" s="6" t="s">
        <v>1691</v>
      </c>
      <c r="C100" s="9" t="s">
        <v>3</v>
      </c>
      <c r="D100" s="8" t="s">
        <v>1690</v>
      </c>
      <c r="E100" s="9">
        <v>3</v>
      </c>
      <c r="F100" s="9"/>
      <c r="G100" s="9"/>
      <c r="H100" s="7"/>
      <c r="I100" s="7"/>
      <c r="J100" s="7"/>
      <c r="K100" s="7" t="s">
        <v>14</v>
      </c>
      <c r="L100" s="122"/>
      <c r="M100" s="122"/>
      <c r="N100" s="122"/>
      <c r="O100" s="96"/>
      <c r="P100" s="14">
        <v>0.3</v>
      </c>
      <c r="Q100" s="93">
        <v>2.0910301679515646</v>
      </c>
      <c r="R100" s="93">
        <v>6.9730576441102894</v>
      </c>
      <c r="S100" s="122" t="s">
        <v>1518</v>
      </c>
      <c r="T100" s="7"/>
      <c r="U100" s="7"/>
      <c r="V100" s="122" t="s">
        <v>1518</v>
      </c>
      <c r="W100" s="122"/>
      <c r="X100" s="122"/>
      <c r="Y100" s="7"/>
      <c r="Z100" s="7">
        <v>1</v>
      </c>
      <c r="AA100" s="7">
        <v>1</v>
      </c>
      <c r="AB100" s="7">
        <v>1</v>
      </c>
      <c r="AC100" s="7"/>
      <c r="AD100" s="7">
        <v>1</v>
      </c>
      <c r="AE100" s="7"/>
      <c r="AF100" s="7"/>
      <c r="AG100" s="7"/>
      <c r="AH100" s="7"/>
      <c r="AI100" s="7"/>
      <c r="AJ100" s="7"/>
      <c r="AK100" s="7"/>
      <c r="AL100" s="16">
        <v>45295</v>
      </c>
      <c r="AM100" s="4"/>
      <c r="AN100" s="6" t="s">
        <v>1014</v>
      </c>
      <c r="AO100" s="4"/>
      <c r="AP100" s="4"/>
      <c r="AQ100" s="4"/>
      <c r="AR100" s="11">
        <v>250</v>
      </c>
      <c r="AS100" s="11"/>
      <c r="AT100" s="11"/>
      <c r="AU100" s="11"/>
    </row>
    <row r="101" spans="1:48" ht="15.75" x14ac:dyDescent="0.25">
      <c r="A101" s="112" t="s">
        <v>1828</v>
      </c>
      <c r="B101" s="6" t="s">
        <v>1969</v>
      </c>
      <c r="C101" s="9" t="s">
        <v>3</v>
      </c>
      <c r="D101" s="8" t="s">
        <v>17</v>
      </c>
      <c r="E101" s="9">
        <v>27</v>
      </c>
      <c r="F101" s="9"/>
      <c r="G101" s="9"/>
      <c r="H101" s="7"/>
      <c r="I101" s="7"/>
      <c r="J101" s="7"/>
      <c r="K101" s="7"/>
      <c r="L101" s="122"/>
      <c r="M101" s="122"/>
      <c r="N101" s="122"/>
      <c r="O101" s="96"/>
      <c r="P101" s="7"/>
      <c r="Q101" s="93">
        <v>0.19944667307963712</v>
      </c>
      <c r="R101" s="93">
        <v>5.3551425742574272</v>
      </c>
      <c r="S101" s="122" t="s">
        <v>1518</v>
      </c>
      <c r="T101" s="7"/>
      <c r="U101" s="7"/>
      <c r="V101" s="124" t="s">
        <v>1518</v>
      </c>
      <c r="W101" s="124"/>
      <c r="X101" s="124" t="s">
        <v>1518</v>
      </c>
      <c r="Y101" s="12"/>
      <c r="Z101" s="7"/>
      <c r="AA101" s="7"/>
      <c r="AB101" s="7">
        <v>1</v>
      </c>
      <c r="AC101" s="7"/>
      <c r="AD101" s="7"/>
      <c r="AE101" s="7"/>
      <c r="AF101" s="7"/>
      <c r="AG101" s="7"/>
      <c r="AH101" s="7"/>
      <c r="AI101" s="7"/>
      <c r="AJ101" s="7"/>
      <c r="AK101" s="7"/>
      <c r="AL101" s="16">
        <v>45295</v>
      </c>
      <c r="AM101" s="4"/>
      <c r="AN101" s="4" t="s">
        <v>30</v>
      </c>
      <c r="AO101" s="4"/>
      <c r="AP101" s="4"/>
      <c r="AQ101" s="4"/>
      <c r="AR101" s="11">
        <v>450</v>
      </c>
      <c r="AS101" s="11"/>
      <c r="AT101" s="11"/>
      <c r="AU101" s="11"/>
    </row>
    <row r="102" spans="1:48" ht="15.75" x14ac:dyDescent="0.25">
      <c r="A102" s="112" t="s">
        <v>103</v>
      </c>
      <c r="B102" s="6" t="s">
        <v>1387</v>
      </c>
      <c r="C102" s="9" t="s">
        <v>3</v>
      </c>
      <c r="D102" s="9" t="s">
        <v>29</v>
      </c>
      <c r="E102" s="9">
        <v>3</v>
      </c>
      <c r="F102" s="9">
        <v>5</v>
      </c>
      <c r="G102" s="9"/>
      <c r="H102" s="7">
        <v>50</v>
      </c>
      <c r="I102" s="7"/>
      <c r="J102" s="7"/>
      <c r="K102" s="7" t="s">
        <v>14</v>
      </c>
      <c r="L102" s="122"/>
      <c r="M102" s="122"/>
      <c r="N102" s="122"/>
      <c r="O102" s="96"/>
      <c r="P102" s="14">
        <v>0.3</v>
      </c>
      <c r="Q102" s="93">
        <v>37.375827607941588</v>
      </c>
      <c r="R102" s="93">
        <v>5.7598972022447539</v>
      </c>
      <c r="S102" s="122" t="s">
        <v>1518</v>
      </c>
      <c r="T102" s="7"/>
      <c r="U102" s="7"/>
      <c r="V102" s="122" t="s">
        <v>1518</v>
      </c>
      <c r="W102" s="122"/>
      <c r="X102" s="122"/>
      <c r="Y102" s="7"/>
      <c r="Z102" s="7"/>
      <c r="AA102" s="7">
        <v>1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16">
        <v>45295</v>
      </c>
      <c r="AM102" s="4"/>
      <c r="AN102" s="6" t="s">
        <v>1014</v>
      </c>
      <c r="AO102" s="6" t="s">
        <v>1013</v>
      </c>
      <c r="AP102" s="4"/>
      <c r="AQ102" s="4"/>
      <c r="AR102" s="11">
        <v>100</v>
      </c>
      <c r="AS102" s="11">
        <v>375</v>
      </c>
      <c r="AT102" s="11"/>
      <c r="AU102" s="11"/>
    </row>
    <row r="103" spans="1:48" ht="15.75" x14ac:dyDescent="0.25">
      <c r="A103" s="116" t="s">
        <v>923</v>
      </c>
      <c r="B103" s="6" t="s">
        <v>1405</v>
      </c>
      <c r="C103" s="54" t="s">
        <v>3</v>
      </c>
      <c r="D103" s="8" t="s">
        <v>26</v>
      </c>
      <c r="E103" s="54">
        <v>3</v>
      </c>
      <c r="F103" s="54">
        <v>7</v>
      </c>
      <c r="G103" s="54"/>
      <c r="H103" s="50"/>
      <c r="I103" s="50"/>
      <c r="J103" s="50"/>
      <c r="K103" s="50"/>
      <c r="L103" s="123"/>
      <c r="M103" s="123"/>
      <c r="N103" s="123"/>
      <c r="O103" s="97"/>
      <c r="P103" s="55">
        <v>0.5</v>
      </c>
      <c r="Q103" s="93">
        <v>0.82925720426922911</v>
      </c>
      <c r="R103" s="93">
        <v>2.7101950710108627</v>
      </c>
      <c r="S103" s="123" t="s">
        <v>1518</v>
      </c>
      <c r="T103" s="50"/>
      <c r="U103" s="50"/>
      <c r="V103" s="123"/>
      <c r="W103" s="123"/>
      <c r="X103" s="123"/>
      <c r="Y103" s="50"/>
      <c r="Z103" s="50"/>
      <c r="AA103" s="50"/>
      <c r="AB103" s="50">
        <v>1</v>
      </c>
      <c r="AC103" s="50"/>
      <c r="AD103" s="50"/>
      <c r="AE103" s="50"/>
      <c r="AF103" s="50"/>
      <c r="AG103" s="50"/>
      <c r="AH103" s="50"/>
      <c r="AI103" s="50"/>
      <c r="AJ103" s="50"/>
      <c r="AK103" s="50"/>
      <c r="AL103" s="16">
        <v>45295</v>
      </c>
      <c r="AM103" s="51"/>
      <c r="AN103" s="6" t="s">
        <v>1014</v>
      </c>
      <c r="AO103" s="6" t="s">
        <v>1004</v>
      </c>
      <c r="AP103" s="51"/>
      <c r="AQ103" s="51"/>
      <c r="AR103" s="53">
        <v>50</v>
      </c>
      <c r="AS103" s="53">
        <v>75</v>
      </c>
      <c r="AT103" s="53"/>
      <c r="AU103" s="53"/>
    </row>
    <row r="104" spans="1:48" ht="15.75" x14ac:dyDescent="0.25">
      <c r="A104" s="112" t="s">
        <v>105</v>
      </c>
      <c r="B104" s="6" t="s">
        <v>1407</v>
      </c>
      <c r="C104" s="9" t="s">
        <v>3</v>
      </c>
      <c r="D104" s="9" t="s">
        <v>17</v>
      </c>
      <c r="E104" s="9">
        <v>13</v>
      </c>
      <c r="F104" s="9"/>
      <c r="G104" s="9"/>
      <c r="H104" s="7"/>
      <c r="I104" s="7"/>
      <c r="J104" s="7"/>
      <c r="K104" s="7"/>
      <c r="L104" s="122"/>
      <c r="M104" s="122"/>
      <c r="N104" s="122"/>
      <c r="O104" s="96"/>
      <c r="P104" s="7"/>
      <c r="Q104" s="93">
        <v>3.0727663765713151</v>
      </c>
      <c r="R104" s="93">
        <v>0.57963541666666862</v>
      </c>
      <c r="S104" s="122" t="s">
        <v>1518</v>
      </c>
      <c r="T104" s="7"/>
      <c r="U104" s="7"/>
      <c r="V104" s="122" t="s">
        <v>1518</v>
      </c>
      <c r="W104" s="122"/>
      <c r="X104" s="122"/>
      <c r="Y104" s="7"/>
      <c r="Z104" s="7">
        <v>1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16">
        <v>45295</v>
      </c>
      <c r="AM104" s="4"/>
      <c r="AN104" s="11" t="s">
        <v>106</v>
      </c>
      <c r="AO104" s="11"/>
      <c r="AP104" s="4"/>
      <c r="AQ104" s="4"/>
      <c r="AR104" s="11">
        <v>200</v>
      </c>
      <c r="AS104" s="11"/>
      <c r="AT104" s="11"/>
      <c r="AU104" s="11"/>
    </row>
    <row r="105" spans="1:48" ht="15.75" x14ac:dyDescent="0.25">
      <c r="A105" s="114" t="s">
        <v>107</v>
      </c>
      <c r="B105" s="6" t="s">
        <v>1413</v>
      </c>
      <c r="C105" s="9" t="s">
        <v>3</v>
      </c>
      <c r="D105" s="8" t="s">
        <v>21</v>
      </c>
      <c r="E105" s="9">
        <v>3</v>
      </c>
      <c r="F105" s="9">
        <v>3</v>
      </c>
      <c r="G105" s="9"/>
      <c r="H105" s="7">
        <v>6</v>
      </c>
      <c r="I105" s="7"/>
      <c r="J105" s="7"/>
      <c r="K105" s="7" t="s">
        <v>14</v>
      </c>
      <c r="L105" s="122"/>
      <c r="M105" s="122"/>
      <c r="N105" s="122"/>
      <c r="O105" s="96"/>
      <c r="P105" s="14">
        <v>0.3</v>
      </c>
      <c r="Q105" s="93">
        <v>2.0208057793538012</v>
      </c>
      <c r="R105" s="93">
        <v>6.0438534492753595</v>
      </c>
      <c r="S105" s="122" t="s">
        <v>1518</v>
      </c>
      <c r="T105" s="7"/>
      <c r="U105" s="7"/>
      <c r="V105" s="122" t="s">
        <v>1518</v>
      </c>
      <c r="W105" s="122" t="s">
        <v>1518</v>
      </c>
      <c r="X105" s="122"/>
      <c r="Y105" s="7"/>
      <c r="Z105" s="7"/>
      <c r="AA105" s="7"/>
      <c r="AB105" s="7"/>
      <c r="AC105" s="7"/>
      <c r="AD105" s="7">
        <v>1</v>
      </c>
      <c r="AE105" s="7"/>
      <c r="AF105" s="7"/>
      <c r="AG105" s="7"/>
      <c r="AH105" s="7"/>
      <c r="AI105" s="7"/>
      <c r="AJ105" s="7"/>
      <c r="AK105" s="7"/>
      <c r="AL105" s="16">
        <v>45295</v>
      </c>
      <c r="AM105" s="4"/>
      <c r="AN105" s="11" t="s">
        <v>41</v>
      </c>
      <c r="AO105" s="11" t="s">
        <v>15</v>
      </c>
      <c r="AP105" s="4"/>
      <c r="AQ105" s="4"/>
      <c r="AR105" s="11">
        <v>160</v>
      </c>
      <c r="AS105" s="11">
        <v>80</v>
      </c>
      <c r="AT105" s="11"/>
      <c r="AU105" s="11"/>
    </row>
    <row r="106" spans="1:48" ht="15.75" x14ac:dyDescent="0.25">
      <c r="A106" s="112" t="s">
        <v>1586</v>
      </c>
      <c r="B106" s="6" t="s">
        <v>1681</v>
      </c>
      <c r="C106" s="8" t="s">
        <v>3</v>
      </c>
      <c r="D106" s="7" t="s">
        <v>17</v>
      </c>
      <c r="E106" s="8">
        <v>7</v>
      </c>
      <c r="F106" s="8"/>
      <c r="G106" s="8"/>
      <c r="H106" s="7"/>
      <c r="I106" s="7"/>
      <c r="J106" s="7"/>
      <c r="K106" s="7"/>
      <c r="L106" s="122"/>
      <c r="M106" s="122"/>
      <c r="N106" s="122"/>
      <c r="O106" s="96"/>
      <c r="P106" s="14">
        <v>0.3</v>
      </c>
      <c r="Q106" s="93">
        <v>0.86164545657070768</v>
      </c>
      <c r="R106" s="93">
        <v>2.6379851851851766</v>
      </c>
      <c r="S106" s="122" t="s">
        <v>1518</v>
      </c>
      <c r="T106" s="7"/>
      <c r="U106" s="7"/>
      <c r="V106" s="122"/>
      <c r="W106" s="122"/>
      <c r="X106" s="122"/>
      <c r="Y106" s="7"/>
      <c r="Z106" s="7"/>
      <c r="AA106" s="7"/>
      <c r="AB106" s="7">
        <v>1</v>
      </c>
      <c r="AC106" s="7"/>
      <c r="AD106" s="7"/>
      <c r="AE106" s="7"/>
      <c r="AF106" s="7"/>
      <c r="AG106" s="7"/>
      <c r="AH106" s="7"/>
      <c r="AI106" s="7"/>
      <c r="AJ106" s="7"/>
      <c r="AK106" s="7"/>
      <c r="AL106" s="16">
        <v>45295</v>
      </c>
      <c r="AM106" s="4"/>
      <c r="AN106" s="6" t="s">
        <v>1004</v>
      </c>
      <c r="AO106" s="4"/>
      <c r="AP106" s="4"/>
      <c r="AQ106" s="4"/>
      <c r="AR106" s="11">
        <v>300</v>
      </c>
      <c r="AS106" s="11"/>
      <c r="AT106" s="11"/>
      <c r="AU106" s="11"/>
    </row>
    <row r="107" spans="1:48" ht="15.75" x14ac:dyDescent="0.25">
      <c r="A107" s="112" t="s">
        <v>897</v>
      </c>
      <c r="B107" s="6" t="s">
        <v>1415</v>
      </c>
      <c r="C107" s="8" t="s">
        <v>3</v>
      </c>
      <c r="D107" s="8" t="s">
        <v>29</v>
      </c>
      <c r="E107" s="8">
        <v>3</v>
      </c>
      <c r="F107" s="8"/>
      <c r="G107" s="8"/>
      <c r="H107" s="7"/>
      <c r="I107" s="7"/>
      <c r="J107" s="7"/>
      <c r="K107" s="7"/>
      <c r="L107" s="122" t="s">
        <v>1518</v>
      </c>
      <c r="M107" s="122" t="s">
        <v>1518</v>
      </c>
      <c r="N107" s="122"/>
      <c r="O107" s="96"/>
      <c r="P107" s="7"/>
      <c r="Q107" s="93">
        <v>0.11630836457486443</v>
      </c>
      <c r="R107" s="93">
        <v>4.6370833333333508</v>
      </c>
      <c r="S107" s="122" t="s">
        <v>1518</v>
      </c>
      <c r="T107" s="7"/>
      <c r="U107" s="7"/>
      <c r="V107" s="122" t="s">
        <v>1518</v>
      </c>
      <c r="W107" s="122"/>
      <c r="X107" s="122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>
        <v>1</v>
      </c>
      <c r="AK107" s="7"/>
      <c r="AL107" s="16">
        <v>45295</v>
      </c>
      <c r="AM107" s="4"/>
      <c r="AN107" s="11" t="s">
        <v>898</v>
      </c>
      <c r="AO107" s="11"/>
      <c r="AP107" s="4"/>
      <c r="AQ107" s="4"/>
      <c r="AR107" s="11">
        <v>200</v>
      </c>
      <c r="AS107" s="11"/>
      <c r="AT107" s="11"/>
      <c r="AU107" s="11"/>
    </row>
    <row r="108" spans="1:48" ht="15.75" x14ac:dyDescent="0.25">
      <c r="A108" s="112" t="s">
        <v>110</v>
      </c>
      <c r="B108" s="6" t="s">
        <v>1424</v>
      </c>
      <c r="C108" s="8" t="s">
        <v>3</v>
      </c>
      <c r="D108" s="8" t="s">
        <v>29</v>
      </c>
      <c r="E108" s="8">
        <v>9</v>
      </c>
      <c r="F108" s="8"/>
      <c r="G108" s="8"/>
      <c r="H108" s="7"/>
      <c r="I108" s="7"/>
      <c r="J108" s="7"/>
      <c r="K108" s="7" t="s">
        <v>14</v>
      </c>
      <c r="L108" s="122"/>
      <c r="M108" s="122"/>
      <c r="N108" s="122"/>
      <c r="O108" s="96"/>
      <c r="P108" s="14">
        <v>0.3</v>
      </c>
      <c r="Q108" s="93">
        <v>21.103287075834356</v>
      </c>
      <c r="R108" s="93">
        <v>0.92741666666666522</v>
      </c>
      <c r="S108" s="122" t="s">
        <v>1518</v>
      </c>
      <c r="T108" s="7"/>
      <c r="U108" s="7"/>
      <c r="V108" s="122"/>
      <c r="W108" s="122"/>
      <c r="X108" s="122"/>
      <c r="Y108" s="7"/>
      <c r="Z108" s="7">
        <v>1</v>
      </c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16">
        <v>45295</v>
      </c>
      <c r="AM108" s="4"/>
      <c r="AN108" s="4" t="s">
        <v>104</v>
      </c>
      <c r="AO108" s="4"/>
      <c r="AP108" s="4"/>
      <c r="AQ108" s="4"/>
      <c r="AR108" s="11">
        <v>750</v>
      </c>
      <c r="AS108" s="11"/>
      <c r="AT108" s="11"/>
      <c r="AU108" s="11"/>
      <c r="AV108" s="1">
        <v>50</v>
      </c>
    </row>
    <row r="109" spans="1:48" ht="15.75" x14ac:dyDescent="0.25">
      <c r="A109" s="112" t="s">
        <v>950</v>
      </c>
      <c r="B109" s="6" t="s">
        <v>1425</v>
      </c>
      <c r="C109" s="8" t="s">
        <v>3</v>
      </c>
      <c r="D109" s="8" t="s">
        <v>17</v>
      </c>
      <c r="E109" s="8">
        <v>3</v>
      </c>
      <c r="F109" s="8">
        <v>7</v>
      </c>
      <c r="G109" s="8">
        <v>11</v>
      </c>
      <c r="H109" s="7"/>
      <c r="I109" s="7"/>
      <c r="J109" s="7"/>
      <c r="K109" s="7"/>
      <c r="L109" s="122"/>
      <c r="M109" s="122"/>
      <c r="N109" s="122"/>
      <c r="O109" s="96"/>
      <c r="P109" s="14">
        <v>0.5</v>
      </c>
      <c r="Q109" s="93">
        <v>2.5270502289701349</v>
      </c>
      <c r="R109" s="93">
        <v>27.519199393939392</v>
      </c>
      <c r="S109" s="122" t="s">
        <v>1518</v>
      </c>
      <c r="T109" s="7"/>
      <c r="U109" s="7"/>
      <c r="V109" s="122"/>
      <c r="W109" s="122"/>
      <c r="X109" s="122" t="s">
        <v>1518</v>
      </c>
      <c r="Y109" s="7"/>
      <c r="Z109" s="7">
        <v>1</v>
      </c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16">
        <v>45295</v>
      </c>
      <c r="AM109" s="4"/>
      <c r="AN109" s="4" t="s">
        <v>15</v>
      </c>
      <c r="AO109" s="4" t="s">
        <v>16</v>
      </c>
      <c r="AP109" s="4" t="s">
        <v>951</v>
      </c>
      <c r="AQ109" s="4"/>
      <c r="AR109" s="11">
        <v>100</v>
      </c>
      <c r="AS109" s="11">
        <v>40</v>
      </c>
      <c r="AT109" s="11">
        <v>50</v>
      </c>
      <c r="AU109" s="11"/>
    </row>
    <row r="110" spans="1:48" ht="15.75" x14ac:dyDescent="0.25">
      <c r="A110" s="112" t="s">
        <v>1428</v>
      </c>
      <c r="B110" s="6" t="s">
        <v>1429</v>
      </c>
      <c r="C110" s="9" t="s">
        <v>3</v>
      </c>
      <c r="D110" s="9" t="s">
        <v>24</v>
      </c>
      <c r="E110" s="9" t="s">
        <v>25</v>
      </c>
      <c r="F110" s="9"/>
      <c r="G110" s="9"/>
      <c r="H110" s="7"/>
      <c r="I110" s="7"/>
      <c r="J110" s="7"/>
      <c r="K110" s="7"/>
      <c r="L110" s="122"/>
      <c r="M110" s="122"/>
      <c r="N110" s="122"/>
      <c r="O110" s="96"/>
      <c r="P110" s="14">
        <v>0.5</v>
      </c>
      <c r="Q110" s="93">
        <v>55</v>
      </c>
      <c r="R110" s="93">
        <v>1</v>
      </c>
      <c r="S110" s="122" t="s">
        <v>1518</v>
      </c>
      <c r="T110" s="7"/>
      <c r="U110" s="7"/>
      <c r="V110" s="122"/>
      <c r="W110" s="122"/>
      <c r="X110" s="122" t="s">
        <v>1518</v>
      </c>
      <c r="Y110" s="7"/>
      <c r="Z110" s="7"/>
      <c r="AA110" s="7"/>
      <c r="AB110" s="7">
        <v>1</v>
      </c>
      <c r="AC110" s="7"/>
      <c r="AD110" s="7"/>
      <c r="AE110" s="7"/>
      <c r="AF110" s="7"/>
      <c r="AG110" s="7"/>
      <c r="AH110" s="7"/>
      <c r="AI110" s="7"/>
      <c r="AJ110" s="7"/>
      <c r="AK110" s="7"/>
      <c r="AL110" s="16">
        <v>45295</v>
      </c>
      <c r="AM110" s="4"/>
      <c r="AN110" s="4" t="s">
        <v>49</v>
      </c>
      <c r="AO110" s="4"/>
      <c r="AP110" s="4"/>
      <c r="AQ110" s="4"/>
      <c r="AR110" s="11">
        <v>350</v>
      </c>
      <c r="AS110" s="11"/>
      <c r="AT110" s="11"/>
      <c r="AU110" s="11"/>
    </row>
    <row r="111" spans="1:48" ht="15.75" x14ac:dyDescent="0.25">
      <c r="A111" s="112" t="s">
        <v>111</v>
      </c>
      <c r="B111" s="6" t="s">
        <v>1433</v>
      </c>
      <c r="C111" s="9" t="s">
        <v>3</v>
      </c>
      <c r="D111" s="8" t="s">
        <v>17</v>
      </c>
      <c r="E111" s="9">
        <v>29</v>
      </c>
      <c r="F111" s="9"/>
      <c r="G111" s="9"/>
      <c r="H111" s="7">
        <v>20</v>
      </c>
      <c r="I111" s="7"/>
      <c r="J111" s="7"/>
      <c r="K111" s="7" t="s">
        <v>59</v>
      </c>
      <c r="L111" s="122"/>
      <c r="M111" s="122"/>
      <c r="N111" s="122"/>
      <c r="O111" s="96"/>
      <c r="P111" s="7"/>
      <c r="Q111" s="93">
        <v>6</v>
      </c>
      <c r="R111" s="93">
        <v>23</v>
      </c>
      <c r="S111" s="122" t="s">
        <v>1518</v>
      </c>
      <c r="T111" s="7"/>
      <c r="U111" s="7"/>
      <c r="V111" s="122" t="s">
        <v>1518</v>
      </c>
      <c r="W111" s="122"/>
      <c r="X111" s="122" t="s">
        <v>1518</v>
      </c>
      <c r="Y111" s="7"/>
      <c r="Z111" s="7"/>
      <c r="AA111" s="7"/>
      <c r="AB111" s="7">
        <v>1</v>
      </c>
      <c r="AC111" s="7"/>
      <c r="AD111" s="7"/>
      <c r="AE111" s="7"/>
      <c r="AF111" s="7"/>
      <c r="AG111" s="7"/>
      <c r="AH111" s="7"/>
      <c r="AI111" s="7"/>
      <c r="AJ111" s="7"/>
      <c r="AK111" s="7"/>
      <c r="AL111" s="16">
        <v>45295</v>
      </c>
      <c r="AM111" s="4"/>
      <c r="AN111" s="11" t="s">
        <v>60</v>
      </c>
      <c r="AO111" s="4"/>
      <c r="AP111" s="4"/>
      <c r="AQ111" s="4"/>
      <c r="AR111" s="11">
        <v>500</v>
      </c>
      <c r="AS111" s="11"/>
      <c r="AT111" s="11"/>
      <c r="AU111" s="11"/>
    </row>
    <row r="112" spans="1:48" ht="15.75" x14ac:dyDescent="0.25">
      <c r="A112" s="112"/>
      <c r="B112" s="6"/>
      <c r="C112" s="8"/>
      <c r="D112" s="8"/>
      <c r="E112" s="8"/>
      <c r="F112" s="8"/>
      <c r="G112" s="8"/>
      <c r="H112" s="7"/>
      <c r="I112" s="7"/>
      <c r="J112" s="7"/>
      <c r="K112" s="7"/>
      <c r="L112" s="122"/>
      <c r="M112" s="122"/>
      <c r="N112" s="122"/>
      <c r="O112" s="96"/>
      <c r="P112" s="256"/>
      <c r="Q112" s="93"/>
      <c r="R112" s="93"/>
      <c r="S112" s="122"/>
      <c r="T112" s="7"/>
      <c r="U112" s="7"/>
      <c r="V112" s="122"/>
      <c r="W112" s="122"/>
      <c r="X112" s="122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16"/>
      <c r="AM112" s="4"/>
      <c r="AN112" s="6"/>
      <c r="AO112" s="4"/>
      <c r="AP112" s="4"/>
      <c r="AQ112" s="4"/>
      <c r="AR112" s="11"/>
      <c r="AS112" s="11"/>
      <c r="AT112" s="11"/>
      <c r="AU112" s="11"/>
    </row>
    <row r="113" spans="1:47" ht="15.75" x14ac:dyDescent="0.25">
      <c r="A113" s="112"/>
      <c r="B113" s="6"/>
      <c r="C113" s="9"/>
      <c r="D113" s="9"/>
      <c r="E113" s="9"/>
      <c r="F113" s="9"/>
      <c r="G113" s="9"/>
      <c r="H113" s="7"/>
      <c r="I113" s="7"/>
      <c r="J113" s="7"/>
      <c r="K113" s="7"/>
      <c r="L113" s="122"/>
      <c r="M113" s="122"/>
      <c r="N113" s="122"/>
      <c r="O113" s="96"/>
      <c r="P113" s="256"/>
      <c r="Q113" s="93"/>
      <c r="R113" s="93"/>
      <c r="S113" s="122"/>
      <c r="T113" s="7"/>
      <c r="U113" s="7"/>
      <c r="V113" s="122"/>
      <c r="W113" s="122"/>
      <c r="X113" s="122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16"/>
      <c r="AM113" s="4"/>
      <c r="AN113" s="4"/>
      <c r="AO113" s="6"/>
      <c r="AP113" s="4"/>
      <c r="AQ113" s="4"/>
      <c r="AR113" s="11"/>
      <c r="AS113" s="11"/>
      <c r="AT113" s="11"/>
      <c r="AU113" s="11"/>
    </row>
    <row r="114" spans="1:47" ht="15.75" x14ac:dyDescent="0.25">
      <c r="A114" s="114"/>
      <c r="B114" s="6"/>
      <c r="C114" s="8"/>
      <c r="D114" s="8"/>
      <c r="E114" s="8"/>
      <c r="F114" s="8"/>
      <c r="G114" s="8"/>
      <c r="H114" s="7"/>
      <c r="I114" s="7"/>
      <c r="J114" s="7"/>
      <c r="K114" s="7"/>
      <c r="L114" s="122"/>
      <c r="M114" s="122"/>
      <c r="N114" s="122"/>
      <c r="O114" s="96"/>
      <c r="P114" s="256"/>
      <c r="Q114" s="93"/>
      <c r="R114" s="93"/>
      <c r="S114" s="122"/>
      <c r="T114" s="7"/>
      <c r="U114" s="7"/>
      <c r="V114" s="122"/>
      <c r="W114" s="122"/>
      <c r="X114" s="122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16"/>
      <c r="AM114" s="4"/>
      <c r="AN114" s="4"/>
      <c r="AO114" s="4"/>
      <c r="AP114" s="4"/>
      <c r="AQ114" s="4"/>
      <c r="AR114" s="11"/>
      <c r="AS114" s="11"/>
      <c r="AT114" s="11"/>
      <c r="AU114" s="11"/>
    </row>
    <row r="115" spans="1:47" x14ac:dyDescent="0.2">
      <c r="AJ115" s="3"/>
    </row>
    <row r="116" spans="1:47" x14ac:dyDescent="0.2">
      <c r="AJ116" s="3"/>
    </row>
    <row r="117" spans="1:47" x14ac:dyDescent="0.2">
      <c r="H117" s="168"/>
      <c r="I117" s="39" t="str">
        <f>Total!J515</f>
        <v>Restriction légère</v>
      </c>
      <c r="L117" s="40" t="s">
        <v>1518</v>
      </c>
      <c r="M117" s="40" t="s">
        <v>1518</v>
      </c>
      <c r="N117" s="3" t="str">
        <f>Herbicides!$N$280</f>
        <v>oui</v>
      </c>
      <c r="Q117" s="164" t="str">
        <f>+Textes!A55</f>
        <v>Potentiel de risque</v>
      </c>
      <c r="R117" s="164"/>
      <c r="V117" s="41" t="s">
        <v>1518</v>
      </c>
      <c r="W117" s="39" t="str">
        <f>'I+M+R'!$W$82</f>
        <v>gant + tablier + …</v>
      </c>
      <c r="AA117" s="7">
        <v>1</v>
      </c>
      <c r="AB117" s="88" t="str">
        <f>Total!AD515</f>
        <v>Homologué</v>
      </c>
      <c r="AJ117" s="3"/>
    </row>
    <row r="118" spans="1:47" x14ac:dyDescent="0.2">
      <c r="H118" s="172"/>
      <c r="I118" s="39" t="str">
        <f>Total!J516</f>
        <v>Restriction moyenne</v>
      </c>
      <c r="Q118" s="339" t="str">
        <f>+Textes!A56</f>
        <v>faible</v>
      </c>
      <c r="R118" s="339"/>
      <c r="Y118" s="3" t="s">
        <v>7</v>
      </c>
      <c r="Z118" s="39" t="str">
        <f>+Textes!A61</f>
        <v>avec tenue de travail</v>
      </c>
      <c r="AJ118" s="3"/>
    </row>
    <row r="119" spans="1:47" x14ac:dyDescent="0.2">
      <c r="H119" s="169"/>
      <c r="I119" s="39" t="str">
        <f>Total!J517</f>
        <v>Restriction forte</v>
      </c>
      <c r="Q119" s="340" t="str">
        <f>+Textes!A57</f>
        <v>moyen</v>
      </c>
      <c r="R119" s="340"/>
      <c r="T119" s="7">
        <v>1</v>
      </c>
      <c r="V119" s="39" t="str">
        <f>+Textes!A91</f>
        <v>interdit sur plantes en fleur</v>
      </c>
      <c r="AJ119" s="3"/>
    </row>
    <row r="120" spans="1:47" x14ac:dyDescent="0.2">
      <c r="H120" s="43"/>
      <c r="I120" s="39" t="str">
        <f>Total!J518</f>
        <v>Restriction très forte</v>
      </c>
      <c r="Q120" s="341" t="str">
        <f>+Textes!A58</f>
        <v>élevé</v>
      </c>
      <c r="R120" s="341"/>
      <c r="T120" s="7">
        <v>2</v>
      </c>
      <c r="V120" s="39" t="str">
        <f>+Textes!A208</f>
        <v>hors vol des abeilles</v>
      </c>
      <c r="AJ120" s="3"/>
    </row>
    <row r="121" spans="1:47" x14ac:dyDescent="0.2">
      <c r="AJ121" s="3"/>
    </row>
    <row r="122" spans="1:47" x14ac:dyDescent="0.2">
      <c r="AJ122" s="3"/>
    </row>
  </sheetData>
  <sheetProtection algorithmName="SHA-512" hashValue="0qnxYZf3Z5E29xLOm/97UUMMuYjcBpQxvQF1PPySzEn7KokITA9iIGICMBbvsVmDJJp6qLSg5f+ND76/xcQDyw==" saltValue="WzO9nz8qGk0Aje4xwYTrCg==" spinCount="100000" sheet="1" selectLockedCells="1" sort="0" autoFilter="0"/>
  <autoFilter ref="A3:AU114" xr:uid="{00000000-0009-0000-0000-000002000000}"/>
  <mergeCells count="9">
    <mergeCell ref="Q118:R118"/>
    <mergeCell ref="Q119:R119"/>
    <mergeCell ref="Q120:R120"/>
    <mergeCell ref="E1:G1"/>
    <mergeCell ref="Z1:AK1"/>
    <mergeCell ref="L1:P1"/>
    <mergeCell ref="Q1:U1"/>
    <mergeCell ref="V1:Y1"/>
    <mergeCell ref="H1:J1"/>
  </mergeCells>
  <conditionalFormatting sqref="L3:N3">
    <cfRule type="cellIs" dxfId="2290" priority="2556" operator="equal">
      <formula>"oui"</formula>
    </cfRule>
  </conditionalFormatting>
  <conditionalFormatting sqref="AA117">
    <cfRule type="cellIs" dxfId="2289" priority="1920" operator="equal">
      <formula>3</formula>
    </cfRule>
    <cfRule type="cellIs" dxfId="2288" priority="1921" operator="equal">
      <formula>2</formula>
    </cfRule>
    <cfRule type="cellIs" dxfId="2287" priority="1922" operator="equal">
      <formula>1</formula>
    </cfRule>
  </conditionalFormatting>
  <conditionalFormatting sqref="T119:T120">
    <cfRule type="cellIs" dxfId="2286" priority="1053" operator="equal">
      <formula>3</formula>
    </cfRule>
    <cfRule type="cellIs" dxfId="2285" priority="1054" operator="equal">
      <formula>2</formula>
    </cfRule>
    <cfRule type="cellIs" dxfId="2284" priority="1055" operator="equal">
      <formula>1</formula>
    </cfRule>
  </conditionalFormatting>
  <conditionalFormatting sqref="H2:H3 H26:H30 H32:H34 H43:H62 H64:H78">
    <cfRule type="cellIs" dxfId="2283" priority="456" operator="equal">
      <formula>100</formula>
    </cfRule>
    <cfRule type="cellIs" dxfId="2282" priority="457" operator="equal">
      <formula>50</formula>
    </cfRule>
    <cfRule type="cellIs" dxfId="2281" priority="458" operator="equal">
      <formula>20</formula>
    </cfRule>
    <cfRule type="cellIs" dxfId="2280" priority="459" operator="equal">
      <formula>6</formula>
    </cfRule>
  </conditionalFormatting>
  <conditionalFormatting sqref="I2:J3 I26:J30 I32:J34 I43:J62 I64:J78">
    <cfRule type="cellIs" dxfId="2279" priority="450" operator="equal">
      <formula>50</formula>
    </cfRule>
    <cfRule type="cellIs" dxfId="2278" priority="451" operator="equal">
      <formula>20</formula>
    </cfRule>
    <cfRule type="cellIs" dxfId="2277" priority="452" operator="equal">
      <formula>6</formula>
    </cfRule>
    <cfRule type="cellIs" dxfId="2276" priority="453" operator="equal">
      <formula>3</formula>
    </cfRule>
  </conditionalFormatting>
  <conditionalFormatting sqref="K2:K3 K26:K30 K32:K34 K43:K62 K64:K78">
    <cfRule type="cellIs" dxfId="2275" priority="446" operator="equal">
      <formula>"4 pt"</formula>
    </cfRule>
    <cfRule type="cellIs" dxfId="2274" priority="447" operator="equal">
      <formula>"3 pt"</formula>
    </cfRule>
    <cfRule type="cellIs" dxfId="2273" priority="448" operator="equal">
      <formula>"2 pt"</formula>
    </cfRule>
    <cfRule type="cellIs" dxfId="2272" priority="449" operator="equal">
      <formula>"1 pt"</formula>
    </cfRule>
  </conditionalFormatting>
  <conditionalFormatting sqref="L112:N113 L27:N30 L32:N34 L60:N62 L64:N66">
    <cfRule type="cellIs" dxfId="2271" priority="442" operator="equal">
      <formula>"!"</formula>
    </cfRule>
  </conditionalFormatting>
  <conditionalFormatting sqref="Y113 Y30 Y32:Y34 Y60:Y62 Y64:Y66">
    <cfRule type="cellIs" dxfId="2270" priority="441" operator="equal">
      <formula>1</formula>
    </cfRule>
  </conditionalFormatting>
  <conditionalFormatting sqref="S112:S113 V112:X113 S27:S30 V27:X30 V32:X34 S32:S34 V60:X62 S60:S62 S64:S66 V64:X66">
    <cfRule type="cellIs" dxfId="2269" priority="440" operator="equal">
      <formula>"!"</formula>
    </cfRule>
  </conditionalFormatting>
  <conditionalFormatting sqref="T112:T113 T27:T30 T32:T34 T60:T62 T64:T66">
    <cfRule type="cellIs" dxfId="2268" priority="438" operator="equal">
      <formula>2</formula>
    </cfRule>
    <cfRule type="cellIs" dxfId="2267" priority="439" operator="equal">
      <formula>1</formula>
    </cfRule>
  </conditionalFormatting>
  <conditionalFormatting sqref="H112:H114">
    <cfRule type="cellIs" dxfId="2266" priority="430" operator="equal">
      <formula>100</formula>
    </cfRule>
    <cfRule type="cellIs" dxfId="2265" priority="431" operator="equal">
      <formula>50</formula>
    </cfRule>
    <cfRule type="cellIs" dxfId="2264" priority="432" operator="equal">
      <formula>20</formula>
    </cfRule>
    <cfRule type="cellIs" dxfId="2263" priority="433" operator="equal">
      <formula>6</formula>
    </cfRule>
  </conditionalFormatting>
  <conditionalFormatting sqref="I112:J114">
    <cfRule type="cellIs" dxfId="2262" priority="426" operator="equal">
      <formula>50</formula>
    </cfRule>
    <cfRule type="cellIs" dxfId="2261" priority="427" operator="equal">
      <formula>20</formula>
    </cfRule>
    <cfRule type="cellIs" dxfId="2260" priority="428" operator="equal">
      <formula>6</formula>
    </cfRule>
    <cfRule type="cellIs" dxfId="2259" priority="429" operator="equal">
      <formula>3</formula>
    </cfRule>
  </conditionalFormatting>
  <conditionalFormatting sqref="K112:K114">
    <cfRule type="cellIs" dxfId="2258" priority="422" operator="equal">
      <formula>"4 pt"</formula>
    </cfRule>
    <cfRule type="cellIs" dxfId="2257" priority="423" operator="equal">
      <formula>"3 pt"</formula>
    </cfRule>
    <cfRule type="cellIs" dxfId="2256" priority="424" operator="equal">
      <formula>"2 pt"</formula>
    </cfRule>
    <cfRule type="cellIs" dxfId="2255" priority="425" operator="equal">
      <formula>"1 pt"</formula>
    </cfRule>
  </conditionalFormatting>
  <conditionalFormatting sqref="Y112">
    <cfRule type="cellIs" dxfId="2254" priority="276" operator="equal">
      <formula>1</formula>
    </cfRule>
  </conditionalFormatting>
  <conditionalFormatting sqref="L114:N114">
    <cfRule type="cellIs" dxfId="2253" priority="272" operator="equal">
      <formula>"!"</formula>
    </cfRule>
  </conditionalFormatting>
  <conditionalFormatting sqref="Y114">
    <cfRule type="cellIs" dxfId="2252" priority="271" operator="equal">
      <formula>1</formula>
    </cfRule>
  </conditionalFormatting>
  <conditionalFormatting sqref="S114 V114:X114">
    <cfRule type="cellIs" dxfId="2251" priority="270" operator="equal">
      <formula>"!"</formula>
    </cfRule>
  </conditionalFormatting>
  <conditionalFormatting sqref="T114">
    <cfRule type="cellIs" dxfId="2250" priority="268" operator="equal">
      <formula>2</formula>
    </cfRule>
    <cfRule type="cellIs" dxfId="2249" priority="269" operator="equal">
      <formula>1</formula>
    </cfRule>
  </conditionalFormatting>
  <conditionalFormatting sqref="Q112:R114">
    <cfRule type="cellIs" dxfId="2248" priority="435" operator="greaterThan">
      <formula>1000</formula>
    </cfRule>
    <cfRule type="cellIs" dxfId="2247" priority="436" operator="between">
      <formula>10.00001</formula>
      <formula>1000</formula>
    </cfRule>
    <cfRule type="cellIs" dxfId="2246" priority="437" operator="lessThan">
      <formula>10</formula>
    </cfRule>
  </conditionalFormatting>
  <conditionalFormatting sqref="Z112:AK114">
    <cfRule type="cellIs" dxfId="2245" priority="249" operator="equal">
      <formula>1</formula>
    </cfRule>
    <cfRule type="cellIs" dxfId="2244" priority="250" operator="equal">
      <formula>2</formula>
    </cfRule>
    <cfRule type="cellIs" dxfId="2243" priority="251" operator="equal">
      <formula>3</formula>
    </cfRule>
  </conditionalFormatting>
  <conditionalFormatting sqref="L107:N111 L102:N105 L94:N100 L92:N92 L88:N90 L82:N82 L85:N86 L80:N80 L68:N78 L44:N57 L36:N41 L21:N24 L17:N19 L12:N15 L4:N10">
    <cfRule type="cellIs" dxfId="2242" priority="248" operator="equal">
      <formula>"!"</formula>
    </cfRule>
  </conditionalFormatting>
  <conditionalFormatting sqref="Y110:Y111 Y107:Y108 Y104:Y105 Y102 Y94:Y100 Y92 Y89:Y90 Y82 Y85:Y86 Y80 Y77:Y78 Y68:Y75 Y57 Y51:Y55 Y44:Y49 Y39:Y41 Y36:Y37 Y23 Y21 Y17:Y19 Y13 Y4:Y10">
    <cfRule type="cellIs" dxfId="2241" priority="247" operator="equal">
      <formula>1</formula>
    </cfRule>
  </conditionalFormatting>
  <conditionalFormatting sqref="S107:S111 V107:X111 S102:S105 V102:X105 S94:S100 V94:X100 V92:X92 S92 S88:S90 V88:X90 V82:X82 S82 S85:S86 V85:X86 S80 V80:X80 S68:S78 V68:X78 V44:X57 S44:S57 V36:X41 S36:S41 V21:X24 S21:S24 S17:S19 V17:X19 S12:S15 V12:X15 S4:S10 V4:X10">
    <cfRule type="cellIs" dxfId="2240" priority="246" operator="equal">
      <formula>"!"</formula>
    </cfRule>
  </conditionalFormatting>
  <conditionalFormatting sqref="T107:T111 T102:T105 T94:T100 T92 T88:T90 T82 T85:T86 T80 T68:T78 T44:T57 T36:T41 T21:T24 T17:T19 T12:T15 T4:T10">
    <cfRule type="cellIs" dxfId="2239" priority="244" operator="equal">
      <formula>2</formula>
    </cfRule>
    <cfRule type="cellIs" dxfId="2238" priority="245" operator="equal">
      <formula>1</formula>
    </cfRule>
  </conditionalFormatting>
  <conditionalFormatting sqref="H102:H111 H85:H100 H80:H82 H36:H41 H4:H24">
    <cfRule type="cellIs" dxfId="2237" priority="240" operator="equal">
      <formula>100</formula>
    </cfRule>
    <cfRule type="cellIs" dxfId="2236" priority="241" operator="equal">
      <formula>50</formula>
    </cfRule>
    <cfRule type="cellIs" dxfId="2235" priority="242" operator="equal">
      <formula>20</formula>
    </cfRule>
    <cfRule type="cellIs" dxfId="2234" priority="243" operator="equal">
      <formula>6</formula>
    </cfRule>
  </conditionalFormatting>
  <conditionalFormatting sqref="I102:J111 I85:J100 I80:J82 I36:J41 I4:J24">
    <cfRule type="cellIs" dxfId="2233" priority="236" operator="equal">
      <formula>50</formula>
    </cfRule>
    <cfRule type="cellIs" dxfId="2232" priority="237" operator="equal">
      <formula>20</formula>
    </cfRule>
    <cfRule type="cellIs" dxfId="2231" priority="238" operator="equal">
      <formula>6</formula>
    </cfRule>
    <cfRule type="cellIs" dxfId="2230" priority="239" operator="equal">
      <formula>3</formula>
    </cfRule>
  </conditionalFormatting>
  <conditionalFormatting sqref="K102:K111 K85:K100 K80:K82 K36:K41 K4:K24">
    <cfRule type="cellIs" dxfId="2229" priority="232" operator="equal">
      <formula>"4 pt"</formula>
    </cfRule>
    <cfRule type="cellIs" dxfId="2228" priority="233" operator="equal">
      <formula>"3 pt"</formula>
    </cfRule>
    <cfRule type="cellIs" dxfId="2227" priority="234" operator="equal">
      <formula>"2 pt"</formula>
    </cfRule>
    <cfRule type="cellIs" dxfId="2226" priority="235" operator="equal">
      <formula>"1 pt"</formula>
    </cfRule>
  </conditionalFormatting>
  <conditionalFormatting sqref="Z4:AK30 Z32:AK62 Z64:AK111">
    <cfRule type="cellIs" dxfId="2225" priority="226" operator="equal">
      <formula>3</formula>
    </cfRule>
    <cfRule type="cellIs" dxfId="2224" priority="227" operator="equal">
      <formula>2</formula>
    </cfRule>
    <cfRule type="cellIs" dxfId="2223" priority="228" operator="equal">
      <formula>1</formula>
    </cfRule>
  </conditionalFormatting>
  <conditionalFormatting sqref="Q4:R30 Q32:R62 Q64:R111">
    <cfRule type="cellIs" dxfId="2222" priority="229" operator="greaterThan">
      <formula>1000</formula>
    </cfRule>
    <cfRule type="cellIs" dxfId="2221" priority="230" operator="between">
      <formula>10</formula>
      <formula>1000</formula>
    </cfRule>
    <cfRule type="cellIs" dxfId="2220" priority="231" operator="lessThan">
      <formula>10</formula>
    </cfRule>
  </conditionalFormatting>
  <conditionalFormatting sqref="L11:N11">
    <cfRule type="cellIs" dxfId="2219" priority="225" operator="equal">
      <formula>"!"</formula>
    </cfRule>
  </conditionalFormatting>
  <conditionalFormatting sqref="Y11">
    <cfRule type="cellIs" dxfId="2218" priority="224" operator="equal">
      <formula>1</formula>
    </cfRule>
  </conditionalFormatting>
  <conditionalFormatting sqref="V11:X11 S11">
    <cfRule type="cellIs" dxfId="2217" priority="223" operator="equal">
      <formula>"!"</formula>
    </cfRule>
  </conditionalFormatting>
  <conditionalFormatting sqref="T11">
    <cfRule type="cellIs" dxfId="2216" priority="221" operator="equal">
      <formula>2</formula>
    </cfRule>
    <cfRule type="cellIs" dxfId="2215" priority="222" operator="equal">
      <formula>1</formula>
    </cfRule>
  </conditionalFormatting>
  <conditionalFormatting sqref="L16:N16">
    <cfRule type="cellIs" dxfId="2214" priority="220" operator="equal">
      <formula>"!"</formula>
    </cfRule>
  </conditionalFormatting>
  <conditionalFormatting sqref="Y16">
    <cfRule type="cellIs" dxfId="2213" priority="219" operator="equal">
      <formula>1</formula>
    </cfRule>
  </conditionalFormatting>
  <conditionalFormatting sqref="S16 V16:X16">
    <cfRule type="cellIs" dxfId="2212" priority="218" operator="equal">
      <formula>"!"</formula>
    </cfRule>
  </conditionalFormatting>
  <conditionalFormatting sqref="T16">
    <cfRule type="cellIs" dxfId="2211" priority="216" operator="equal">
      <formula>2</formula>
    </cfRule>
    <cfRule type="cellIs" dxfId="2210" priority="217" operator="equal">
      <formula>1</formula>
    </cfRule>
  </conditionalFormatting>
  <conditionalFormatting sqref="L16:N16">
    <cfRule type="cellIs" dxfId="2209" priority="215" operator="equal">
      <formula>"!"</formula>
    </cfRule>
  </conditionalFormatting>
  <conditionalFormatting sqref="Y16">
    <cfRule type="cellIs" dxfId="2208" priority="214" operator="equal">
      <formula>1</formula>
    </cfRule>
  </conditionalFormatting>
  <conditionalFormatting sqref="S16 V16:X16">
    <cfRule type="cellIs" dxfId="2207" priority="213" operator="equal">
      <formula>"!"</formula>
    </cfRule>
  </conditionalFormatting>
  <conditionalFormatting sqref="T16">
    <cfRule type="cellIs" dxfId="2206" priority="211" operator="equal">
      <formula>2</formula>
    </cfRule>
    <cfRule type="cellIs" dxfId="2205" priority="212" operator="equal">
      <formula>1</formula>
    </cfRule>
  </conditionalFormatting>
  <conditionalFormatting sqref="L20:N20">
    <cfRule type="cellIs" dxfId="2204" priority="210" operator="equal">
      <formula>"!"</formula>
    </cfRule>
  </conditionalFormatting>
  <conditionalFormatting sqref="Y20">
    <cfRule type="cellIs" dxfId="2203" priority="209" operator="equal">
      <formula>1</formula>
    </cfRule>
  </conditionalFormatting>
  <conditionalFormatting sqref="S20 V20:X20">
    <cfRule type="cellIs" dxfId="2202" priority="208" operator="equal">
      <formula>"!"</formula>
    </cfRule>
  </conditionalFormatting>
  <conditionalFormatting sqref="T20">
    <cfRule type="cellIs" dxfId="2201" priority="206" operator="equal">
      <formula>2</formula>
    </cfRule>
    <cfRule type="cellIs" dxfId="2200" priority="207" operator="equal">
      <formula>1</formula>
    </cfRule>
  </conditionalFormatting>
  <conditionalFormatting sqref="Y22">
    <cfRule type="cellIs" dxfId="2199" priority="205" operator="equal">
      <formula>1</formula>
    </cfRule>
  </conditionalFormatting>
  <conditionalFormatting sqref="Y24">
    <cfRule type="cellIs" dxfId="2198" priority="204" operator="equal">
      <formula>1</formula>
    </cfRule>
  </conditionalFormatting>
  <conditionalFormatting sqref="L26:N26">
    <cfRule type="cellIs" dxfId="2197" priority="203" operator="equal">
      <formula>"!"</formula>
    </cfRule>
  </conditionalFormatting>
  <conditionalFormatting sqref="S26 V26:X26">
    <cfRule type="cellIs" dxfId="2196" priority="202" operator="equal">
      <formula>"!"</formula>
    </cfRule>
  </conditionalFormatting>
  <conditionalFormatting sqref="T26">
    <cfRule type="cellIs" dxfId="2195" priority="200" operator="equal">
      <formula>2</formula>
    </cfRule>
    <cfRule type="cellIs" dxfId="2194" priority="201" operator="equal">
      <formula>1</formula>
    </cfRule>
  </conditionalFormatting>
  <conditionalFormatting sqref="L25:N25">
    <cfRule type="cellIs" dxfId="2193" priority="199" operator="equal">
      <formula>"!"</formula>
    </cfRule>
  </conditionalFormatting>
  <conditionalFormatting sqref="Y25">
    <cfRule type="cellIs" dxfId="2192" priority="198" operator="equal">
      <formula>1</formula>
    </cfRule>
  </conditionalFormatting>
  <conditionalFormatting sqref="S25 V25:X25">
    <cfRule type="cellIs" dxfId="2191" priority="197" operator="equal">
      <formula>"!"</formula>
    </cfRule>
  </conditionalFormatting>
  <conditionalFormatting sqref="T25">
    <cfRule type="cellIs" dxfId="2190" priority="195" operator="equal">
      <formula>2</formula>
    </cfRule>
    <cfRule type="cellIs" dxfId="2189" priority="196" operator="equal">
      <formula>1</formula>
    </cfRule>
  </conditionalFormatting>
  <conditionalFormatting sqref="H25">
    <cfRule type="cellIs" dxfId="2188" priority="191" operator="equal">
      <formula>100</formula>
    </cfRule>
    <cfRule type="cellIs" dxfId="2187" priority="192" operator="equal">
      <formula>50</formula>
    </cfRule>
    <cfRule type="cellIs" dxfId="2186" priority="193" operator="equal">
      <formula>20</formula>
    </cfRule>
    <cfRule type="cellIs" dxfId="2185" priority="194" operator="equal">
      <formula>6</formula>
    </cfRule>
  </conditionalFormatting>
  <conditionalFormatting sqref="I25:J25">
    <cfRule type="cellIs" dxfId="2184" priority="187" operator="equal">
      <formula>50</formula>
    </cfRule>
    <cfRule type="cellIs" dxfId="2183" priority="188" operator="equal">
      <formula>20</formula>
    </cfRule>
    <cfRule type="cellIs" dxfId="2182" priority="189" operator="equal">
      <formula>6</formula>
    </cfRule>
    <cfRule type="cellIs" dxfId="2181" priority="190" operator="equal">
      <formula>3</formula>
    </cfRule>
  </conditionalFormatting>
  <conditionalFormatting sqref="K25">
    <cfRule type="cellIs" dxfId="2180" priority="183" operator="equal">
      <formula>"4 pt"</formula>
    </cfRule>
    <cfRule type="cellIs" dxfId="2179" priority="184" operator="equal">
      <formula>"3 pt"</formula>
    </cfRule>
    <cfRule type="cellIs" dxfId="2178" priority="185" operator="equal">
      <formula>"2 pt"</formula>
    </cfRule>
    <cfRule type="cellIs" dxfId="2177" priority="186" operator="equal">
      <formula>"1 pt"</formula>
    </cfRule>
  </conditionalFormatting>
  <conditionalFormatting sqref="L35:N35">
    <cfRule type="cellIs" dxfId="2176" priority="182" operator="equal">
      <formula>"!"</formula>
    </cfRule>
  </conditionalFormatting>
  <conditionalFormatting sqref="Y35">
    <cfRule type="cellIs" dxfId="2175" priority="181" operator="equal">
      <formula>1</formula>
    </cfRule>
  </conditionalFormatting>
  <conditionalFormatting sqref="S35 V35:X35">
    <cfRule type="cellIs" dxfId="2174" priority="180" operator="equal">
      <formula>"!"</formula>
    </cfRule>
  </conditionalFormatting>
  <conditionalFormatting sqref="T35">
    <cfRule type="cellIs" dxfId="2173" priority="178" operator="equal">
      <formula>2</formula>
    </cfRule>
    <cfRule type="cellIs" dxfId="2172" priority="179" operator="equal">
      <formula>1</formula>
    </cfRule>
  </conditionalFormatting>
  <conditionalFormatting sqref="H35">
    <cfRule type="cellIs" dxfId="2171" priority="174" operator="equal">
      <formula>100</formula>
    </cfRule>
    <cfRule type="cellIs" dxfId="2170" priority="175" operator="equal">
      <formula>50</formula>
    </cfRule>
    <cfRule type="cellIs" dxfId="2169" priority="176" operator="equal">
      <formula>20</formula>
    </cfRule>
    <cfRule type="cellIs" dxfId="2168" priority="177" operator="equal">
      <formula>6</formula>
    </cfRule>
  </conditionalFormatting>
  <conditionalFormatting sqref="I35:J35">
    <cfRule type="cellIs" dxfId="2167" priority="170" operator="equal">
      <formula>50</formula>
    </cfRule>
    <cfRule type="cellIs" dxfId="2166" priority="171" operator="equal">
      <formula>20</formula>
    </cfRule>
    <cfRule type="cellIs" dxfId="2165" priority="172" operator="equal">
      <formula>6</formula>
    </cfRule>
    <cfRule type="cellIs" dxfId="2164" priority="173" operator="equal">
      <formula>3</formula>
    </cfRule>
  </conditionalFormatting>
  <conditionalFormatting sqref="K35">
    <cfRule type="cellIs" dxfId="2163" priority="166" operator="equal">
      <formula>"4 pt"</formula>
    </cfRule>
    <cfRule type="cellIs" dxfId="2162" priority="167" operator="equal">
      <formula>"3 pt"</formula>
    </cfRule>
    <cfRule type="cellIs" dxfId="2161" priority="168" operator="equal">
      <formula>"2 pt"</formula>
    </cfRule>
    <cfRule type="cellIs" dxfId="2160" priority="169" operator="equal">
      <formula>"1 pt"</formula>
    </cfRule>
  </conditionalFormatting>
  <conditionalFormatting sqref="Y38">
    <cfRule type="cellIs" dxfId="2159" priority="165" operator="equal">
      <formula>1</formula>
    </cfRule>
  </conditionalFormatting>
  <conditionalFormatting sqref="L42:N42">
    <cfRule type="cellIs" dxfId="2158" priority="164" operator="equal">
      <formula>"!"</formula>
    </cfRule>
  </conditionalFormatting>
  <conditionalFormatting sqref="Y42">
    <cfRule type="cellIs" dxfId="2157" priority="163" operator="equal">
      <formula>1</formula>
    </cfRule>
  </conditionalFormatting>
  <conditionalFormatting sqref="V42:X42 S42">
    <cfRule type="cellIs" dxfId="2156" priority="162" operator="equal">
      <formula>"!"</formula>
    </cfRule>
  </conditionalFormatting>
  <conditionalFormatting sqref="T42">
    <cfRule type="cellIs" dxfId="2155" priority="160" operator="equal">
      <formula>2</formula>
    </cfRule>
    <cfRule type="cellIs" dxfId="2154" priority="161" operator="equal">
      <formula>1</formula>
    </cfRule>
  </conditionalFormatting>
  <conditionalFormatting sqref="H42">
    <cfRule type="cellIs" dxfId="2153" priority="156" operator="equal">
      <formula>100</formula>
    </cfRule>
    <cfRule type="cellIs" dxfId="2152" priority="157" operator="equal">
      <formula>50</formula>
    </cfRule>
    <cfRule type="cellIs" dxfId="2151" priority="158" operator="equal">
      <formula>20</formula>
    </cfRule>
    <cfRule type="cellIs" dxfId="2150" priority="159" operator="equal">
      <formula>6</formula>
    </cfRule>
  </conditionalFormatting>
  <conditionalFormatting sqref="I42:J42">
    <cfRule type="cellIs" dxfId="2149" priority="152" operator="equal">
      <formula>50</formula>
    </cfRule>
    <cfRule type="cellIs" dxfId="2148" priority="153" operator="equal">
      <formula>20</formula>
    </cfRule>
    <cfRule type="cellIs" dxfId="2147" priority="154" operator="equal">
      <formula>6</formula>
    </cfRule>
    <cfRule type="cellIs" dxfId="2146" priority="155" operator="equal">
      <formula>3</formula>
    </cfRule>
  </conditionalFormatting>
  <conditionalFormatting sqref="K42">
    <cfRule type="cellIs" dxfId="2145" priority="148" operator="equal">
      <formula>"4 pt"</formula>
    </cfRule>
    <cfRule type="cellIs" dxfId="2144" priority="149" operator="equal">
      <formula>"3 pt"</formula>
    </cfRule>
    <cfRule type="cellIs" dxfId="2143" priority="150" operator="equal">
      <formula>"2 pt"</formula>
    </cfRule>
    <cfRule type="cellIs" dxfId="2142" priority="151" operator="equal">
      <formula>"1 pt"</formula>
    </cfRule>
  </conditionalFormatting>
  <conditionalFormatting sqref="L43:N43">
    <cfRule type="cellIs" dxfId="2141" priority="147" operator="equal">
      <formula>"!"</formula>
    </cfRule>
  </conditionalFormatting>
  <conditionalFormatting sqref="Y43">
    <cfRule type="cellIs" dxfId="2140" priority="146" operator="equal">
      <formula>1</formula>
    </cfRule>
  </conditionalFormatting>
  <conditionalFormatting sqref="V43:X43 S43">
    <cfRule type="cellIs" dxfId="2139" priority="145" operator="equal">
      <formula>"!"</formula>
    </cfRule>
  </conditionalFormatting>
  <conditionalFormatting sqref="T43">
    <cfRule type="cellIs" dxfId="2138" priority="143" operator="equal">
      <formula>2</formula>
    </cfRule>
    <cfRule type="cellIs" dxfId="2137" priority="144" operator="equal">
      <formula>1</formula>
    </cfRule>
  </conditionalFormatting>
  <conditionalFormatting sqref="Y56">
    <cfRule type="cellIs" dxfId="2136" priority="142" operator="equal">
      <formula>1</formula>
    </cfRule>
  </conditionalFormatting>
  <conditionalFormatting sqref="L58:N58">
    <cfRule type="cellIs" dxfId="2135" priority="141" operator="equal">
      <formula>"!"</formula>
    </cfRule>
  </conditionalFormatting>
  <conditionalFormatting sqref="Y58">
    <cfRule type="cellIs" dxfId="2134" priority="140" operator="equal">
      <formula>1</formula>
    </cfRule>
  </conditionalFormatting>
  <conditionalFormatting sqref="V58:X58 S58">
    <cfRule type="cellIs" dxfId="2133" priority="139" operator="equal">
      <formula>"!"</formula>
    </cfRule>
  </conditionalFormatting>
  <conditionalFormatting sqref="T58">
    <cfRule type="cellIs" dxfId="2132" priority="137" operator="equal">
      <formula>2</formula>
    </cfRule>
    <cfRule type="cellIs" dxfId="2131" priority="138" operator="equal">
      <formula>1</formula>
    </cfRule>
  </conditionalFormatting>
  <conditionalFormatting sqref="L59:N59">
    <cfRule type="cellIs" dxfId="2130" priority="136" operator="equal">
      <formula>"!"</formula>
    </cfRule>
  </conditionalFormatting>
  <conditionalFormatting sqref="Y59">
    <cfRule type="cellIs" dxfId="2129" priority="135" operator="equal">
      <formula>1</formula>
    </cfRule>
  </conditionalFormatting>
  <conditionalFormatting sqref="S59 V59:X59">
    <cfRule type="cellIs" dxfId="2128" priority="134" operator="equal">
      <formula>"!"</formula>
    </cfRule>
  </conditionalFormatting>
  <conditionalFormatting sqref="T59">
    <cfRule type="cellIs" dxfId="2127" priority="132" operator="equal">
      <formula>2</formula>
    </cfRule>
    <cfRule type="cellIs" dxfId="2126" priority="133" operator="equal">
      <formula>1</formula>
    </cfRule>
  </conditionalFormatting>
  <conditionalFormatting sqref="L67:N67">
    <cfRule type="cellIs" dxfId="2125" priority="131" operator="equal">
      <formula>"!"</formula>
    </cfRule>
  </conditionalFormatting>
  <conditionalFormatting sqref="Y67">
    <cfRule type="cellIs" dxfId="2124" priority="130" operator="equal">
      <formula>1</formula>
    </cfRule>
  </conditionalFormatting>
  <conditionalFormatting sqref="V67:X67 S67">
    <cfRule type="cellIs" dxfId="2123" priority="129" operator="equal">
      <formula>"!"</formula>
    </cfRule>
  </conditionalFormatting>
  <conditionalFormatting sqref="T67">
    <cfRule type="cellIs" dxfId="2122" priority="127" operator="equal">
      <formula>2</formula>
    </cfRule>
    <cfRule type="cellIs" dxfId="2121" priority="128" operator="equal">
      <formula>1</formula>
    </cfRule>
  </conditionalFormatting>
  <conditionalFormatting sqref="L79:N79">
    <cfRule type="cellIs" dxfId="2120" priority="126" operator="equal">
      <formula>"!"</formula>
    </cfRule>
  </conditionalFormatting>
  <conditionalFormatting sqref="Y79">
    <cfRule type="cellIs" dxfId="2119" priority="125" operator="equal">
      <formula>1</formula>
    </cfRule>
  </conditionalFormatting>
  <conditionalFormatting sqref="V79:X79 S79">
    <cfRule type="cellIs" dxfId="2118" priority="124" operator="equal">
      <formula>"!"</formula>
    </cfRule>
  </conditionalFormatting>
  <conditionalFormatting sqref="T79">
    <cfRule type="cellIs" dxfId="2117" priority="122" operator="equal">
      <formula>2</formula>
    </cfRule>
    <cfRule type="cellIs" dxfId="2116" priority="123" operator="equal">
      <formula>1</formula>
    </cfRule>
  </conditionalFormatting>
  <conditionalFormatting sqref="H79">
    <cfRule type="cellIs" dxfId="2115" priority="118" operator="equal">
      <formula>100</formula>
    </cfRule>
    <cfRule type="cellIs" dxfId="2114" priority="119" operator="equal">
      <formula>50</formula>
    </cfRule>
    <cfRule type="cellIs" dxfId="2113" priority="120" operator="equal">
      <formula>20</formula>
    </cfRule>
    <cfRule type="cellIs" dxfId="2112" priority="121" operator="equal">
      <formula>6</formula>
    </cfRule>
  </conditionalFormatting>
  <conditionalFormatting sqref="I79:J79">
    <cfRule type="cellIs" dxfId="2111" priority="114" operator="equal">
      <formula>50</formula>
    </cfRule>
    <cfRule type="cellIs" dxfId="2110" priority="115" operator="equal">
      <formula>20</formula>
    </cfRule>
    <cfRule type="cellIs" dxfId="2109" priority="116" operator="equal">
      <formula>6</formula>
    </cfRule>
    <cfRule type="cellIs" dxfId="2108" priority="117" operator="equal">
      <formula>3</formula>
    </cfRule>
  </conditionalFormatting>
  <conditionalFormatting sqref="K79">
    <cfRule type="cellIs" dxfId="2107" priority="110" operator="equal">
      <formula>"4 pt"</formula>
    </cfRule>
    <cfRule type="cellIs" dxfId="2106" priority="111" operator="equal">
      <formula>"3 pt"</formula>
    </cfRule>
    <cfRule type="cellIs" dxfId="2105" priority="112" operator="equal">
      <formula>"2 pt"</formula>
    </cfRule>
    <cfRule type="cellIs" dxfId="2104" priority="113" operator="equal">
      <formula>"1 pt"</formula>
    </cfRule>
  </conditionalFormatting>
  <conditionalFormatting sqref="L81:N81">
    <cfRule type="cellIs" dxfId="2103" priority="109" operator="equal">
      <formula>"!"</formula>
    </cfRule>
  </conditionalFormatting>
  <conditionalFormatting sqref="Y81">
    <cfRule type="cellIs" dxfId="2102" priority="108" operator="equal">
      <formula>1</formula>
    </cfRule>
  </conditionalFormatting>
  <conditionalFormatting sqref="S81 V81:X81">
    <cfRule type="cellIs" dxfId="2101" priority="107" operator="equal">
      <formula>"!"</formula>
    </cfRule>
  </conditionalFormatting>
  <conditionalFormatting sqref="T81">
    <cfRule type="cellIs" dxfId="2100" priority="105" operator="equal">
      <formula>2</formula>
    </cfRule>
    <cfRule type="cellIs" dxfId="2099" priority="106" operator="equal">
      <formula>1</formula>
    </cfRule>
  </conditionalFormatting>
  <conditionalFormatting sqref="L83:N84">
    <cfRule type="cellIs" dxfId="2098" priority="104" operator="equal">
      <formula>"!"</formula>
    </cfRule>
  </conditionalFormatting>
  <conditionalFormatting sqref="Y83">
    <cfRule type="cellIs" dxfId="2097" priority="103" operator="equal">
      <formula>1</formula>
    </cfRule>
  </conditionalFormatting>
  <conditionalFormatting sqref="V83:X84 S83:S84">
    <cfRule type="cellIs" dxfId="2096" priority="102" operator="equal">
      <formula>"!"</formula>
    </cfRule>
  </conditionalFormatting>
  <conditionalFormatting sqref="Y84">
    <cfRule type="cellIs" dxfId="2095" priority="101" operator="equal">
      <formula>1</formula>
    </cfRule>
  </conditionalFormatting>
  <conditionalFormatting sqref="T83:T84">
    <cfRule type="cellIs" dxfId="2094" priority="99" operator="equal">
      <formula>2</formula>
    </cfRule>
    <cfRule type="cellIs" dxfId="2093" priority="100" operator="equal">
      <formula>1</formula>
    </cfRule>
  </conditionalFormatting>
  <conditionalFormatting sqref="H83:H84">
    <cfRule type="cellIs" dxfId="2092" priority="95" operator="equal">
      <formula>100</formula>
    </cfRule>
    <cfRule type="cellIs" dxfId="2091" priority="96" operator="equal">
      <formula>50</formula>
    </cfRule>
    <cfRule type="cellIs" dxfId="2090" priority="97" operator="equal">
      <formula>20</formula>
    </cfRule>
    <cfRule type="cellIs" dxfId="2089" priority="98" operator="equal">
      <formula>6</formula>
    </cfRule>
  </conditionalFormatting>
  <conditionalFormatting sqref="I83:J84">
    <cfRule type="cellIs" dxfId="2088" priority="91" operator="equal">
      <formula>50</formula>
    </cfRule>
    <cfRule type="cellIs" dxfId="2087" priority="92" operator="equal">
      <formula>20</formula>
    </cfRule>
    <cfRule type="cellIs" dxfId="2086" priority="93" operator="equal">
      <formula>6</formula>
    </cfRule>
    <cfRule type="cellIs" dxfId="2085" priority="94" operator="equal">
      <formula>3</formula>
    </cfRule>
  </conditionalFormatting>
  <conditionalFormatting sqref="K83:K84">
    <cfRule type="cellIs" dxfId="2084" priority="87" operator="equal">
      <formula>"4 pt"</formula>
    </cfRule>
    <cfRule type="cellIs" dxfId="2083" priority="88" operator="equal">
      <formula>"3 pt"</formula>
    </cfRule>
    <cfRule type="cellIs" dxfId="2082" priority="89" operator="equal">
      <formula>"2 pt"</formula>
    </cfRule>
    <cfRule type="cellIs" dxfId="2081" priority="90" operator="equal">
      <formula>"1 pt"</formula>
    </cfRule>
  </conditionalFormatting>
  <conditionalFormatting sqref="Y88">
    <cfRule type="cellIs" dxfId="2080" priority="86" operator="equal">
      <formula>1</formula>
    </cfRule>
  </conditionalFormatting>
  <conditionalFormatting sqref="L87:N87">
    <cfRule type="cellIs" dxfId="2079" priority="85" operator="equal">
      <formula>"!"</formula>
    </cfRule>
  </conditionalFormatting>
  <conditionalFormatting sqref="Y87">
    <cfRule type="cellIs" dxfId="2078" priority="84" operator="equal">
      <formula>1</formula>
    </cfRule>
  </conditionalFormatting>
  <conditionalFormatting sqref="V87:X87 S87">
    <cfRule type="cellIs" dxfId="2077" priority="83" operator="equal">
      <formula>"!"</formula>
    </cfRule>
  </conditionalFormatting>
  <conditionalFormatting sqref="T87">
    <cfRule type="cellIs" dxfId="2076" priority="81" operator="equal">
      <formula>2</formula>
    </cfRule>
    <cfRule type="cellIs" dxfId="2075" priority="82" operator="equal">
      <formula>1</formula>
    </cfRule>
  </conditionalFormatting>
  <conditionalFormatting sqref="L91:N91">
    <cfRule type="cellIs" dxfId="2074" priority="80" operator="equal">
      <formula>"!"</formula>
    </cfRule>
  </conditionalFormatting>
  <conditionalFormatting sqref="V91:X91 S91">
    <cfRule type="cellIs" dxfId="2073" priority="79" operator="equal">
      <formula>"!"</formula>
    </cfRule>
  </conditionalFormatting>
  <conditionalFormatting sqref="Y91">
    <cfRule type="cellIs" dxfId="2072" priority="78" operator="equal">
      <formula>1</formula>
    </cfRule>
  </conditionalFormatting>
  <conditionalFormatting sqref="T91">
    <cfRule type="cellIs" dxfId="2071" priority="76" operator="equal">
      <formula>2</formula>
    </cfRule>
    <cfRule type="cellIs" dxfId="2070" priority="77" operator="equal">
      <formula>1</formula>
    </cfRule>
  </conditionalFormatting>
  <conditionalFormatting sqref="L93:N93">
    <cfRule type="cellIs" dxfId="2069" priority="75" operator="equal">
      <formula>"!"</formula>
    </cfRule>
  </conditionalFormatting>
  <conditionalFormatting sqref="Y93">
    <cfRule type="cellIs" dxfId="2068" priority="74" operator="equal">
      <formula>1</formula>
    </cfRule>
  </conditionalFormatting>
  <conditionalFormatting sqref="S93 V93:X93">
    <cfRule type="cellIs" dxfId="2067" priority="73" operator="equal">
      <formula>"!"</formula>
    </cfRule>
  </conditionalFormatting>
  <conditionalFormatting sqref="T93">
    <cfRule type="cellIs" dxfId="2066" priority="71" operator="equal">
      <formula>2</formula>
    </cfRule>
    <cfRule type="cellIs" dxfId="2065" priority="72" operator="equal">
      <formula>1</formula>
    </cfRule>
  </conditionalFormatting>
  <conditionalFormatting sqref="L101:N101">
    <cfRule type="cellIs" dxfId="2064" priority="70" operator="equal">
      <formula>"!"</formula>
    </cfRule>
  </conditionalFormatting>
  <conditionalFormatting sqref="Y101">
    <cfRule type="cellIs" dxfId="2063" priority="69" operator="equal">
      <formula>1</formula>
    </cfRule>
  </conditionalFormatting>
  <conditionalFormatting sqref="S101 V101:X101">
    <cfRule type="cellIs" dxfId="2062" priority="68" operator="equal">
      <formula>"!"</formula>
    </cfRule>
  </conditionalFormatting>
  <conditionalFormatting sqref="T101">
    <cfRule type="cellIs" dxfId="2061" priority="66" operator="equal">
      <formula>2</formula>
    </cfRule>
    <cfRule type="cellIs" dxfId="2060" priority="67" operator="equal">
      <formula>1</formula>
    </cfRule>
  </conditionalFormatting>
  <conditionalFormatting sqref="H101">
    <cfRule type="cellIs" dxfId="2059" priority="62" operator="equal">
      <formula>100</formula>
    </cfRule>
    <cfRule type="cellIs" dxfId="2058" priority="63" operator="equal">
      <formula>50</formula>
    </cfRule>
    <cfRule type="cellIs" dxfId="2057" priority="64" operator="equal">
      <formula>20</formula>
    </cfRule>
    <cfRule type="cellIs" dxfId="2056" priority="65" operator="equal">
      <formula>6</formula>
    </cfRule>
  </conditionalFormatting>
  <conditionalFormatting sqref="I101:J101">
    <cfRule type="cellIs" dxfId="2055" priority="58" operator="equal">
      <formula>50</formula>
    </cfRule>
    <cfRule type="cellIs" dxfId="2054" priority="59" operator="equal">
      <formula>20</formula>
    </cfRule>
    <cfRule type="cellIs" dxfId="2053" priority="60" operator="equal">
      <formula>6</formula>
    </cfRule>
    <cfRule type="cellIs" dxfId="2052" priority="61" operator="equal">
      <formula>3</formula>
    </cfRule>
  </conditionalFormatting>
  <conditionalFormatting sqref="K101">
    <cfRule type="cellIs" dxfId="2051" priority="54" operator="equal">
      <formula>"4 pt"</formula>
    </cfRule>
    <cfRule type="cellIs" dxfId="2050" priority="55" operator="equal">
      <formula>"3 pt"</formula>
    </cfRule>
    <cfRule type="cellIs" dxfId="2049" priority="56" operator="equal">
      <formula>"2 pt"</formula>
    </cfRule>
    <cfRule type="cellIs" dxfId="2048" priority="57" operator="equal">
      <formula>"1 pt"</formula>
    </cfRule>
  </conditionalFormatting>
  <conditionalFormatting sqref="Y103">
    <cfRule type="cellIs" dxfId="2047" priority="53" operator="equal">
      <formula>1</formula>
    </cfRule>
  </conditionalFormatting>
  <conditionalFormatting sqref="L106:N106">
    <cfRule type="cellIs" dxfId="2046" priority="52" operator="equal">
      <formula>"!"</formula>
    </cfRule>
  </conditionalFormatting>
  <conditionalFormatting sqref="Y106">
    <cfRule type="cellIs" dxfId="2045" priority="51" operator="equal">
      <formula>1</formula>
    </cfRule>
  </conditionalFormatting>
  <conditionalFormatting sqref="V106:X106 S106">
    <cfRule type="cellIs" dxfId="2044" priority="50" operator="equal">
      <formula>"!"</formula>
    </cfRule>
  </conditionalFormatting>
  <conditionalFormatting sqref="T106">
    <cfRule type="cellIs" dxfId="2043" priority="48" operator="equal">
      <formula>2</formula>
    </cfRule>
    <cfRule type="cellIs" dxfId="2042" priority="49" operator="equal">
      <formula>1</formula>
    </cfRule>
  </conditionalFormatting>
  <conditionalFormatting sqref="Y109">
    <cfRule type="cellIs" dxfId="2041" priority="47" operator="equal">
      <formula>1</formula>
    </cfRule>
  </conditionalFormatting>
  <conditionalFormatting sqref="L31:N31">
    <cfRule type="cellIs" dxfId="2040" priority="46" operator="equal">
      <formula>"!"</formula>
    </cfRule>
  </conditionalFormatting>
  <conditionalFormatting sqref="Y31">
    <cfRule type="cellIs" dxfId="2039" priority="45" operator="equal">
      <formula>1</formula>
    </cfRule>
  </conditionalFormatting>
  <conditionalFormatting sqref="S31 V31:X31">
    <cfRule type="cellIs" dxfId="2038" priority="44" operator="equal">
      <formula>"!"</formula>
    </cfRule>
  </conditionalFormatting>
  <conditionalFormatting sqref="T31">
    <cfRule type="cellIs" dxfId="2037" priority="42" operator="equal">
      <formula>2</formula>
    </cfRule>
    <cfRule type="cellIs" dxfId="2036" priority="43" operator="equal">
      <formula>1</formula>
    </cfRule>
  </conditionalFormatting>
  <conditionalFormatting sqref="H31">
    <cfRule type="cellIs" dxfId="2035" priority="38" operator="equal">
      <formula>100</formula>
    </cfRule>
    <cfRule type="cellIs" dxfId="2034" priority="39" operator="equal">
      <formula>50</formula>
    </cfRule>
    <cfRule type="cellIs" dxfId="2033" priority="40" operator="equal">
      <formula>20</formula>
    </cfRule>
    <cfRule type="cellIs" dxfId="2032" priority="41" operator="equal">
      <formula>6</formula>
    </cfRule>
  </conditionalFormatting>
  <conditionalFormatting sqref="I31:J31">
    <cfRule type="cellIs" dxfId="2031" priority="34" operator="equal">
      <formula>50</formula>
    </cfRule>
    <cfRule type="cellIs" dxfId="2030" priority="35" operator="equal">
      <formula>20</formula>
    </cfRule>
    <cfRule type="cellIs" dxfId="2029" priority="36" operator="equal">
      <formula>6</formula>
    </cfRule>
    <cfRule type="cellIs" dxfId="2028" priority="37" operator="equal">
      <formula>3</formula>
    </cfRule>
  </conditionalFormatting>
  <conditionalFormatting sqref="K31">
    <cfRule type="cellIs" dxfId="2027" priority="30" operator="equal">
      <formula>"4 pt"</formula>
    </cfRule>
    <cfRule type="cellIs" dxfId="2026" priority="31" operator="equal">
      <formula>"3 pt"</formula>
    </cfRule>
    <cfRule type="cellIs" dxfId="2025" priority="32" operator="equal">
      <formula>"2 pt"</formula>
    </cfRule>
    <cfRule type="cellIs" dxfId="2024" priority="33" operator="equal">
      <formula>"1 pt"</formula>
    </cfRule>
  </conditionalFormatting>
  <conditionalFormatting sqref="Z31:AK31">
    <cfRule type="cellIs" dxfId="2023" priority="24" operator="equal">
      <formula>3</formula>
    </cfRule>
    <cfRule type="cellIs" dxfId="2022" priority="25" operator="equal">
      <formula>2</formula>
    </cfRule>
    <cfRule type="cellIs" dxfId="2021" priority="26" operator="equal">
      <formula>1</formula>
    </cfRule>
  </conditionalFormatting>
  <conditionalFormatting sqref="Q31:R31">
    <cfRule type="cellIs" dxfId="2020" priority="27" operator="greaterThan">
      <formula>1000</formula>
    </cfRule>
    <cfRule type="cellIs" dxfId="2019" priority="28" operator="between">
      <formula>10</formula>
      <formula>1000</formula>
    </cfRule>
    <cfRule type="cellIs" dxfId="2018" priority="29" operator="lessThan">
      <formula>10</formula>
    </cfRule>
  </conditionalFormatting>
  <conditionalFormatting sqref="L63:N63">
    <cfRule type="cellIs" dxfId="2017" priority="23" operator="equal">
      <formula>"!"</formula>
    </cfRule>
  </conditionalFormatting>
  <conditionalFormatting sqref="Y63">
    <cfRule type="cellIs" dxfId="2016" priority="22" operator="equal">
      <formula>1</formula>
    </cfRule>
  </conditionalFormatting>
  <conditionalFormatting sqref="V63:X63 S63">
    <cfRule type="cellIs" dxfId="2015" priority="21" operator="equal">
      <formula>"!"</formula>
    </cfRule>
  </conditionalFormatting>
  <conditionalFormatting sqref="T63">
    <cfRule type="cellIs" dxfId="2014" priority="19" operator="equal">
      <formula>2</formula>
    </cfRule>
    <cfRule type="cellIs" dxfId="2013" priority="20" operator="equal">
      <formula>1</formula>
    </cfRule>
  </conditionalFormatting>
  <conditionalFormatting sqref="H63">
    <cfRule type="cellIs" dxfId="2012" priority="15" operator="equal">
      <formula>100</formula>
    </cfRule>
    <cfRule type="cellIs" dxfId="2011" priority="16" operator="equal">
      <formula>50</formula>
    </cfRule>
    <cfRule type="cellIs" dxfId="2010" priority="17" operator="equal">
      <formula>20</formula>
    </cfRule>
    <cfRule type="cellIs" dxfId="2009" priority="18" operator="equal">
      <formula>6</formula>
    </cfRule>
  </conditionalFormatting>
  <conditionalFormatting sqref="I63:J63">
    <cfRule type="cellIs" dxfId="2008" priority="11" operator="equal">
      <formula>50</formula>
    </cfRule>
    <cfRule type="cellIs" dxfId="2007" priority="12" operator="equal">
      <formula>20</formula>
    </cfRule>
    <cfRule type="cellIs" dxfId="2006" priority="13" operator="equal">
      <formula>6</formula>
    </cfRule>
    <cfRule type="cellIs" dxfId="2005" priority="14" operator="equal">
      <formula>3</formula>
    </cfRule>
  </conditionalFormatting>
  <conditionalFormatting sqref="K63">
    <cfRule type="cellIs" dxfId="2004" priority="7" operator="equal">
      <formula>"4 pt"</formula>
    </cfRule>
    <cfRule type="cellIs" dxfId="2003" priority="8" operator="equal">
      <formula>"3 pt"</formula>
    </cfRule>
    <cfRule type="cellIs" dxfId="2002" priority="9" operator="equal">
      <formula>"2 pt"</formula>
    </cfRule>
    <cfRule type="cellIs" dxfId="2001" priority="10" operator="equal">
      <formula>"1 pt"</formula>
    </cfRule>
  </conditionalFormatting>
  <conditionalFormatting sqref="Z63:AK63">
    <cfRule type="cellIs" dxfId="2000" priority="1" operator="equal">
      <formula>3</formula>
    </cfRule>
    <cfRule type="cellIs" dxfId="1999" priority="2" operator="equal">
      <formula>2</formula>
    </cfRule>
    <cfRule type="cellIs" dxfId="1998" priority="3" operator="equal">
      <formula>1</formula>
    </cfRule>
  </conditionalFormatting>
  <conditionalFormatting sqref="Q63:R63">
    <cfRule type="cellIs" dxfId="1997" priority="4" operator="greaterThan">
      <formula>1000</formula>
    </cfRule>
    <cfRule type="cellIs" dxfId="1996" priority="5" operator="between">
      <formula>10</formula>
      <formula>1000</formula>
    </cfRule>
    <cfRule type="cellIs" dxfId="1995" priority="6" operator="lessThan">
      <formula>10</formula>
    </cfRule>
  </conditionalFormatting>
  <hyperlinks>
    <hyperlink ref="A1" location="Parcelle!A1" display="Retour" xr:uid="{00000000-0004-0000-0200-000000000000}"/>
  </hyperlinks>
  <pageMargins left="0.23622047244094491" right="0.23622047244094491" top="0.74803149606299213" bottom="0.51" header="0.31496062992125984" footer="0.31496062992125984"/>
  <pageSetup paperSize="9" scale="36" fitToHeight="0" orientation="landscape" r:id="rId1"/>
  <headerFooter>
    <oddFooter>&amp;LSPP-DGAV&amp;Rwww.vd.ch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283"/>
  <sheetViews>
    <sheetView workbookViewId="0">
      <pane xSplit="1" ySplit="3" topLeftCell="B195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ColWidth="11.42578125" defaultRowHeight="14.25" x14ac:dyDescent="0.2"/>
  <cols>
    <col min="1" max="2" width="19.7109375" style="1" customWidth="1"/>
    <col min="3" max="3" width="5.5703125" style="3" customWidth="1"/>
    <col min="4" max="4" width="10.7109375" style="3" customWidth="1"/>
    <col min="5" max="5" width="7.140625" style="3" customWidth="1"/>
    <col min="6" max="6" width="7.28515625" style="3" customWidth="1"/>
    <col min="7" max="7" width="7" style="3" customWidth="1"/>
    <col min="8" max="8" width="6.42578125" style="3" customWidth="1"/>
    <col min="9" max="10" width="10.85546875" style="3" customWidth="1"/>
    <col min="11" max="11" width="13.28515625" style="3" customWidth="1"/>
    <col min="12" max="13" width="5.85546875" style="3" customWidth="1"/>
    <col min="14" max="14" width="4.7109375" style="3" customWidth="1"/>
    <col min="15" max="15" width="21.140625" style="3" customWidth="1"/>
    <col min="16" max="16" width="7.28515625" style="3" customWidth="1"/>
    <col min="17" max="18" width="8.5703125" style="3" customWidth="1"/>
    <col min="19" max="19" width="3.5703125" style="3" customWidth="1"/>
    <col min="20" max="20" width="3.5703125" style="3" bestFit="1" customWidth="1"/>
    <col min="21" max="21" width="6" style="3" hidden="1" customWidth="1"/>
    <col min="22" max="24" width="6" style="3" customWidth="1"/>
    <col min="25" max="35" width="4.28515625" style="3" customWidth="1"/>
    <col min="36" max="36" width="4.28515625" style="1" customWidth="1"/>
    <col min="37" max="37" width="3.5703125" style="1" bestFit="1" customWidth="1"/>
    <col min="38" max="38" width="12" style="1" customWidth="1"/>
    <col min="39" max="39" width="18.85546875" style="1" customWidth="1"/>
    <col min="40" max="40" width="20.5703125" style="1" customWidth="1"/>
    <col min="41" max="41" width="18.42578125" style="1" customWidth="1"/>
    <col min="42" max="42" width="16.5703125" style="1" customWidth="1"/>
    <col min="43" max="16384" width="11.42578125" style="1"/>
  </cols>
  <sheetData>
    <row r="1" spans="1:47" customFormat="1" ht="15" x14ac:dyDescent="0.25">
      <c r="A1" s="24" t="str">
        <f>+Textes!A3</f>
        <v>Retour</v>
      </c>
      <c r="B1" s="24"/>
      <c r="C1" s="10"/>
      <c r="E1" s="342" t="str">
        <f>+Textes!A4</f>
        <v>Groupes de résistance RAC</v>
      </c>
      <c r="F1" s="342"/>
      <c r="G1" s="342"/>
      <c r="H1" s="344" t="str">
        <f>+Textes!A5</f>
        <v>Distance en m sans traitement</v>
      </c>
      <c r="I1" s="343"/>
      <c r="J1" s="345"/>
      <c r="K1" s="171"/>
      <c r="L1" s="344" t="str">
        <f>+Textes!A6</f>
        <v>Réduction d'utilisation</v>
      </c>
      <c r="M1" s="343"/>
      <c r="N1" s="343"/>
      <c r="O1" s="343"/>
      <c r="P1" s="345"/>
      <c r="Q1" s="344" t="str">
        <f>+Textes!A7</f>
        <v>Risques</v>
      </c>
      <c r="R1" s="343"/>
      <c r="S1" s="343"/>
      <c r="T1" s="343"/>
      <c r="U1" s="345"/>
      <c r="V1" s="342" t="str">
        <f>+Textes!A8</f>
        <v>Protection utilisateur</v>
      </c>
      <c r="W1" s="342"/>
      <c r="X1" s="342"/>
      <c r="Y1" s="342"/>
      <c r="Z1" s="343" t="str">
        <f>+Textes!A9</f>
        <v>Utilisation en PER</v>
      </c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</row>
    <row r="2" spans="1:47" ht="64.5" x14ac:dyDescent="0.2">
      <c r="A2" s="4" t="str">
        <f>Fongicides!A2</f>
        <v>Produit</v>
      </c>
      <c r="B2" s="4" t="str">
        <f>Fongicides!B2</f>
        <v>No homologation</v>
      </c>
      <c r="C2" s="11" t="str">
        <f>Fongicides!C2</f>
        <v>Type</v>
      </c>
      <c r="D2" s="7" t="str">
        <f>Fongicides!D2</f>
        <v>Firme</v>
      </c>
      <c r="E2" s="11" t="str">
        <f>Fongicides!E2</f>
        <v>SA 1</v>
      </c>
      <c r="F2" s="11" t="str">
        <f>Fongicides!F2</f>
        <v>SA 2</v>
      </c>
      <c r="G2" s="11" t="str">
        <f>Fongicides!G2</f>
        <v>SA3</v>
      </c>
      <c r="H2" s="11" t="str">
        <f>Fongicides!H2</f>
        <v>Eau surface</v>
      </c>
      <c r="I2" s="11" t="str">
        <f>Fongicides!I2</f>
        <v>Biotopes</v>
      </c>
      <c r="J2" s="11" t="str">
        <f>Fongicides!J2</f>
        <v>Public</v>
      </c>
      <c r="K2" s="11" t="str">
        <f>Fongicides!K2</f>
        <v>Ruissellement</v>
      </c>
      <c r="L2" s="11" t="str">
        <f>Fongicides!L2</f>
        <v>S2</v>
      </c>
      <c r="M2" s="11" t="s">
        <v>957</v>
      </c>
      <c r="N2" s="11" t="str">
        <f>Fongicides!N2</f>
        <v>K</v>
      </c>
      <c r="O2" s="11" t="str">
        <f>Fongicides!O2</f>
        <v>Fréquence</v>
      </c>
      <c r="P2" s="11" t="str">
        <f>Fongicides!P2</f>
        <v>PAP</v>
      </c>
      <c r="Q2" s="151" t="str">
        <f>+Textes!A89</f>
        <v>Org. aquatiques</v>
      </c>
      <c r="R2" s="151" t="str">
        <f>+Textes!A215</f>
        <v>Org. terrestres</v>
      </c>
      <c r="S2" s="90" t="str">
        <f>Fongicides!S2</f>
        <v>Poisson</v>
      </c>
      <c r="T2" s="90" t="str">
        <f>Fongicides!T2</f>
        <v>Abeille</v>
      </c>
      <c r="U2" s="90" t="str">
        <f>Fongicides!U2</f>
        <v>Eau surface</v>
      </c>
      <c r="V2" s="91" t="str">
        <f>Fongicides!V2</f>
        <v>Visière</v>
      </c>
      <c r="W2" s="91" t="str">
        <f>Fongicides!W2</f>
        <v>Masque</v>
      </c>
      <c r="X2" s="91" t="str">
        <f>Fongicides!X2</f>
        <v>Application</v>
      </c>
      <c r="Y2" s="91" t="str">
        <f>Fongicides!Y2</f>
        <v>Réentrée</v>
      </c>
      <c r="Z2" s="91" t="str">
        <f>Fongicides!Z2</f>
        <v>Céréales</v>
      </c>
      <c r="AA2" s="91" t="str">
        <f>Fongicides!AA2</f>
        <v>Betteraves</v>
      </c>
      <c r="AB2" s="90" t="str">
        <f>Fongicides!AB2</f>
        <v>Pdt</v>
      </c>
      <c r="AC2" s="90" t="str">
        <f>Fongicides!AC2</f>
        <v>Maïs</v>
      </c>
      <c r="AD2" s="90" t="str">
        <f>Fongicides!AD2</f>
        <v>Colza</v>
      </c>
      <c r="AE2" s="91" t="str">
        <f>Fongicides!AE2</f>
        <v>Tournesol</v>
      </c>
      <c r="AF2" s="90" t="str">
        <f>Fongicides!AF2</f>
        <v>Pois</v>
      </c>
      <c r="AG2" s="90" t="str">
        <f>Fongicides!AG2</f>
        <v>Soja</v>
      </c>
      <c r="AH2" s="91" t="str">
        <f>Fongicides!AH2</f>
        <v>Féverole</v>
      </c>
      <c r="AI2" s="91" t="str">
        <f>Fongicides!AI2</f>
        <v>Lupin</v>
      </c>
      <c r="AJ2" s="90" t="str">
        <f>Fongicides!AJ2</f>
        <v>Tabac</v>
      </c>
      <c r="AK2" s="91" t="str">
        <f>Fongicides!AK2</f>
        <v>Prairie</v>
      </c>
      <c r="AL2" s="92" t="str">
        <f>Fongicides!AL2</f>
        <v>Etat</v>
      </c>
      <c r="AM2" s="92" t="str">
        <f>Fongicides!AM2</f>
        <v>Délai utilisation</v>
      </c>
      <c r="AN2" s="4" t="str">
        <f>Fongicides!AN2</f>
        <v>SA 1</v>
      </c>
      <c r="AO2" s="4" t="str">
        <f>Fongicides!AO2</f>
        <v>SA 2</v>
      </c>
      <c r="AP2" s="4" t="str">
        <f>Fongicides!AP2</f>
        <v>SA3</v>
      </c>
      <c r="AQ2" s="4" t="str">
        <f>Fongicides!AQ2</f>
        <v>SA4</v>
      </c>
      <c r="AR2" s="11" t="str">
        <f>Fongicides!AR2</f>
        <v>g/kg SA 1</v>
      </c>
      <c r="AS2" s="11" t="str">
        <f>Fongicides!AS2</f>
        <v>g/kg SA 2</v>
      </c>
      <c r="AT2" s="11" t="str">
        <f>Fongicides!AT2</f>
        <v>g/kg SA3</v>
      </c>
      <c r="AU2" s="11" t="str">
        <f>Fongicides!AU2</f>
        <v>g/kg SA4</v>
      </c>
    </row>
    <row r="3" spans="1:47" x14ac:dyDescent="0.2">
      <c r="A3" s="27"/>
      <c r="B3" s="27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17"/>
      <c r="Q3" s="153"/>
      <c r="R3" s="153"/>
      <c r="S3" s="28"/>
      <c r="T3" s="28"/>
      <c r="U3" s="29"/>
      <c r="V3" s="29"/>
      <c r="W3" s="29"/>
      <c r="X3" s="29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15.75" x14ac:dyDescent="0.25">
      <c r="A4" s="112" t="s">
        <v>113</v>
      </c>
      <c r="B4" s="6" t="s">
        <v>1656</v>
      </c>
      <c r="C4" s="9" t="s">
        <v>4</v>
      </c>
      <c r="D4" s="9" t="s">
        <v>26</v>
      </c>
      <c r="E4" s="9">
        <v>4</v>
      </c>
      <c r="F4" s="9"/>
      <c r="G4" s="9"/>
      <c r="H4" s="7">
        <v>20</v>
      </c>
      <c r="I4" s="7"/>
      <c r="J4" s="7">
        <v>3</v>
      </c>
      <c r="K4" s="7" t="s">
        <v>14</v>
      </c>
      <c r="L4" s="122"/>
      <c r="M4" s="122"/>
      <c r="N4" s="122"/>
      <c r="O4" s="96"/>
      <c r="P4" s="7"/>
      <c r="Q4" s="93">
        <v>4</v>
      </c>
      <c r="R4" s="93">
        <v>187</v>
      </c>
      <c r="S4" s="122" t="s">
        <v>1518</v>
      </c>
      <c r="T4" s="7"/>
      <c r="U4" s="7"/>
      <c r="V4" s="122" t="s">
        <v>1518</v>
      </c>
      <c r="W4" s="122"/>
      <c r="X4" s="122" t="s">
        <v>1518</v>
      </c>
      <c r="Y4" s="7" t="s">
        <v>7</v>
      </c>
      <c r="Z4" s="7">
        <v>1</v>
      </c>
      <c r="AA4" s="7"/>
      <c r="AB4" s="7"/>
      <c r="AC4" s="7">
        <v>1</v>
      </c>
      <c r="AD4" s="7"/>
      <c r="AE4" s="7"/>
      <c r="AF4" s="7"/>
      <c r="AG4" s="7"/>
      <c r="AH4" s="7"/>
      <c r="AI4" s="7"/>
      <c r="AJ4" s="7"/>
      <c r="AK4" s="7">
        <v>1</v>
      </c>
      <c r="AL4" s="16">
        <v>45295</v>
      </c>
      <c r="AM4" s="4"/>
      <c r="AN4" s="105" t="s">
        <v>112</v>
      </c>
      <c r="AO4" s="4"/>
      <c r="AP4" s="4"/>
      <c r="AQ4" s="4"/>
      <c r="AR4" s="37">
        <v>500</v>
      </c>
      <c r="AS4" s="11"/>
      <c r="AT4" s="11"/>
      <c r="AU4" s="11"/>
    </row>
    <row r="5" spans="1:47" ht="24.75" x14ac:dyDescent="0.25">
      <c r="A5" s="114" t="s">
        <v>114</v>
      </c>
      <c r="B5" s="6" t="s">
        <v>1041</v>
      </c>
      <c r="C5" s="8" t="s">
        <v>4</v>
      </c>
      <c r="D5" s="8" t="s">
        <v>21</v>
      </c>
      <c r="E5" s="9">
        <v>2</v>
      </c>
      <c r="F5" s="9">
        <v>27</v>
      </c>
      <c r="G5" s="9"/>
      <c r="H5" s="7"/>
      <c r="I5" s="7">
        <v>3</v>
      </c>
      <c r="J5" s="7"/>
      <c r="K5" s="7" t="s">
        <v>14</v>
      </c>
      <c r="L5" s="122" t="s">
        <v>1518</v>
      </c>
      <c r="M5" s="122" t="s">
        <v>1518</v>
      </c>
      <c r="N5" s="122"/>
      <c r="O5" s="96" t="s">
        <v>1607</v>
      </c>
      <c r="P5" s="7"/>
      <c r="Q5" s="93">
        <v>3.5475568060729201</v>
      </c>
      <c r="R5" s="93">
        <v>160.01756157635441</v>
      </c>
      <c r="S5" s="122" t="s">
        <v>1518</v>
      </c>
      <c r="T5" s="7"/>
      <c r="U5" s="7"/>
      <c r="V5" s="122"/>
      <c r="W5" s="122"/>
      <c r="X5" s="122"/>
      <c r="Y5" s="7"/>
      <c r="Z5" s="7"/>
      <c r="AA5" s="7"/>
      <c r="AB5" s="7"/>
      <c r="AC5" s="7">
        <v>1</v>
      </c>
      <c r="AD5" s="7"/>
      <c r="AE5" s="7"/>
      <c r="AF5" s="7"/>
      <c r="AG5" s="7"/>
      <c r="AH5" s="7"/>
      <c r="AI5" s="7"/>
      <c r="AJ5" s="7"/>
      <c r="AK5" s="7"/>
      <c r="AL5" s="16">
        <v>45295</v>
      </c>
      <c r="AM5" s="4"/>
      <c r="AN5" s="4" t="s">
        <v>116</v>
      </c>
      <c r="AO5" s="4" t="s">
        <v>115</v>
      </c>
      <c r="AP5" s="4" t="s">
        <v>1005</v>
      </c>
      <c r="AQ5" s="4"/>
      <c r="AR5" s="11">
        <v>90</v>
      </c>
      <c r="AS5" s="11">
        <v>225</v>
      </c>
      <c r="AT5" s="11">
        <v>150</v>
      </c>
      <c r="AU5" s="11"/>
    </row>
    <row r="6" spans="1:47" ht="24.75" x14ac:dyDescent="0.25">
      <c r="A6" s="114" t="s">
        <v>1856</v>
      </c>
      <c r="B6" s="6" t="s">
        <v>1857</v>
      </c>
      <c r="C6" s="8" t="s">
        <v>4</v>
      </c>
      <c r="D6" s="8" t="s">
        <v>17</v>
      </c>
      <c r="E6" s="9">
        <v>2</v>
      </c>
      <c r="F6" s="9">
        <v>27</v>
      </c>
      <c r="G6" s="9"/>
      <c r="H6" s="7"/>
      <c r="I6" s="7">
        <v>3</v>
      </c>
      <c r="J6" s="7"/>
      <c r="K6" s="7" t="s">
        <v>14</v>
      </c>
      <c r="L6" s="122" t="s">
        <v>1518</v>
      </c>
      <c r="M6" s="122" t="s">
        <v>1518</v>
      </c>
      <c r="N6" s="122"/>
      <c r="O6" s="96" t="s">
        <v>1607</v>
      </c>
      <c r="P6" s="7"/>
      <c r="Q6" s="93">
        <v>3.5475568060729201</v>
      </c>
      <c r="R6" s="93">
        <v>160.01756157635441</v>
      </c>
      <c r="S6" s="122" t="s">
        <v>1518</v>
      </c>
      <c r="T6" s="7"/>
      <c r="U6" s="7"/>
      <c r="V6" s="122"/>
      <c r="W6" s="122"/>
      <c r="X6" s="122"/>
      <c r="Y6" s="7"/>
      <c r="Z6" s="7"/>
      <c r="AA6" s="7"/>
      <c r="AB6" s="7"/>
      <c r="AC6" s="7">
        <v>1</v>
      </c>
      <c r="AD6" s="7"/>
      <c r="AE6" s="7"/>
      <c r="AF6" s="7"/>
      <c r="AG6" s="7"/>
      <c r="AH6" s="7"/>
      <c r="AI6" s="7"/>
      <c r="AJ6" s="7"/>
      <c r="AK6" s="7"/>
      <c r="AL6" s="16">
        <v>45295</v>
      </c>
      <c r="AM6" s="4"/>
      <c r="AN6" s="4" t="s">
        <v>116</v>
      </c>
      <c r="AO6" s="4" t="s">
        <v>115</v>
      </c>
      <c r="AP6" s="4" t="s">
        <v>1005</v>
      </c>
      <c r="AQ6" s="4"/>
      <c r="AR6" s="11">
        <v>90</v>
      </c>
      <c r="AS6" s="11">
        <v>225</v>
      </c>
      <c r="AT6" s="11">
        <v>150</v>
      </c>
      <c r="AU6" s="11"/>
    </row>
    <row r="7" spans="1:47" ht="15.75" x14ac:dyDescent="0.25">
      <c r="A7" s="112" t="s">
        <v>1951</v>
      </c>
      <c r="B7" s="6" t="s">
        <v>1953</v>
      </c>
      <c r="C7" s="8" t="s">
        <v>4</v>
      </c>
      <c r="D7" s="8" t="s">
        <v>26</v>
      </c>
      <c r="E7" s="9">
        <v>12</v>
      </c>
      <c r="F7" s="9">
        <v>15</v>
      </c>
      <c r="G7" s="9"/>
      <c r="H7" s="7">
        <v>6</v>
      </c>
      <c r="I7" s="7"/>
      <c r="J7" s="7"/>
      <c r="K7" s="7" t="s">
        <v>14</v>
      </c>
      <c r="L7" s="122"/>
      <c r="M7" s="122"/>
      <c r="N7" s="122"/>
      <c r="O7" s="96"/>
      <c r="P7" s="14">
        <v>0.3</v>
      </c>
      <c r="Q7" s="93">
        <v>16.552595829761422</v>
      </c>
      <c r="R7" s="93">
        <v>218.6711904761903</v>
      </c>
      <c r="S7" s="122" t="s">
        <v>1518</v>
      </c>
      <c r="T7" s="7"/>
      <c r="U7" s="7"/>
      <c r="V7" s="122"/>
      <c r="W7" s="122"/>
      <c r="X7" s="122" t="s">
        <v>1518</v>
      </c>
      <c r="Y7" s="7"/>
      <c r="Z7" s="7">
        <v>1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6">
        <v>45295</v>
      </c>
      <c r="AM7" s="4"/>
      <c r="AN7" s="6" t="s">
        <v>999</v>
      </c>
      <c r="AO7" s="4" t="s">
        <v>143</v>
      </c>
      <c r="AP7" s="4"/>
      <c r="AQ7" s="4"/>
      <c r="AR7" s="53">
        <v>200</v>
      </c>
      <c r="AS7" s="53">
        <v>400</v>
      </c>
      <c r="AT7" s="11"/>
      <c r="AU7" s="11"/>
    </row>
    <row r="8" spans="1:47" ht="15.75" x14ac:dyDescent="0.25">
      <c r="A8" s="112" t="s">
        <v>1952</v>
      </c>
      <c r="B8" s="6" t="s">
        <v>1953</v>
      </c>
      <c r="C8" s="8" t="s">
        <v>4</v>
      </c>
      <c r="D8" s="8" t="s">
        <v>26</v>
      </c>
      <c r="E8" s="9">
        <v>12</v>
      </c>
      <c r="F8" s="9">
        <v>15</v>
      </c>
      <c r="G8" s="9"/>
      <c r="H8" s="7">
        <v>6</v>
      </c>
      <c r="I8" s="7"/>
      <c r="J8" s="7"/>
      <c r="K8" s="7" t="s">
        <v>120</v>
      </c>
      <c r="L8" s="122"/>
      <c r="M8" s="122"/>
      <c r="N8" s="122"/>
      <c r="O8" s="96"/>
      <c r="P8" s="14">
        <v>0.3</v>
      </c>
      <c r="Q8" s="93">
        <v>24.82889374464213</v>
      </c>
      <c r="R8" s="93">
        <v>328.00678571428546</v>
      </c>
      <c r="S8" s="122" t="s">
        <v>1518</v>
      </c>
      <c r="T8" s="7"/>
      <c r="U8" s="7"/>
      <c r="V8" s="122"/>
      <c r="W8" s="122"/>
      <c r="X8" s="122" t="s">
        <v>1518</v>
      </c>
      <c r="Y8" s="7"/>
      <c r="Z8" s="7">
        <v>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6">
        <v>45295</v>
      </c>
      <c r="AM8" s="4"/>
      <c r="AN8" s="6" t="s">
        <v>999</v>
      </c>
      <c r="AO8" s="4" t="s">
        <v>143</v>
      </c>
      <c r="AP8" s="4"/>
      <c r="AQ8" s="4"/>
      <c r="AR8" s="53">
        <v>200</v>
      </c>
      <c r="AS8" s="53">
        <v>400</v>
      </c>
      <c r="AT8" s="11"/>
      <c r="AU8" s="11"/>
    </row>
    <row r="9" spans="1:47" ht="15.75" x14ac:dyDescent="0.25">
      <c r="A9" s="114" t="s">
        <v>117</v>
      </c>
      <c r="B9" s="6" t="s">
        <v>1043</v>
      </c>
      <c r="C9" s="8" t="s">
        <v>4</v>
      </c>
      <c r="D9" s="8" t="s">
        <v>13</v>
      </c>
      <c r="E9" s="9">
        <v>1</v>
      </c>
      <c r="F9" s="9"/>
      <c r="G9" s="9"/>
      <c r="H9" s="7"/>
      <c r="I9" s="7"/>
      <c r="J9" s="7"/>
      <c r="K9" s="7"/>
      <c r="L9" s="122"/>
      <c r="M9" s="122"/>
      <c r="N9" s="122"/>
      <c r="O9" s="96"/>
      <c r="P9" s="7"/>
      <c r="Q9" s="93">
        <v>0.33114035087719268</v>
      </c>
      <c r="R9" s="93">
        <v>6.777999999999988</v>
      </c>
      <c r="S9" s="122" t="s">
        <v>1518</v>
      </c>
      <c r="T9" s="7"/>
      <c r="U9" s="7"/>
      <c r="V9" s="122" t="s">
        <v>1518</v>
      </c>
      <c r="W9" s="122"/>
      <c r="X9" s="122"/>
      <c r="Y9" s="7"/>
      <c r="Z9" s="7"/>
      <c r="AA9" s="7">
        <v>1</v>
      </c>
      <c r="AB9" s="7">
        <v>1</v>
      </c>
      <c r="AC9" s="7"/>
      <c r="AD9" s="7">
        <v>1</v>
      </c>
      <c r="AE9" s="7"/>
      <c r="AF9" s="7">
        <v>1</v>
      </c>
      <c r="AG9" s="7">
        <v>1</v>
      </c>
      <c r="AH9" s="7">
        <v>1</v>
      </c>
      <c r="AI9" s="7"/>
      <c r="AJ9" s="7"/>
      <c r="AK9" s="7"/>
      <c r="AL9" s="16">
        <v>45295</v>
      </c>
      <c r="AM9" s="4"/>
      <c r="AN9" s="4" t="s">
        <v>665</v>
      </c>
      <c r="AO9" s="4"/>
      <c r="AP9" s="4"/>
      <c r="AQ9" s="4"/>
      <c r="AR9" s="11">
        <v>100</v>
      </c>
      <c r="AS9" s="11"/>
      <c r="AT9" s="11"/>
      <c r="AU9" s="11"/>
    </row>
    <row r="10" spans="1:47" ht="28.5" x14ac:dyDescent="0.25">
      <c r="A10" s="114" t="s">
        <v>1044</v>
      </c>
      <c r="B10" s="6" t="s">
        <v>1045</v>
      </c>
      <c r="C10" s="8" t="s">
        <v>4</v>
      </c>
      <c r="D10" s="9" t="s">
        <v>26</v>
      </c>
      <c r="E10" s="9">
        <v>2</v>
      </c>
      <c r="F10" s="9">
        <v>2</v>
      </c>
      <c r="G10" s="9"/>
      <c r="H10" s="7"/>
      <c r="I10" s="7">
        <v>3</v>
      </c>
      <c r="J10" s="7"/>
      <c r="K10" s="7"/>
      <c r="L10" s="122"/>
      <c r="M10" s="122"/>
      <c r="N10" s="122"/>
      <c r="O10" s="96"/>
      <c r="P10" s="7"/>
      <c r="Q10" s="93">
        <v>1.4387627117714321</v>
      </c>
      <c r="R10" s="93">
        <v>320.58907776193519</v>
      </c>
      <c r="S10" s="122" t="s">
        <v>1518</v>
      </c>
      <c r="T10" s="7"/>
      <c r="U10" s="7"/>
      <c r="V10" s="122" t="s">
        <v>1518</v>
      </c>
      <c r="W10" s="122"/>
      <c r="X10" s="122"/>
      <c r="Y10" s="7"/>
      <c r="Z10" s="7">
        <v>1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6">
        <v>45295</v>
      </c>
      <c r="AM10" s="4"/>
      <c r="AN10" s="6" t="s">
        <v>1003</v>
      </c>
      <c r="AO10" s="6" t="s">
        <v>1006</v>
      </c>
      <c r="AP10" s="6" t="s">
        <v>1007</v>
      </c>
      <c r="AQ10" s="4"/>
      <c r="AR10" s="11">
        <v>67.5</v>
      </c>
      <c r="AS10" s="11">
        <v>45</v>
      </c>
      <c r="AT10" s="11">
        <v>90</v>
      </c>
      <c r="AU10" s="11"/>
    </row>
    <row r="11" spans="1:47" ht="15.75" x14ac:dyDescent="0.25">
      <c r="A11" s="114" t="s">
        <v>122</v>
      </c>
      <c r="B11" s="6" t="s">
        <v>1047</v>
      </c>
      <c r="C11" s="8" t="s">
        <v>4</v>
      </c>
      <c r="D11" s="8" t="s">
        <v>17</v>
      </c>
      <c r="E11" s="9">
        <v>2</v>
      </c>
      <c r="F11" s="9">
        <v>2</v>
      </c>
      <c r="G11" s="9">
        <v>2</v>
      </c>
      <c r="H11" s="7"/>
      <c r="I11" s="7">
        <v>20</v>
      </c>
      <c r="J11" s="7"/>
      <c r="K11" s="7"/>
      <c r="L11" s="122"/>
      <c r="M11" s="122"/>
      <c r="N11" s="122"/>
      <c r="O11" s="96"/>
      <c r="P11" s="14">
        <v>0.3</v>
      </c>
      <c r="Q11" s="93">
        <v>1.2765865495428912</v>
      </c>
      <c r="R11" s="93">
        <v>675.71089585679454</v>
      </c>
      <c r="S11" s="122" t="s">
        <v>1518</v>
      </c>
      <c r="T11" s="7"/>
      <c r="U11" s="7"/>
      <c r="V11" s="122" t="s">
        <v>1518</v>
      </c>
      <c r="W11" s="122"/>
      <c r="X11" s="122"/>
      <c r="Y11" s="7"/>
      <c r="Z11" s="7">
        <v>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6">
        <v>45295</v>
      </c>
      <c r="AM11" s="4" t="s">
        <v>1861</v>
      </c>
      <c r="AN11" s="4" t="s">
        <v>123</v>
      </c>
      <c r="AO11" s="106" t="s">
        <v>1009</v>
      </c>
      <c r="AP11" s="6" t="s">
        <v>1010</v>
      </c>
      <c r="AQ11" s="4"/>
      <c r="AR11" s="11">
        <v>83</v>
      </c>
      <c r="AS11" s="11">
        <v>83</v>
      </c>
      <c r="AT11" s="11">
        <v>105</v>
      </c>
      <c r="AU11" s="11"/>
    </row>
    <row r="12" spans="1:47" ht="15.75" x14ac:dyDescent="0.25">
      <c r="A12" s="114" t="s">
        <v>1850</v>
      </c>
      <c r="B12" s="6" t="s">
        <v>1048</v>
      </c>
      <c r="C12" s="8" t="s">
        <v>4</v>
      </c>
      <c r="D12" s="8" t="s">
        <v>17</v>
      </c>
      <c r="E12" s="9">
        <v>2</v>
      </c>
      <c r="F12" s="9"/>
      <c r="G12" s="9"/>
      <c r="H12" s="7"/>
      <c r="I12" s="7">
        <v>20</v>
      </c>
      <c r="J12" s="7"/>
      <c r="K12" s="7"/>
      <c r="L12" s="122"/>
      <c r="M12" s="122"/>
      <c r="N12" s="122"/>
      <c r="O12" s="96"/>
      <c r="P12" s="14">
        <v>0.3</v>
      </c>
      <c r="Q12" s="93">
        <v>1.1532208370279704</v>
      </c>
      <c r="R12" s="93">
        <v>470.69444444444468</v>
      </c>
      <c r="S12" s="122" t="s">
        <v>1518</v>
      </c>
      <c r="T12" s="7"/>
      <c r="U12" s="7"/>
      <c r="V12" s="122"/>
      <c r="W12" s="122"/>
      <c r="X12" s="122"/>
      <c r="Y12" s="7"/>
      <c r="Z12" s="7">
        <v>1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6">
        <v>45295</v>
      </c>
      <c r="AM12" s="4" t="s">
        <v>1861</v>
      </c>
      <c r="AN12" s="11" t="s">
        <v>123</v>
      </c>
      <c r="AO12" s="4"/>
      <c r="AP12" s="4"/>
      <c r="AQ12" s="4"/>
      <c r="AR12" s="11">
        <v>200</v>
      </c>
      <c r="AS12" s="11"/>
      <c r="AT12" s="11"/>
      <c r="AU12" s="11"/>
    </row>
    <row r="13" spans="1:47" ht="15.75" x14ac:dyDescent="0.25">
      <c r="A13" s="114" t="s">
        <v>1849</v>
      </c>
      <c r="B13" s="6" t="s">
        <v>1048</v>
      </c>
      <c r="C13" s="8" t="s">
        <v>4</v>
      </c>
      <c r="D13" s="8" t="s">
        <v>17</v>
      </c>
      <c r="E13" s="9">
        <v>2</v>
      </c>
      <c r="F13" s="9"/>
      <c r="G13" s="9"/>
      <c r="H13" s="7"/>
      <c r="I13" s="7">
        <v>50</v>
      </c>
      <c r="J13" s="7"/>
      <c r="K13" s="7"/>
      <c r="L13" s="122"/>
      <c r="M13" s="122"/>
      <c r="N13" s="122"/>
      <c r="O13" s="96"/>
      <c r="P13" s="14">
        <v>0.3</v>
      </c>
      <c r="Q13" s="93">
        <v>1.8451533392447528</v>
      </c>
      <c r="R13" s="93">
        <v>753.11111111111154</v>
      </c>
      <c r="S13" s="122" t="s">
        <v>1518</v>
      </c>
      <c r="T13" s="7"/>
      <c r="U13" s="7"/>
      <c r="V13" s="122"/>
      <c r="W13" s="122"/>
      <c r="X13" s="122"/>
      <c r="Y13" s="7"/>
      <c r="Z13" s="7">
        <v>1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6">
        <v>45295</v>
      </c>
      <c r="AM13" s="4" t="s">
        <v>1861</v>
      </c>
      <c r="AN13" s="11" t="s">
        <v>123</v>
      </c>
      <c r="AO13" s="4"/>
      <c r="AP13" s="4"/>
      <c r="AQ13" s="4"/>
      <c r="AR13" s="11">
        <v>200</v>
      </c>
      <c r="AS13" s="11"/>
      <c r="AT13" s="11"/>
      <c r="AU13" s="11"/>
    </row>
    <row r="14" spans="1:47" ht="15.75" x14ac:dyDescent="0.25">
      <c r="A14" s="114" t="s">
        <v>124</v>
      </c>
      <c r="B14" s="6" t="s">
        <v>1049</v>
      </c>
      <c r="C14" s="8" t="s">
        <v>4</v>
      </c>
      <c r="D14" s="8" t="s">
        <v>17</v>
      </c>
      <c r="E14" s="9">
        <v>2</v>
      </c>
      <c r="F14" s="9"/>
      <c r="G14" s="9"/>
      <c r="H14" s="7"/>
      <c r="I14" s="7"/>
      <c r="J14" s="7"/>
      <c r="K14" s="7"/>
      <c r="L14" s="122"/>
      <c r="M14" s="122"/>
      <c r="N14" s="122"/>
      <c r="O14" s="96"/>
      <c r="P14" s="14">
        <v>0.3</v>
      </c>
      <c r="Q14" s="93"/>
      <c r="R14" s="93"/>
      <c r="S14" s="122" t="s">
        <v>1518</v>
      </c>
      <c r="T14" s="7"/>
      <c r="U14" s="7"/>
      <c r="V14" s="122"/>
      <c r="W14" s="122"/>
      <c r="X14" s="12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>
        <v>1</v>
      </c>
      <c r="AL14" s="16">
        <v>45295</v>
      </c>
      <c r="AM14" s="4"/>
      <c r="AN14" s="11" t="s">
        <v>123</v>
      </c>
      <c r="AO14" s="4"/>
      <c r="AP14" s="4"/>
      <c r="AQ14" s="4"/>
      <c r="AR14" s="11" t="s">
        <v>815</v>
      </c>
      <c r="AS14" s="11"/>
      <c r="AT14" s="11"/>
      <c r="AU14" s="11"/>
    </row>
    <row r="15" spans="1:47" ht="15.75" x14ac:dyDescent="0.25">
      <c r="A15" s="114" t="s">
        <v>125</v>
      </c>
      <c r="B15" s="6" t="s">
        <v>1050</v>
      </c>
      <c r="C15" s="8" t="s">
        <v>4</v>
      </c>
      <c r="D15" s="9" t="s">
        <v>26</v>
      </c>
      <c r="E15" s="9">
        <v>4</v>
      </c>
      <c r="F15" s="9"/>
      <c r="G15" s="9"/>
      <c r="H15" s="7"/>
      <c r="I15" s="7"/>
      <c r="J15" s="7"/>
      <c r="K15" s="7"/>
      <c r="L15" s="122"/>
      <c r="M15" s="122"/>
      <c r="N15" s="122"/>
      <c r="O15" s="96"/>
      <c r="P15" s="7"/>
      <c r="Q15" s="93">
        <v>4.9309339318677828E-4</v>
      </c>
      <c r="R15" s="93">
        <v>28.10299034482766</v>
      </c>
      <c r="S15" s="122" t="s">
        <v>1518</v>
      </c>
      <c r="T15" s="7"/>
      <c r="U15" s="7"/>
      <c r="V15" s="122"/>
      <c r="W15" s="122"/>
      <c r="X15" s="122"/>
      <c r="Y15" s="7"/>
      <c r="Z15" s="7"/>
      <c r="AA15" s="7">
        <v>1</v>
      </c>
      <c r="AB15" s="7"/>
      <c r="AC15" s="7"/>
      <c r="AD15" s="7">
        <v>1</v>
      </c>
      <c r="AE15" s="7"/>
      <c r="AF15" s="7"/>
      <c r="AG15" s="7"/>
      <c r="AH15" s="7"/>
      <c r="AI15" s="7"/>
      <c r="AJ15" s="7"/>
      <c r="AK15" s="7">
        <v>1</v>
      </c>
      <c r="AL15" s="16">
        <v>45295</v>
      </c>
      <c r="AM15" s="4"/>
      <c r="AN15" s="11" t="s">
        <v>126</v>
      </c>
      <c r="AO15" s="4"/>
      <c r="AP15" s="4"/>
      <c r="AQ15" s="4"/>
      <c r="AR15" s="11">
        <v>720</v>
      </c>
      <c r="AS15" s="11"/>
      <c r="AT15" s="11"/>
      <c r="AU15" s="11"/>
    </row>
    <row r="16" spans="1:47" ht="15.75" x14ac:dyDescent="0.25">
      <c r="A16" s="112" t="s">
        <v>127</v>
      </c>
      <c r="B16" s="6" t="s">
        <v>1439</v>
      </c>
      <c r="C16" s="8" t="s">
        <v>4</v>
      </c>
      <c r="D16" s="8" t="s">
        <v>64</v>
      </c>
      <c r="E16" s="9">
        <v>12</v>
      </c>
      <c r="F16" s="9">
        <v>15</v>
      </c>
      <c r="G16" s="9"/>
      <c r="H16" s="7"/>
      <c r="I16" s="7"/>
      <c r="J16" s="7"/>
      <c r="K16" s="7" t="s">
        <v>14</v>
      </c>
      <c r="L16" s="122"/>
      <c r="M16" s="122"/>
      <c r="N16" s="122"/>
      <c r="O16" s="96"/>
      <c r="P16" s="14">
        <v>0.3</v>
      </c>
      <c r="Q16" s="93">
        <v>16.552595829761422</v>
      </c>
      <c r="R16" s="93">
        <v>218.6711904761903</v>
      </c>
      <c r="S16" s="122" t="s">
        <v>1518</v>
      </c>
      <c r="T16" s="7"/>
      <c r="U16" s="7"/>
      <c r="V16" s="122"/>
      <c r="W16" s="122"/>
      <c r="X16" s="122" t="s">
        <v>1518</v>
      </c>
      <c r="Y16" s="7"/>
      <c r="Z16" s="7">
        <v>1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6">
        <v>45295</v>
      </c>
      <c r="AM16" s="4"/>
      <c r="AN16" s="6" t="s">
        <v>999</v>
      </c>
      <c r="AO16" s="4" t="s">
        <v>143</v>
      </c>
      <c r="AP16" s="4"/>
      <c r="AQ16" s="4"/>
      <c r="AR16" s="53">
        <v>200</v>
      </c>
      <c r="AS16" s="53">
        <v>400</v>
      </c>
      <c r="AT16" s="11"/>
      <c r="AU16" s="11"/>
    </row>
    <row r="17" spans="1:47" ht="15.75" x14ac:dyDescent="0.25">
      <c r="A17" s="112" t="s">
        <v>128</v>
      </c>
      <c r="B17" s="6" t="s">
        <v>1445</v>
      </c>
      <c r="C17" s="8" t="s">
        <v>4</v>
      </c>
      <c r="D17" s="8" t="s">
        <v>64</v>
      </c>
      <c r="E17" s="9">
        <v>12</v>
      </c>
      <c r="F17" s="9">
        <v>15</v>
      </c>
      <c r="G17" s="9"/>
      <c r="H17" s="7"/>
      <c r="I17" s="7"/>
      <c r="J17" s="7"/>
      <c r="K17" s="7" t="s">
        <v>120</v>
      </c>
      <c r="L17" s="122"/>
      <c r="M17" s="122"/>
      <c r="N17" s="122"/>
      <c r="O17" s="96"/>
      <c r="P17" s="14">
        <v>0.3</v>
      </c>
      <c r="Q17" s="93">
        <v>24.82889374464213</v>
      </c>
      <c r="R17" s="93">
        <v>328.00678571428546</v>
      </c>
      <c r="S17" s="122" t="s">
        <v>1518</v>
      </c>
      <c r="T17" s="7"/>
      <c r="U17" s="7"/>
      <c r="V17" s="122"/>
      <c r="W17" s="122"/>
      <c r="X17" s="122" t="s">
        <v>1518</v>
      </c>
      <c r="Y17" s="7"/>
      <c r="Z17" s="7">
        <v>1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6">
        <v>45295</v>
      </c>
      <c r="AM17" s="4"/>
      <c r="AN17" s="6" t="s">
        <v>999</v>
      </c>
      <c r="AO17" s="4" t="s">
        <v>143</v>
      </c>
      <c r="AP17" s="4"/>
      <c r="AQ17" s="4"/>
      <c r="AR17" s="53">
        <v>200</v>
      </c>
      <c r="AS17" s="53">
        <v>400</v>
      </c>
      <c r="AT17" s="11"/>
      <c r="AU17" s="11"/>
    </row>
    <row r="18" spans="1:47" ht="15.75" x14ac:dyDescent="0.25">
      <c r="A18" s="114" t="s">
        <v>938</v>
      </c>
      <c r="B18" s="6" t="s">
        <v>1055</v>
      </c>
      <c r="C18" s="8" t="s">
        <v>4</v>
      </c>
      <c r="D18" s="8" t="s">
        <v>29</v>
      </c>
      <c r="E18" s="8">
        <v>4</v>
      </c>
      <c r="F18" s="8"/>
      <c r="G18" s="8"/>
      <c r="H18" s="7"/>
      <c r="I18" s="7"/>
      <c r="J18" s="7"/>
      <c r="K18" s="7"/>
      <c r="L18" s="122"/>
      <c r="M18" s="122"/>
      <c r="N18" s="122"/>
      <c r="O18" s="96"/>
      <c r="P18" s="7"/>
      <c r="Q18" s="93">
        <v>0.42816364513334831</v>
      </c>
      <c r="R18" s="93">
        <v>187.50614754098456</v>
      </c>
      <c r="S18" s="122" t="s">
        <v>1518</v>
      </c>
      <c r="T18" s="7"/>
      <c r="U18" s="7"/>
      <c r="V18" s="122" t="s">
        <v>1518</v>
      </c>
      <c r="W18" s="122"/>
      <c r="X18" s="122"/>
      <c r="Y18" s="7"/>
      <c r="Z18" s="7">
        <v>1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2"/>
      <c r="AL18" s="16">
        <v>45295</v>
      </c>
      <c r="AM18" s="5"/>
      <c r="AN18" s="4" t="s">
        <v>215</v>
      </c>
      <c r="AO18" s="4"/>
      <c r="AP18" s="4"/>
      <c r="AQ18" s="4"/>
      <c r="AR18" s="11">
        <v>200</v>
      </c>
      <c r="AS18" s="11"/>
      <c r="AT18" s="11"/>
      <c r="AU18" s="11"/>
    </row>
    <row r="19" spans="1:47" ht="15.75" x14ac:dyDescent="0.25">
      <c r="A19" s="112" t="s">
        <v>1633</v>
      </c>
      <c r="B19" s="6" t="s">
        <v>1632</v>
      </c>
      <c r="C19" s="8" t="s">
        <v>4</v>
      </c>
      <c r="D19" s="8" t="s">
        <v>17</v>
      </c>
      <c r="E19" s="9" t="s">
        <v>962</v>
      </c>
      <c r="F19" s="9"/>
      <c r="G19" s="9"/>
      <c r="H19" s="7"/>
      <c r="I19" s="7"/>
      <c r="J19" s="7"/>
      <c r="K19" s="7"/>
      <c r="L19" s="122"/>
      <c r="M19" s="122"/>
      <c r="N19" s="122"/>
      <c r="O19" s="96"/>
      <c r="P19" s="7"/>
      <c r="Q19" s="93">
        <v>0.54862255127722548</v>
      </c>
      <c r="R19" s="93">
        <v>22.137822580645185</v>
      </c>
      <c r="S19" s="122" t="s">
        <v>1518</v>
      </c>
      <c r="T19" s="7"/>
      <c r="U19" s="7"/>
      <c r="V19" s="122" t="s">
        <v>1518</v>
      </c>
      <c r="W19" s="122"/>
      <c r="X19" s="122"/>
      <c r="Y19" s="7"/>
      <c r="Z19" s="7"/>
      <c r="AA19" s="7"/>
      <c r="AB19" s="7"/>
      <c r="AC19" s="7"/>
      <c r="AD19" s="7">
        <v>1</v>
      </c>
      <c r="AE19" s="7"/>
      <c r="AF19" s="7"/>
      <c r="AG19" s="7"/>
      <c r="AH19" s="7"/>
      <c r="AI19" s="7"/>
      <c r="AJ19" s="7">
        <v>1</v>
      </c>
      <c r="AK19" s="7"/>
      <c r="AL19" s="16">
        <v>45295</v>
      </c>
      <c r="AM19" s="4"/>
      <c r="AN19" s="4" t="s">
        <v>177</v>
      </c>
      <c r="AO19" s="4"/>
      <c r="AP19" s="4"/>
      <c r="AQ19" s="4"/>
      <c r="AR19" s="11">
        <v>450</v>
      </c>
      <c r="AS19" s="11"/>
      <c r="AT19" s="11"/>
      <c r="AU19" s="11"/>
    </row>
    <row r="20" spans="1:47" ht="15.75" x14ac:dyDescent="0.25">
      <c r="A20" s="115" t="s">
        <v>909</v>
      </c>
      <c r="B20" s="199" t="s">
        <v>1056</v>
      </c>
      <c r="C20" s="54" t="s">
        <v>4</v>
      </c>
      <c r="D20" s="8" t="s">
        <v>29</v>
      </c>
      <c r="E20" s="8">
        <v>12</v>
      </c>
      <c r="F20" s="8">
        <v>15</v>
      </c>
      <c r="G20" s="8"/>
      <c r="H20" s="50">
        <v>6</v>
      </c>
      <c r="I20" s="50"/>
      <c r="J20" s="50"/>
      <c r="K20" s="50" t="s">
        <v>14</v>
      </c>
      <c r="L20" s="123"/>
      <c r="M20" s="123"/>
      <c r="N20" s="123"/>
      <c r="O20" s="97"/>
      <c r="P20" s="55">
        <v>0.3</v>
      </c>
      <c r="Q20" s="93">
        <v>16.552595829761422</v>
      </c>
      <c r="R20" s="93">
        <v>218.6711904761903</v>
      </c>
      <c r="S20" s="123" t="s">
        <v>1518</v>
      </c>
      <c r="T20" s="50"/>
      <c r="U20" s="50"/>
      <c r="V20" s="123"/>
      <c r="W20" s="123"/>
      <c r="X20" s="123" t="s">
        <v>1518</v>
      </c>
      <c r="Y20" s="50"/>
      <c r="Z20" s="50">
        <v>1</v>
      </c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16">
        <v>45295</v>
      </c>
      <c r="AM20" s="51"/>
      <c r="AN20" s="6" t="s">
        <v>999</v>
      </c>
      <c r="AO20" s="4" t="s">
        <v>143</v>
      </c>
      <c r="AP20" s="53"/>
      <c r="AQ20" s="51"/>
      <c r="AR20" s="53">
        <v>200</v>
      </c>
      <c r="AS20" s="53">
        <v>400</v>
      </c>
      <c r="AT20" s="53"/>
      <c r="AU20" s="53"/>
    </row>
    <row r="21" spans="1:47" ht="15.75" x14ac:dyDescent="0.25">
      <c r="A21" s="115" t="s">
        <v>910</v>
      </c>
      <c r="B21" s="199" t="s">
        <v>1056</v>
      </c>
      <c r="C21" s="54" t="s">
        <v>4</v>
      </c>
      <c r="D21" s="8" t="s">
        <v>29</v>
      </c>
      <c r="E21" s="9">
        <v>12</v>
      </c>
      <c r="F21" s="9">
        <v>15</v>
      </c>
      <c r="G21" s="9"/>
      <c r="H21" s="50">
        <v>6</v>
      </c>
      <c r="I21" s="50"/>
      <c r="J21" s="50"/>
      <c r="K21" s="50" t="s">
        <v>120</v>
      </c>
      <c r="L21" s="123"/>
      <c r="M21" s="123"/>
      <c r="N21" s="123"/>
      <c r="O21" s="97"/>
      <c r="P21" s="55">
        <v>0.3</v>
      </c>
      <c r="Q21" s="93">
        <v>24.82889374464213</v>
      </c>
      <c r="R21" s="93">
        <v>328.00678571428546</v>
      </c>
      <c r="S21" s="123" t="s">
        <v>1518</v>
      </c>
      <c r="T21" s="50"/>
      <c r="U21" s="50"/>
      <c r="V21" s="123"/>
      <c r="W21" s="123"/>
      <c r="X21" s="123" t="s">
        <v>1518</v>
      </c>
      <c r="Y21" s="50"/>
      <c r="Z21" s="50">
        <v>1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16">
        <v>45295</v>
      </c>
      <c r="AM21" s="51"/>
      <c r="AN21" s="6" t="s">
        <v>999</v>
      </c>
      <c r="AO21" s="4" t="s">
        <v>143</v>
      </c>
      <c r="AP21" s="53"/>
      <c r="AQ21" s="51"/>
      <c r="AR21" s="53">
        <v>200</v>
      </c>
      <c r="AS21" s="53">
        <v>400</v>
      </c>
      <c r="AT21" s="53"/>
      <c r="AU21" s="53"/>
    </row>
    <row r="22" spans="1:47" ht="15.75" x14ac:dyDescent="0.25">
      <c r="A22" s="114" t="s">
        <v>129</v>
      </c>
      <c r="B22" s="6" t="s">
        <v>1057</v>
      </c>
      <c r="C22" s="8" t="s">
        <v>4</v>
      </c>
      <c r="D22" s="8" t="s">
        <v>29</v>
      </c>
      <c r="E22" s="9">
        <v>5</v>
      </c>
      <c r="F22" s="9">
        <v>15</v>
      </c>
      <c r="G22" s="9"/>
      <c r="H22" s="7"/>
      <c r="I22" s="7"/>
      <c r="J22" s="7"/>
      <c r="K22" s="7" t="s">
        <v>14</v>
      </c>
      <c r="L22" s="122"/>
      <c r="M22" s="122"/>
      <c r="N22" s="122"/>
      <c r="O22" s="96"/>
      <c r="P22" s="14">
        <v>0.3</v>
      </c>
      <c r="Q22" s="93">
        <v>10.422378196942493</v>
      </c>
      <c r="R22" s="93">
        <v>450.70480257996991</v>
      </c>
      <c r="S22" s="122" t="s">
        <v>1518</v>
      </c>
      <c r="T22" s="7"/>
      <c r="U22" s="7"/>
      <c r="V22" s="122"/>
      <c r="W22" s="122"/>
      <c r="X22" s="122" t="s">
        <v>1518</v>
      </c>
      <c r="Y22" s="7"/>
      <c r="Z22" s="7"/>
      <c r="AA22" s="7"/>
      <c r="AB22" s="7">
        <v>1</v>
      </c>
      <c r="AC22" s="7"/>
      <c r="AD22" s="7"/>
      <c r="AE22" s="7"/>
      <c r="AF22" s="7"/>
      <c r="AG22" s="7"/>
      <c r="AH22" s="7"/>
      <c r="AI22" s="7"/>
      <c r="AJ22" s="7"/>
      <c r="AK22" s="7"/>
      <c r="AL22" s="16">
        <v>45295</v>
      </c>
      <c r="AM22" s="4"/>
      <c r="AN22" s="6" t="s">
        <v>1012</v>
      </c>
      <c r="AO22" s="4" t="s">
        <v>131</v>
      </c>
      <c r="AP22" s="4"/>
      <c r="AQ22" s="4"/>
      <c r="AR22" s="11">
        <v>80</v>
      </c>
      <c r="AS22" s="11">
        <v>800</v>
      </c>
      <c r="AT22" s="11"/>
      <c r="AU22" s="11"/>
    </row>
    <row r="23" spans="1:47" ht="28.5" x14ac:dyDescent="0.25">
      <c r="A23" s="114" t="s">
        <v>132</v>
      </c>
      <c r="B23" s="6" t="s">
        <v>1058</v>
      </c>
      <c r="C23" s="8" t="s">
        <v>4</v>
      </c>
      <c r="D23" s="8" t="s">
        <v>29</v>
      </c>
      <c r="E23" s="9">
        <v>2</v>
      </c>
      <c r="F23" s="9">
        <v>2</v>
      </c>
      <c r="G23" s="9"/>
      <c r="H23" s="7"/>
      <c r="I23" s="7">
        <v>6</v>
      </c>
      <c r="J23" s="7"/>
      <c r="K23" s="7"/>
      <c r="L23" s="122"/>
      <c r="M23" s="122"/>
      <c r="N23" s="122"/>
      <c r="O23" s="96"/>
      <c r="P23" s="7"/>
      <c r="Q23" s="93">
        <v>1.5964961622092819</v>
      </c>
      <c r="R23" s="93">
        <v>1440.3256100199992</v>
      </c>
      <c r="S23" s="122" t="s">
        <v>1518</v>
      </c>
      <c r="T23" s="7"/>
      <c r="U23" s="7"/>
      <c r="V23" s="122" t="s">
        <v>1518</v>
      </c>
      <c r="W23" s="122"/>
      <c r="X23" s="122"/>
      <c r="Y23" s="7"/>
      <c r="Z23" s="7">
        <v>1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2"/>
      <c r="AL23" s="16">
        <v>45295</v>
      </c>
      <c r="AM23" s="5"/>
      <c r="AN23" s="11" t="s">
        <v>133</v>
      </c>
      <c r="AO23" s="6" t="s">
        <v>1006</v>
      </c>
      <c r="AP23" s="6" t="s">
        <v>1007</v>
      </c>
      <c r="AQ23" s="4"/>
      <c r="AR23" s="11">
        <v>7.5</v>
      </c>
      <c r="AS23" s="11">
        <v>7.5</v>
      </c>
      <c r="AT23" s="11">
        <v>22.5</v>
      </c>
      <c r="AU23" s="11"/>
    </row>
    <row r="24" spans="1:47" ht="15.75" x14ac:dyDescent="0.25">
      <c r="A24" s="114" t="s">
        <v>134</v>
      </c>
      <c r="B24" s="6" t="s">
        <v>1661</v>
      </c>
      <c r="C24" s="8" t="s">
        <v>4</v>
      </c>
      <c r="D24" s="8" t="s">
        <v>17</v>
      </c>
      <c r="E24" s="9">
        <v>2</v>
      </c>
      <c r="F24" s="9">
        <v>4</v>
      </c>
      <c r="G24" s="9">
        <v>4</v>
      </c>
      <c r="H24" s="7"/>
      <c r="I24" s="7">
        <v>6</v>
      </c>
      <c r="J24" s="7"/>
      <c r="K24" s="7"/>
      <c r="L24" s="122"/>
      <c r="M24" s="122"/>
      <c r="N24" s="122"/>
      <c r="O24" s="96"/>
      <c r="P24" s="7"/>
      <c r="Q24" s="93">
        <v>0.69181470805443745</v>
      </c>
      <c r="R24" s="93">
        <v>338.92420603333812</v>
      </c>
      <c r="S24" s="122" t="s">
        <v>1518</v>
      </c>
      <c r="T24" s="7"/>
      <c r="U24" s="7"/>
      <c r="V24" s="122" t="s">
        <v>1518</v>
      </c>
      <c r="W24" s="122"/>
      <c r="X24" s="122"/>
      <c r="Y24" s="7"/>
      <c r="Z24" s="7">
        <v>1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6">
        <v>45295</v>
      </c>
      <c r="AM24" s="4"/>
      <c r="AN24" s="6" t="s">
        <v>1010</v>
      </c>
      <c r="AO24" s="11" t="s">
        <v>215</v>
      </c>
      <c r="AP24" s="6" t="s">
        <v>126</v>
      </c>
      <c r="AQ24" s="4"/>
      <c r="AR24" s="79">
        <v>2.5</v>
      </c>
      <c r="AS24" s="11">
        <v>144</v>
      </c>
      <c r="AT24" s="11">
        <v>80</v>
      </c>
      <c r="AU24" s="11"/>
    </row>
    <row r="25" spans="1:47" ht="15.75" x14ac:dyDescent="0.25">
      <c r="A25" s="114" t="s">
        <v>139</v>
      </c>
      <c r="B25" s="6" t="s">
        <v>1662</v>
      </c>
      <c r="C25" s="9" t="s">
        <v>4</v>
      </c>
      <c r="D25" s="9" t="s">
        <v>26</v>
      </c>
      <c r="E25" s="9">
        <v>5</v>
      </c>
      <c r="F25" s="9"/>
      <c r="G25" s="9"/>
      <c r="H25" s="7">
        <v>6</v>
      </c>
      <c r="I25" s="7"/>
      <c r="J25" s="7"/>
      <c r="K25" s="7"/>
      <c r="L25" s="122"/>
      <c r="M25" s="122"/>
      <c r="N25" s="122"/>
      <c r="O25" s="96"/>
      <c r="P25" s="14">
        <v>0.3</v>
      </c>
      <c r="Q25" s="93">
        <v>6.5353438798201555</v>
      </c>
      <c r="R25" s="93">
        <v>266.88375000000008</v>
      </c>
      <c r="S25" s="122" t="s">
        <v>1518</v>
      </c>
      <c r="T25" s="7"/>
      <c r="U25" s="7"/>
      <c r="V25" s="124"/>
      <c r="W25" s="124"/>
      <c r="X25" s="124"/>
      <c r="Y25" s="12"/>
      <c r="Z25" s="7">
        <v>1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6">
        <v>45295</v>
      </c>
      <c r="AM25" s="4"/>
      <c r="AN25" s="6" t="s">
        <v>1037</v>
      </c>
      <c r="AO25" s="4"/>
      <c r="AP25" s="4"/>
      <c r="AQ25" s="4"/>
      <c r="AR25" s="11">
        <v>700</v>
      </c>
      <c r="AS25" s="11"/>
      <c r="AT25" s="11"/>
      <c r="AU25" s="11"/>
    </row>
    <row r="26" spans="1:47" ht="15.75" x14ac:dyDescent="0.25">
      <c r="A26" s="114" t="s">
        <v>140</v>
      </c>
      <c r="B26" s="6" t="s">
        <v>1060</v>
      </c>
      <c r="C26" s="8" t="s">
        <v>4</v>
      </c>
      <c r="D26" s="7" t="s">
        <v>19</v>
      </c>
      <c r="E26" s="9">
        <v>2</v>
      </c>
      <c r="F26" s="9">
        <v>4</v>
      </c>
      <c r="G26" s="9" t="s">
        <v>962</v>
      </c>
      <c r="H26" s="7"/>
      <c r="I26" s="7"/>
      <c r="J26" s="7"/>
      <c r="K26" s="7"/>
      <c r="L26" s="122" t="s">
        <v>1518</v>
      </c>
      <c r="M26" s="122" t="s">
        <v>1518</v>
      </c>
      <c r="N26" s="122"/>
      <c r="O26" s="96"/>
      <c r="P26" s="7"/>
      <c r="Q26" s="93">
        <v>0.10176016834537827</v>
      </c>
      <c r="R26" s="93">
        <v>83.632109950859942</v>
      </c>
      <c r="S26" s="122" t="s">
        <v>1518</v>
      </c>
      <c r="T26" s="7"/>
      <c r="U26" s="7"/>
      <c r="V26" s="122" t="s">
        <v>1518</v>
      </c>
      <c r="W26" s="122"/>
      <c r="X26" s="122"/>
      <c r="Y26" s="7"/>
      <c r="Z26" s="7"/>
      <c r="AA26" s="7"/>
      <c r="AB26" s="7"/>
      <c r="AC26" s="7">
        <v>1</v>
      </c>
      <c r="AD26" s="7"/>
      <c r="AE26" s="7"/>
      <c r="AF26" s="7"/>
      <c r="AG26" s="7"/>
      <c r="AH26" s="7"/>
      <c r="AI26" s="7"/>
      <c r="AJ26" s="7"/>
      <c r="AK26" s="7"/>
      <c r="AL26" s="16">
        <v>45295</v>
      </c>
      <c r="AM26" s="4"/>
      <c r="AN26" s="4" t="s">
        <v>141</v>
      </c>
      <c r="AO26" s="4" t="s">
        <v>142</v>
      </c>
      <c r="AP26" s="4"/>
      <c r="AQ26" s="4"/>
      <c r="AR26" s="11">
        <v>250</v>
      </c>
      <c r="AS26" s="11">
        <v>500</v>
      </c>
      <c r="AT26" s="11"/>
      <c r="AU26" s="11"/>
    </row>
    <row r="27" spans="1:47" ht="15.75" x14ac:dyDescent="0.25">
      <c r="A27" s="114" t="s">
        <v>928</v>
      </c>
      <c r="B27" s="6" t="s">
        <v>1061</v>
      </c>
      <c r="C27" s="7" t="s">
        <v>4</v>
      </c>
      <c r="D27" s="8" t="s">
        <v>21</v>
      </c>
      <c r="E27" s="9">
        <v>5</v>
      </c>
      <c r="F27" s="9">
        <v>15</v>
      </c>
      <c r="G27" s="9"/>
      <c r="H27" s="7"/>
      <c r="I27" s="7"/>
      <c r="J27" s="7"/>
      <c r="K27" s="7" t="s">
        <v>14</v>
      </c>
      <c r="L27" s="122"/>
      <c r="M27" s="122"/>
      <c r="N27" s="122"/>
      <c r="O27" s="96"/>
      <c r="P27" s="14">
        <v>0.3</v>
      </c>
      <c r="Q27" s="93">
        <v>8.1398986909016156</v>
      </c>
      <c r="R27" s="93">
        <v>247.0008831168829</v>
      </c>
      <c r="S27" s="122" t="s">
        <v>1518</v>
      </c>
      <c r="T27" s="7"/>
      <c r="U27" s="7"/>
      <c r="V27" s="122"/>
      <c r="W27" s="122"/>
      <c r="X27" s="122" t="s">
        <v>1518</v>
      </c>
      <c r="Y27" s="7"/>
      <c r="Z27" s="7">
        <v>1</v>
      </c>
      <c r="AA27" s="7"/>
      <c r="AB27" s="7"/>
      <c r="AC27" s="7"/>
      <c r="AD27" s="7"/>
      <c r="AE27" s="7"/>
      <c r="AF27" s="7"/>
      <c r="AG27" s="7">
        <v>1</v>
      </c>
      <c r="AH27" s="7"/>
      <c r="AI27" s="7"/>
      <c r="AJ27" s="7"/>
      <c r="AK27" s="7"/>
      <c r="AL27" s="16">
        <v>45295</v>
      </c>
      <c r="AM27" s="4"/>
      <c r="AN27" s="6" t="s">
        <v>1012</v>
      </c>
      <c r="AO27" s="4" t="s">
        <v>143</v>
      </c>
      <c r="AP27" s="4"/>
      <c r="AQ27" s="4"/>
      <c r="AR27" s="11">
        <v>175</v>
      </c>
      <c r="AS27" s="11">
        <v>240</v>
      </c>
      <c r="AT27" s="11"/>
      <c r="AU27" s="11"/>
    </row>
    <row r="28" spans="1:47" ht="15.75" x14ac:dyDescent="0.25">
      <c r="A28" s="114" t="s">
        <v>929</v>
      </c>
      <c r="B28" s="6" t="s">
        <v>1061</v>
      </c>
      <c r="C28" s="9" t="s">
        <v>4</v>
      </c>
      <c r="D28" s="8" t="s">
        <v>21</v>
      </c>
      <c r="E28" s="9">
        <v>5</v>
      </c>
      <c r="F28" s="9">
        <v>15</v>
      </c>
      <c r="G28" s="9"/>
      <c r="H28" s="7">
        <v>20</v>
      </c>
      <c r="I28" s="7"/>
      <c r="J28" s="7"/>
      <c r="K28" s="7" t="s">
        <v>120</v>
      </c>
      <c r="L28" s="122"/>
      <c r="M28" s="122"/>
      <c r="N28" s="122"/>
      <c r="O28" s="96"/>
      <c r="P28" s="14">
        <v>0.3</v>
      </c>
      <c r="Q28" s="93">
        <v>10.17487336362702</v>
      </c>
      <c r="R28" s="93">
        <v>308.75110389610359</v>
      </c>
      <c r="S28" s="122" t="s">
        <v>1518</v>
      </c>
      <c r="T28" s="7"/>
      <c r="U28" s="7"/>
      <c r="V28" s="122"/>
      <c r="W28" s="122"/>
      <c r="X28" s="122" t="s">
        <v>1518</v>
      </c>
      <c r="Y28" s="7"/>
      <c r="Z28" s="7"/>
      <c r="AA28" s="7"/>
      <c r="AB28" s="7">
        <v>1</v>
      </c>
      <c r="AC28" s="7"/>
      <c r="AD28" s="7"/>
      <c r="AE28" s="7"/>
      <c r="AF28" s="7"/>
      <c r="AG28" s="7">
        <v>1</v>
      </c>
      <c r="AH28" s="7"/>
      <c r="AI28" s="7"/>
      <c r="AJ28" s="7"/>
      <c r="AK28" s="7"/>
      <c r="AL28" s="16">
        <v>45295</v>
      </c>
      <c r="AM28" s="4"/>
      <c r="AN28" s="6" t="s">
        <v>1012</v>
      </c>
      <c r="AO28" s="4" t="s">
        <v>143</v>
      </c>
      <c r="AP28" s="4"/>
      <c r="AQ28" s="4"/>
      <c r="AR28" s="11">
        <v>175</v>
      </c>
      <c r="AS28" s="11">
        <v>240</v>
      </c>
      <c r="AT28" s="11"/>
      <c r="AU28" s="11"/>
    </row>
    <row r="29" spans="1:47" ht="15.75" x14ac:dyDescent="0.25">
      <c r="A29" s="114" t="s">
        <v>930</v>
      </c>
      <c r="B29" s="6" t="s">
        <v>1061</v>
      </c>
      <c r="C29" s="9" t="s">
        <v>4</v>
      </c>
      <c r="D29" s="8" t="s">
        <v>21</v>
      </c>
      <c r="E29" s="9">
        <v>5</v>
      </c>
      <c r="F29" s="9">
        <v>15</v>
      </c>
      <c r="G29" s="9"/>
      <c r="H29" s="7">
        <v>20</v>
      </c>
      <c r="I29" s="7"/>
      <c r="J29" s="7"/>
      <c r="K29" s="7" t="s">
        <v>80</v>
      </c>
      <c r="L29" s="122"/>
      <c r="M29" s="122"/>
      <c r="N29" s="122"/>
      <c r="O29" s="96"/>
      <c r="P29" s="14">
        <v>0.3</v>
      </c>
      <c r="Q29" s="93">
        <v>25.437183409067551</v>
      </c>
      <c r="R29" s="93">
        <v>771.87775974025908</v>
      </c>
      <c r="S29" s="122" t="s">
        <v>1518</v>
      </c>
      <c r="T29" s="7"/>
      <c r="U29" s="7"/>
      <c r="V29" s="122"/>
      <c r="W29" s="122"/>
      <c r="X29" s="122" t="s">
        <v>1518</v>
      </c>
      <c r="Y29" s="7"/>
      <c r="Z29" s="7"/>
      <c r="AA29" s="7"/>
      <c r="AB29" s="7">
        <v>1</v>
      </c>
      <c r="AC29" s="7"/>
      <c r="AD29" s="7"/>
      <c r="AE29" s="7"/>
      <c r="AF29" s="7"/>
      <c r="AG29" s="7">
        <v>1</v>
      </c>
      <c r="AH29" s="7"/>
      <c r="AI29" s="7"/>
      <c r="AJ29" s="7"/>
      <c r="AK29" s="7"/>
      <c r="AL29" s="16">
        <v>45295</v>
      </c>
      <c r="AM29" s="4"/>
      <c r="AN29" s="6" t="s">
        <v>1012</v>
      </c>
      <c r="AO29" s="4" t="s">
        <v>143</v>
      </c>
      <c r="AP29" s="4"/>
      <c r="AQ29" s="4"/>
      <c r="AR29" s="11">
        <v>175</v>
      </c>
      <c r="AS29" s="11">
        <v>240</v>
      </c>
      <c r="AT29" s="11"/>
      <c r="AU29" s="11"/>
    </row>
    <row r="30" spans="1:47" ht="28.5" x14ac:dyDescent="0.25">
      <c r="A30" s="114" t="s">
        <v>147</v>
      </c>
      <c r="B30" s="6" t="s">
        <v>1451</v>
      </c>
      <c r="C30" s="9" t="s">
        <v>4</v>
      </c>
      <c r="D30" s="9" t="s">
        <v>64</v>
      </c>
      <c r="E30" s="9">
        <v>18</v>
      </c>
      <c r="F30" s="9"/>
      <c r="G30" s="9"/>
      <c r="H30" s="7"/>
      <c r="I30" s="7"/>
      <c r="J30" s="7"/>
      <c r="K30" s="7"/>
      <c r="L30" s="122"/>
      <c r="M30" s="122"/>
      <c r="N30" s="122"/>
      <c r="O30" s="96"/>
      <c r="P30" s="7"/>
      <c r="Q30" s="93">
        <v>0.69129891228763585</v>
      </c>
      <c r="R30" s="93">
        <v>739.41818181818405</v>
      </c>
      <c r="S30" s="122" t="s">
        <v>1518</v>
      </c>
      <c r="T30" s="7"/>
      <c r="U30" s="7"/>
      <c r="V30" s="122"/>
      <c r="W30" s="122"/>
      <c r="X30" s="122" t="s">
        <v>1518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>
        <v>1</v>
      </c>
      <c r="AL30" s="16">
        <v>45295</v>
      </c>
      <c r="AM30" s="4"/>
      <c r="AN30" s="6" t="s">
        <v>994</v>
      </c>
      <c r="AO30" s="4"/>
      <c r="AP30" s="4"/>
      <c r="AQ30" s="4"/>
      <c r="AR30" s="11">
        <v>400</v>
      </c>
      <c r="AS30" s="11"/>
      <c r="AT30" s="11"/>
      <c r="AU30" s="11"/>
    </row>
    <row r="31" spans="1:47" ht="15.75" x14ac:dyDescent="0.25">
      <c r="A31" s="114" t="s">
        <v>1064</v>
      </c>
      <c r="B31" s="6" t="s">
        <v>1065</v>
      </c>
      <c r="C31" s="9" t="s">
        <v>4</v>
      </c>
      <c r="D31" s="8" t="s">
        <v>13</v>
      </c>
      <c r="E31" s="9">
        <v>18</v>
      </c>
      <c r="F31" s="9"/>
      <c r="G31" s="9"/>
      <c r="H31" s="7"/>
      <c r="I31" s="7"/>
      <c r="J31" s="7"/>
      <c r="K31" s="7"/>
      <c r="L31" s="122"/>
      <c r="M31" s="122"/>
      <c r="N31" s="122"/>
      <c r="O31" s="96"/>
      <c r="P31" s="7"/>
      <c r="Q31" s="93">
        <v>0.69129891228763585</v>
      </c>
      <c r="R31" s="93">
        <v>739.41818181818405</v>
      </c>
      <c r="S31" s="122" t="s">
        <v>1518</v>
      </c>
      <c r="T31" s="7"/>
      <c r="U31" s="7"/>
      <c r="V31" s="122"/>
      <c r="W31" s="122"/>
      <c r="X31" s="122" t="s">
        <v>1518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>
        <v>1</v>
      </c>
      <c r="AL31" s="16">
        <v>45295</v>
      </c>
      <c r="AM31" s="4"/>
      <c r="AN31" s="6" t="s">
        <v>994</v>
      </c>
      <c r="AO31" s="4"/>
      <c r="AP31" s="4"/>
      <c r="AQ31" s="4"/>
      <c r="AR31" s="11">
        <v>400</v>
      </c>
      <c r="AS31" s="11"/>
      <c r="AT31" s="11"/>
      <c r="AU31" s="11"/>
    </row>
    <row r="32" spans="1:47" ht="15.75" x14ac:dyDescent="0.25">
      <c r="A32" s="114" t="s">
        <v>1066</v>
      </c>
      <c r="B32" s="6" t="s">
        <v>1067</v>
      </c>
      <c r="C32" s="9" t="s">
        <v>4</v>
      </c>
      <c r="D32" s="9" t="s">
        <v>54</v>
      </c>
      <c r="E32" s="9">
        <v>18</v>
      </c>
      <c r="F32" s="9"/>
      <c r="G32" s="9"/>
      <c r="H32" s="7"/>
      <c r="I32" s="7"/>
      <c r="J32" s="7"/>
      <c r="K32" s="7"/>
      <c r="L32" s="122"/>
      <c r="M32" s="122"/>
      <c r="N32" s="122"/>
      <c r="O32" s="96"/>
      <c r="P32" s="7"/>
      <c r="Q32" s="93">
        <v>0.69129891228763585</v>
      </c>
      <c r="R32" s="93">
        <v>739.41818181818405</v>
      </c>
      <c r="S32" s="122" t="s">
        <v>1518</v>
      </c>
      <c r="T32" s="7"/>
      <c r="U32" s="7"/>
      <c r="V32" s="122"/>
      <c r="W32" s="122"/>
      <c r="X32" s="122" t="s">
        <v>1518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>
        <v>1</v>
      </c>
      <c r="AL32" s="16">
        <v>45295</v>
      </c>
      <c r="AM32" s="4"/>
      <c r="AN32" s="6" t="s">
        <v>994</v>
      </c>
      <c r="AO32" s="4"/>
      <c r="AP32" s="4"/>
      <c r="AQ32" s="4"/>
      <c r="AR32" s="11">
        <v>400</v>
      </c>
      <c r="AS32" s="11"/>
      <c r="AT32" s="11"/>
      <c r="AU32" s="11"/>
    </row>
    <row r="33" spans="1:47" ht="15.75" x14ac:dyDescent="0.25">
      <c r="A33" s="114" t="s">
        <v>148</v>
      </c>
      <c r="B33" s="6" t="s">
        <v>1068</v>
      </c>
      <c r="C33" s="9" t="s">
        <v>4</v>
      </c>
      <c r="D33" s="8" t="s">
        <v>29</v>
      </c>
      <c r="E33" s="9">
        <v>18</v>
      </c>
      <c r="F33" s="9"/>
      <c r="G33" s="9"/>
      <c r="H33" s="7"/>
      <c r="I33" s="7"/>
      <c r="J33" s="7"/>
      <c r="K33" s="7"/>
      <c r="L33" s="122"/>
      <c r="M33" s="122"/>
      <c r="N33" s="122"/>
      <c r="O33" s="96"/>
      <c r="P33" s="7"/>
      <c r="Q33" s="93">
        <v>0.69129891228763585</v>
      </c>
      <c r="R33" s="93">
        <v>739.41818181818405</v>
      </c>
      <c r="S33" s="122" t="s">
        <v>1518</v>
      </c>
      <c r="T33" s="7"/>
      <c r="U33" s="7"/>
      <c r="V33" s="122"/>
      <c r="W33" s="122"/>
      <c r="X33" s="122" t="s">
        <v>1518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>
        <v>1</v>
      </c>
      <c r="AL33" s="16">
        <v>45295</v>
      </c>
      <c r="AM33" s="4"/>
      <c r="AN33" s="6" t="s">
        <v>994</v>
      </c>
      <c r="AO33" s="4"/>
      <c r="AP33" s="4"/>
      <c r="AQ33" s="4"/>
      <c r="AR33" s="11">
        <v>400</v>
      </c>
      <c r="AS33" s="11"/>
      <c r="AT33" s="11"/>
      <c r="AU33" s="11"/>
    </row>
    <row r="34" spans="1:47" ht="28.5" x14ac:dyDescent="0.25">
      <c r="A34" s="114" t="s">
        <v>149</v>
      </c>
      <c r="B34" s="6" t="s">
        <v>1069</v>
      </c>
      <c r="C34" s="8" t="s">
        <v>4</v>
      </c>
      <c r="D34" s="8" t="s">
        <v>21</v>
      </c>
      <c r="E34" s="9">
        <v>2</v>
      </c>
      <c r="F34" s="9">
        <v>2</v>
      </c>
      <c r="G34" s="9"/>
      <c r="H34" s="7"/>
      <c r="I34" s="7">
        <v>3</v>
      </c>
      <c r="J34" s="7"/>
      <c r="K34" s="7"/>
      <c r="L34" s="122"/>
      <c r="M34" s="122"/>
      <c r="N34" s="122"/>
      <c r="O34" s="96"/>
      <c r="P34" s="7"/>
      <c r="Q34" s="93">
        <v>1.4387627117714321</v>
      </c>
      <c r="R34" s="93">
        <v>320.58907776193519</v>
      </c>
      <c r="S34" s="122" t="s">
        <v>1518</v>
      </c>
      <c r="T34" s="7"/>
      <c r="U34" s="7"/>
      <c r="V34" s="122" t="s">
        <v>1518</v>
      </c>
      <c r="W34" s="122"/>
      <c r="X34" s="122"/>
      <c r="Y34" s="7"/>
      <c r="Z34" s="7">
        <v>1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>
        <v>45295</v>
      </c>
      <c r="AM34" s="4"/>
      <c r="AN34" s="6" t="s">
        <v>1003</v>
      </c>
      <c r="AO34" s="6" t="s">
        <v>1006</v>
      </c>
      <c r="AP34" s="6" t="s">
        <v>1007</v>
      </c>
      <c r="AQ34" s="4"/>
      <c r="AR34" s="11">
        <v>67.5</v>
      </c>
      <c r="AS34" s="11">
        <v>45</v>
      </c>
      <c r="AT34" s="11">
        <v>90</v>
      </c>
      <c r="AU34" s="11"/>
    </row>
    <row r="35" spans="1:47" ht="28.5" x14ac:dyDescent="0.25">
      <c r="A35" s="114" t="s">
        <v>1070</v>
      </c>
      <c r="B35" s="6" t="s">
        <v>1071</v>
      </c>
      <c r="C35" s="8" t="s">
        <v>4</v>
      </c>
      <c r="D35" s="8" t="s">
        <v>13</v>
      </c>
      <c r="E35" s="9">
        <v>2</v>
      </c>
      <c r="F35" s="9">
        <v>2</v>
      </c>
      <c r="G35" s="9">
        <v>2</v>
      </c>
      <c r="H35" s="7"/>
      <c r="I35" s="7">
        <v>6</v>
      </c>
      <c r="J35" s="7"/>
      <c r="K35" s="7"/>
      <c r="L35" s="122"/>
      <c r="M35" s="122"/>
      <c r="N35" s="122"/>
      <c r="O35" s="96"/>
      <c r="P35" s="7"/>
      <c r="Q35" s="93">
        <v>2.0575380989757379</v>
      </c>
      <c r="R35" s="93">
        <v>661.73238054724072</v>
      </c>
      <c r="S35" s="122" t="s">
        <v>1518</v>
      </c>
      <c r="T35" s="7"/>
      <c r="U35" s="7"/>
      <c r="V35" s="122" t="s">
        <v>1518</v>
      </c>
      <c r="W35" s="122"/>
      <c r="X35" s="122"/>
      <c r="Y35" s="7"/>
      <c r="Z35" s="7">
        <v>1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6">
        <v>45295</v>
      </c>
      <c r="AM35" s="4"/>
      <c r="AN35" s="11" t="s">
        <v>133</v>
      </c>
      <c r="AO35" s="6" t="s">
        <v>1006</v>
      </c>
      <c r="AP35" s="11" t="s">
        <v>116</v>
      </c>
      <c r="AQ35" s="6" t="s">
        <v>1007</v>
      </c>
      <c r="AR35" s="11">
        <v>9</v>
      </c>
      <c r="AS35" s="11">
        <v>45</v>
      </c>
      <c r="AT35" s="11">
        <v>22.5</v>
      </c>
      <c r="AU35" s="11">
        <v>135</v>
      </c>
    </row>
    <row r="36" spans="1:47" ht="15.75" x14ac:dyDescent="0.25">
      <c r="A36" s="114" t="s">
        <v>912</v>
      </c>
      <c r="B36" s="6" t="s">
        <v>1073</v>
      </c>
      <c r="C36" s="8" t="s">
        <v>4</v>
      </c>
      <c r="D36" s="7" t="s">
        <v>19</v>
      </c>
      <c r="E36" s="9">
        <v>1</v>
      </c>
      <c r="F36" s="9"/>
      <c r="G36" s="9"/>
      <c r="H36" s="7"/>
      <c r="I36" s="7"/>
      <c r="J36" s="7"/>
      <c r="K36" s="7"/>
      <c r="L36" s="122" t="s">
        <v>1518</v>
      </c>
      <c r="M36" s="122" t="s">
        <v>1518</v>
      </c>
      <c r="N36" s="122"/>
      <c r="O36" s="96"/>
      <c r="P36" s="7"/>
      <c r="Q36" s="93">
        <v>1.2413294051170814E-2</v>
      </c>
      <c r="R36" s="93">
        <v>33.331421934497818</v>
      </c>
      <c r="S36" s="122" t="s">
        <v>1518</v>
      </c>
      <c r="T36" s="7"/>
      <c r="U36" s="7"/>
      <c r="V36" s="122" t="s">
        <v>1518</v>
      </c>
      <c r="W36" s="122"/>
      <c r="X36" s="122" t="s">
        <v>1518</v>
      </c>
      <c r="Y36" s="7"/>
      <c r="Z36" s="7">
        <v>1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6">
        <v>45295</v>
      </c>
      <c r="AM36" s="4"/>
      <c r="AN36" s="4" t="s">
        <v>151</v>
      </c>
      <c r="AO36" s="6" t="s">
        <v>300</v>
      </c>
      <c r="AP36" s="4"/>
      <c r="AQ36" s="4"/>
      <c r="AR36" s="11">
        <v>50</v>
      </c>
      <c r="AS36" s="11">
        <v>125</v>
      </c>
      <c r="AT36" s="11"/>
      <c r="AU36" s="11"/>
    </row>
    <row r="37" spans="1:47" ht="15.75" x14ac:dyDescent="0.25">
      <c r="A37" s="114" t="s">
        <v>150</v>
      </c>
      <c r="B37" s="6" t="s">
        <v>1074</v>
      </c>
      <c r="C37" s="8" t="s">
        <v>4</v>
      </c>
      <c r="D37" s="8" t="s">
        <v>13</v>
      </c>
      <c r="E37" s="9">
        <v>1</v>
      </c>
      <c r="F37" s="9"/>
      <c r="G37" s="9"/>
      <c r="H37" s="7"/>
      <c r="I37" s="7"/>
      <c r="J37" s="7"/>
      <c r="K37" s="7"/>
      <c r="L37" s="122" t="s">
        <v>1518</v>
      </c>
      <c r="M37" s="122" t="s">
        <v>1518</v>
      </c>
      <c r="N37" s="122"/>
      <c r="O37" s="96"/>
      <c r="P37" s="7"/>
      <c r="Q37" s="93">
        <v>1.2413294051170814E-2</v>
      </c>
      <c r="R37" s="93">
        <v>33.331421934497818</v>
      </c>
      <c r="S37" s="122" t="s">
        <v>1518</v>
      </c>
      <c r="T37" s="7"/>
      <c r="U37" s="7"/>
      <c r="V37" s="122" t="s">
        <v>1518</v>
      </c>
      <c r="W37" s="122"/>
      <c r="X37" s="122" t="s">
        <v>1518</v>
      </c>
      <c r="Y37" s="7"/>
      <c r="Z37" s="7">
        <v>1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6">
        <v>45295</v>
      </c>
      <c r="AM37" s="4"/>
      <c r="AN37" s="4" t="s">
        <v>151</v>
      </c>
      <c r="AO37" s="6" t="s">
        <v>300</v>
      </c>
      <c r="AP37" s="4"/>
      <c r="AQ37" s="4"/>
      <c r="AR37" s="11">
        <v>50</v>
      </c>
      <c r="AS37" s="11">
        <v>125</v>
      </c>
      <c r="AT37" s="11"/>
      <c r="AU37" s="11"/>
    </row>
    <row r="38" spans="1:47" ht="28.5" x14ac:dyDescent="0.25">
      <c r="A38" s="114" t="s">
        <v>152</v>
      </c>
      <c r="B38" s="6" t="s">
        <v>1076</v>
      </c>
      <c r="C38" s="8" t="s">
        <v>4</v>
      </c>
      <c r="D38" s="8" t="s">
        <v>29</v>
      </c>
      <c r="E38" s="9">
        <v>1</v>
      </c>
      <c r="F38" s="9">
        <v>2</v>
      </c>
      <c r="G38" s="9"/>
      <c r="H38" s="7"/>
      <c r="I38" s="7"/>
      <c r="J38" s="7"/>
      <c r="K38" s="7"/>
      <c r="L38" s="122" t="s">
        <v>1518</v>
      </c>
      <c r="M38" s="122" t="s">
        <v>1518</v>
      </c>
      <c r="N38" s="122"/>
      <c r="O38" s="96"/>
      <c r="P38" s="7"/>
      <c r="Q38" s="93">
        <v>0.46931884986086692</v>
      </c>
      <c r="R38" s="93">
        <v>101.93654183165089</v>
      </c>
      <c r="S38" s="122" t="s">
        <v>1518</v>
      </c>
      <c r="T38" s="7"/>
      <c r="U38" s="7"/>
      <c r="V38" s="122" t="s">
        <v>1518</v>
      </c>
      <c r="W38" s="122"/>
      <c r="X38" s="122"/>
      <c r="Y38" s="7"/>
      <c r="Z38" s="7">
        <v>1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6">
        <v>45295</v>
      </c>
      <c r="AM38" s="4"/>
      <c r="AN38" s="4" t="s">
        <v>151</v>
      </c>
      <c r="AO38" s="4" t="s">
        <v>153</v>
      </c>
      <c r="AP38" s="6" t="s">
        <v>300</v>
      </c>
      <c r="AQ38" s="4"/>
      <c r="AR38" s="11">
        <v>33.299999999999997</v>
      </c>
      <c r="AS38" s="11">
        <v>8.33</v>
      </c>
      <c r="AT38" s="11">
        <v>8.33</v>
      </c>
      <c r="AU38" s="11"/>
    </row>
    <row r="39" spans="1:47" ht="28.5" x14ac:dyDescent="0.25">
      <c r="A39" s="112" t="s">
        <v>154</v>
      </c>
      <c r="B39" s="6" t="s">
        <v>1078</v>
      </c>
      <c r="C39" s="8" t="s">
        <v>4</v>
      </c>
      <c r="D39" s="8" t="s">
        <v>29</v>
      </c>
      <c r="E39" s="9">
        <v>1</v>
      </c>
      <c r="F39" s="9">
        <v>2</v>
      </c>
      <c r="G39" s="9"/>
      <c r="H39" s="7"/>
      <c r="I39" s="7">
        <v>6</v>
      </c>
      <c r="J39" s="7"/>
      <c r="K39" s="7"/>
      <c r="L39" s="122" t="s">
        <v>1518</v>
      </c>
      <c r="M39" s="122" t="s">
        <v>1518</v>
      </c>
      <c r="N39" s="122"/>
      <c r="O39" s="96"/>
      <c r="P39" s="7"/>
      <c r="Q39" s="93">
        <v>0.31222645849546959</v>
      </c>
      <c r="R39" s="93">
        <v>181.31005550985151</v>
      </c>
      <c r="S39" s="122" t="s">
        <v>1518</v>
      </c>
      <c r="T39" s="7"/>
      <c r="U39" s="7"/>
      <c r="V39" s="122"/>
      <c r="W39" s="122"/>
      <c r="X39" s="122" t="s">
        <v>1518</v>
      </c>
      <c r="Y39" s="7"/>
      <c r="Z39" s="7">
        <v>1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6">
        <v>45295</v>
      </c>
      <c r="AM39" s="4"/>
      <c r="AN39" s="4" t="s">
        <v>151</v>
      </c>
      <c r="AO39" s="6" t="s">
        <v>1010</v>
      </c>
      <c r="AP39" s="6" t="s">
        <v>300</v>
      </c>
      <c r="AQ39" s="4"/>
      <c r="AR39" s="11">
        <v>45</v>
      </c>
      <c r="AS39" s="11">
        <v>5</v>
      </c>
      <c r="AT39" s="11">
        <v>11.25</v>
      </c>
      <c r="AU39" s="11"/>
    </row>
    <row r="40" spans="1:47" ht="15.75" x14ac:dyDescent="0.25">
      <c r="A40" s="112" t="s">
        <v>1835</v>
      </c>
      <c r="B40" s="6" t="s">
        <v>1837</v>
      </c>
      <c r="C40" s="8" t="s">
        <v>4</v>
      </c>
      <c r="D40" s="8" t="s">
        <v>26</v>
      </c>
      <c r="E40" s="9">
        <v>2</v>
      </c>
      <c r="F40" s="9"/>
      <c r="G40" s="9"/>
      <c r="H40" s="7">
        <v>6</v>
      </c>
      <c r="I40" s="7"/>
      <c r="J40" s="7"/>
      <c r="K40" s="7" t="s">
        <v>14</v>
      </c>
      <c r="L40" s="122"/>
      <c r="M40" s="122"/>
      <c r="N40" s="122"/>
      <c r="O40" s="96"/>
      <c r="P40" s="7"/>
      <c r="Q40" s="93">
        <v>3.495152312259183</v>
      </c>
      <c r="R40" s="93">
        <v>182.93661941489336</v>
      </c>
      <c r="S40" s="122" t="s">
        <v>1518</v>
      </c>
      <c r="T40" s="7"/>
      <c r="U40" s="7"/>
      <c r="V40" s="122"/>
      <c r="W40" s="122"/>
      <c r="X40" s="122" t="s">
        <v>1518</v>
      </c>
      <c r="Y40" s="7"/>
      <c r="Z40" s="7"/>
      <c r="AA40" s="7"/>
      <c r="AB40" s="7"/>
      <c r="AC40" s="7">
        <v>1</v>
      </c>
      <c r="AD40" s="7"/>
      <c r="AE40" s="7"/>
      <c r="AF40" s="7"/>
      <c r="AG40" s="7"/>
      <c r="AH40" s="7"/>
      <c r="AI40" s="7"/>
      <c r="AJ40" s="7"/>
      <c r="AK40" s="7"/>
      <c r="AL40" s="16">
        <v>45295</v>
      </c>
      <c r="AM40" s="4"/>
      <c r="AN40" s="11" t="s">
        <v>195</v>
      </c>
      <c r="AO40" s="11" t="s">
        <v>211</v>
      </c>
      <c r="AP40" s="4"/>
      <c r="AQ40" s="4"/>
      <c r="AR40" s="11">
        <v>22.5</v>
      </c>
      <c r="AS40" s="11">
        <v>22.5</v>
      </c>
      <c r="AT40" s="11"/>
      <c r="AU40" s="11"/>
    </row>
    <row r="41" spans="1:47" ht="15.75" x14ac:dyDescent="0.25">
      <c r="A41" s="112" t="s">
        <v>1836</v>
      </c>
      <c r="B41" s="6" t="s">
        <v>1837</v>
      </c>
      <c r="C41" s="8" t="s">
        <v>4</v>
      </c>
      <c r="D41" s="8" t="s">
        <v>26</v>
      </c>
      <c r="E41" s="9">
        <v>2</v>
      </c>
      <c r="F41" s="9"/>
      <c r="G41" s="9"/>
      <c r="H41" s="7">
        <v>6</v>
      </c>
      <c r="I41" s="7"/>
      <c r="J41" s="7"/>
      <c r="K41" s="7" t="s">
        <v>120</v>
      </c>
      <c r="L41" s="122"/>
      <c r="M41" s="122"/>
      <c r="N41" s="122"/>
      <c r="O41" s="96"/>
      <c r="P41" s="7"/>
      <c r="Q41" s="93">
        <v>4.6602030830122443</v>
      </c>
      <c r="R41" s="93">
        <v>243.91549255319114</v>
      </c>
      <c r="S41" s="122" t="s">
        <v>1518</v>
      </c>
      <c r="T41" s="7"/>
      <c r="U41" s="7"/>
      <c r="V41" s="122"/>
      <c r="W41" s="122"/>
      <c r="X41" s="122" t="s">
        <v>1518</v>
      </c>
      <c r="Y41" s="7"/>
      <c r="Z41" s="7"/>
      <c r="AA41" s="7"/>
      <c r="AB41" s="7"/>
      <c r="AC41" s="7">
        <v>1</v>
      </c>
      <c r="AD41" s="7"/>
      <c r="AE41" s="7"/>
      <c r="AF41" s="7"/>
      <c r="AG41" s="7"/>
      <c r="AH41" s="7"/>
      <c r="AI41" s="7"/>
      <c r="AJ41" s="7"/>
      <c r="AK41" s="7"/>
      <c r="AL41" s="16">
        <v>45295</v>
      </c>
      <c r="AM41" s="4"/>
      <c r="AN41" s="11" t="s">
        <v>195</v>
      </c>
      <c r="AO41" s="11" t="s">
        <v>211</v>
      </c>
      <c r="AP41" s="4"/>
      <c r="AQ41" s="4"/>
      <c r="AR41" s="11">
        <v>22.5</v>
      </c>
      <c r="AS41" s="11">
        <v>22.5</v>
      </c>
      <c r="AT41" s="11"/>
      <c r="AU41" s="11"/>
    </row>
    <row r="42" spans="1:47" ht="15.75" x14ac:dyDescent="0.25">
      <c r="A42" s="112" t="s">
        <v>1454</v>
      </c>
      <c r="B42" s="6" t="s">
        <v>1079</v>
      </c>
      <c r="C42" s="9" t="s">
        <v>4</v>
      </c>
      <c r="D42" s="8" t="s">
        <v>175</v>
      </c>
      <c r="E42" s="9">
        <v>32</v>
      </c>
      <c r="F42" s="9"/>
      <c r="G42" s="9"/>
      <c r="H42" s="7">
        <v>20</v>
      </c>
      <c r="I42" s="7"/>
      <c r="J42" s="7"/>
      <c r="K42" s="7" t="s">
        <v>120</v>
      </c>
      <c r="L42" s="122"/>
      <c r="M42" s="122"/>
      <c r="N42" s="122"/>
      <c r="O42" s="96"/>
      <c r="P42" s="14">
        <v>0.3</v>
      </c>
      <c r="Q42" s="93">
        <v>6.6543406448163935</v>
      </c>
      <c r="R42" s="93">
        <v>369.70909090909174</v>
      </c>
      <c r="S42" s="122" t="s">
        <v>1518</v>
      </c>
      <c r="T42" s="7"/>
      <c r="U42" s="7"/>
      <c r="V42" s="122"/>
      <c r="W42" s="122"/>
      <c r="X42" s="122" t="s">
        <v>1518</v>
      </c>
      <c r="Y42" s="7"/>
      <c r="Z42" s="7"/>
      <c r="AA42" s="7"/>
      <c r="AB42" s="7">
        <v>1</v>
      </c>
      <c r="AC42" s="7"/>
      <c r="AD42" s="7"/>
      <c r="AE42" s="7"/>
      <c r="AF42" s="7">
        <v>1</v>
      </c>
      <c r="AG42" s="7"/>
      <c r="AH42" s="7"/>
      <c r="AI42" s="7">
        <v>1</v>
      </c>
      <c r="AJ42" s="7"/>
      <c r="AK42" s="7"/>
      <c r="AL42" s="16">
        <v>45295</v>
      </c>
      <c r="AM42" s="4"/>
      <c r="AN42" s="11" t="s">
        <v>155</v>
      </c>
      <c r="AO42" s="4"/>
      <c r="AP42" s="4"/>
      <c r="AQ42" s="4"/>
      <c r="AR42" s="11">
        <v>600</v>
      </c>
      <c r="AS42" s="11"/>
      <c r="AT42" s="11"/>
      <c r="AU42" s="11"/>
    </row>
    <row r="43" spans="1:47" ht="15.75" x14ac:dyDescent="0.25">
      <c r="A43" s="112" t="s">
        <v>1452</v>
      </c>
      <c r="B43" s="6" t="s">
        <v>1079</v>
      </c>
      <c r="C43" s="9" t="s">
        <v>4</v>
      </c>
      <c r="D43" s="8" t="s">
        <v>175</v>
      </c>
      <c r="E43" s="9">
        <v>32</v>
      </c>
      <c r="F43" s="9"/>
      <c r="G43" s="9"/>
      <c r="H43" s="7">
        <v>20</v>
      </c>
      <c r="I43" s="7"/>
      <c r="J43" s="7"/>
      <c r="K43" s="7" t="s">
        <v>80</v>
      </c>
      <c r="L43" s="122"/>
      <c r="M43" s="122"/>
      <c r="N43" s="122"/>
      <c r="O43" s="96"/>
      <c r="P43" s="14">
        <v>0.3</v>
      </c>
      <c r="Q43" s="93">
        <v>13.308681289632787</v>
      </c>
      <c r="R43" s="93">
        <v>739.41818181818348</v>
      </c>
      <c r="S43" s="122" t="s">
        <v>1518</v>
      </c>
      <c r="T43" s="7"/>
      <c r="U43" s="7"/>
      <c r="V43" s="122"/>
      <c r="W43" s="122"/>
      <c r="X43" s="122" t="s">
        <v>1518</v>
      </c>
      <c r="Y43" s="7"/>
      <c r="Z43" s="7"/>
      <c r="AA43" s="7"/>
      <c r="AB43" s="7">
        <v>1</v>
      </c>
      <c r="AC43" s="7"/>
      <c r="AD43" s="7"/>
      <c r="AE43" s="7">
        <v>1</v>
      </c>
      <c r="AF43" s="7">
        <v>1</v>
      </c>
      <c r="AG43" s="7"/>
      <c r="AH43" s="7">
        <v>1</v>
      </c>
      <c r="AI43" s="7">
        <v>1</v>
      </c>
      <c r="AJ43" s="7"/>
      <c r="AK43" s="7"/>
      <c r="AL43" s="16">
        <v>45295</v>
      </c>
      <c r="AM43" s="4"/>
      <c r="AN43" s="11" t="s">
        <v>155</v>
      </c>
      <c r="AO43" s="4"/>
      <c r="AP43" s="4"/>
      <c r="AQ43" s="4"/>
      <c r="AR43" s="11">
        <v>600</v>
      </c>
      <c r="AS43" s="11"/>
      <c r="AT43" s="11"/>
      <c r="AU43" s="11"/>
    </row>
    <row r="44" spans="1:47" ht="15.75" x14ac:dyDescent="0.25">
      <c r="A44" s="112" t="s">
        <v>1453</v>
      </c>
      <c r="B44" s="6" t="s">
        <v>1079</v>
      </c>
      <c r="C44" s="9" t="s">
        <v>4</v>
      </c>
      <c r="D44" s="8" t="s">
        <v>175</v>
      </c>
      <c r="E44" s="9">
        <v>32</v>
      </c>
      <c r="F44" s="9"/>
      <c r="G44" s="9"/>
      <c r="H44" s="7">
        <v>20</v>
      </c>
      <c r="I44" s="7"/>
      <c r="J44" s="7"/>
      <c r="K44" s="7" t="s">
        <v>59</v>
      </c>
      <c r="L44" s="122"/>
      <c r="M44" s="122"/>
      <c r="N44" s="122"/>
      <c r="O44" s="96"/>
      <c r="P44" s="14">
        <v>0.3</v>
      </c>
      <c r="Q44" s="93">
        <v>19.963021934449181</v>
      </c>
      <c r="R44" s="93">
        <v>1109.1272727272753</v>
      </c>
      <c r="S44" s="122" t="s">
        <v>1518</v>
      </c>
      <c r="T44" s="7"/>
      <c r="U44" s="7"/>
      <c r="V44" s="122"/>
      <c r="W44" s="122"/>
      <c r="X44" s="122" t="s">
        <v>1518</v>
      </c>
      <c r="Y44" s="7"/>
      <c r="Z44" s="7"/>
      <c r="AA44" s="7"/>
      <c r="AB44" s="7">
        <v>1</v>
      </c>
      <c r="AC44" s="7"/>
      <c r="AD44" s="7"/>
      <c r="AE44" s="7">
        <v>1</v>
      </c>
      <c r="AF44" s="7">
        <v>1</v>
      </c>
      <c r="AG44" s="7"/>
      <c r="AH44" s="7">
        <v>1</v>
      </c>
      <c r="AI44" s="7"/>
      <c r="AJ44" s="7"/>
      <c r="AK44" s="7"/>
      <c r="AL44" s="16">
        <v>45295</v>
      </c>
      <c r="AM44" s="4"/>
      <c r="AN44" s="11" t="s">
        <v>155</v>
      </c>
      <c r="AO44" s="4"/>
      <c r="AP44" s="4"/>
      <c r="AQ44" s="4"/>
      <c r="AR44" s="11">
        <v>600</v>
      </c>
      <c r="AS44" s="11"/>
      <c r="AT44" s="11"/>
      <c r="AU44" s="11"/>
    </row>
    <row r="45" spans="1:47" ht="15.75" x14ac:dyDescent="0.25">
      <c r="A45" s="112" t="s">
        <v>156</v>
      </c>
      <c r="B45" s="6" t="s">
        <v>1467</v>
      </c>
      <c r="C45" s="9" t="s">
        <v>4</v>
      </c>
      <c r="D45" s="9" t="s">
        <v>29</v>
      </c>
      <c r="E45" s="9">
        <v>4</v>
      </c>
      <c r="F45" s="9"/>
      <c r="G45" s="9"/>
      <c r="H45" s="7"/>
      <c r="I45" s="7"/>
      <c r="J45" s="7"/>
      <c r="K45" s="7"/>
      <c r="L45" s="122"/>
      <c r="M45" s="122"/>
      <c r="N45" s="122"/>
      <c r="O45" s="96"/>
      <c r="P45" s="7"/>
      <c r="Q45" s="93">
        <v>4.5893212685087947E-2</v>
      </c>
      <c r="R45" s="93">
        <v>76.252499999999827</v>
      </c>
      <c r="S45" s="122" t="s">
        <v>1518</v>
      </c>
      <c r="T45" s="7"/>
      <c r="U45" s="7"/>
      <c r="V45" s="122" t="s">
        <v>1518</v>
      </c>
      <c r="W45" s="122"/>
      <c r="X45" s="122"/>
      <c r="Y45" s="7"/>
      <c r="Z45" s="7">
        <v>1</v>
      </c>
      <c r="AA45" s="7"/>
      <c r="AB45" s="7"/>
      <c r="AC45" s="7">
        <v>1</v>
      </c>
      <c r="AD45" s="7"/>
      <c r="AE45" s="7"/>
      <c r="AF45" s="7"/>
      <c r="AG45" s="7"/>
      <c r="AH45" s="7"/>
      <c r="AI45" s="7"/>
      <c r="AJ45" s="7"/>
      <c r="AK45" s="7"/>
      <c r="AL45" s="16">
        <v>45295</v>
      </c>
      <c r="AM45" s="4"/>
      <c r="AN45" s="11" t="s">
        <v>142</v>
      </c>
      <c r="AO45" s="4"/>
      <c r="AP45" s="4"/>
      <c r="AQ45" s="4"/>
      <c r="AR45" s="11">
        <v>480</v>
      </c>
      <c r="AS45" s="11"/>
      <c r="AT45" s="11"/>
      <c r="AU45" s="11"/>
    </row>
    <row r="46" spans="1:47" ht="15.75" x14ac:dyDescent="0.25">
      <c r="A46" s="112" t="s">
        <v>1080</v>
      </c>
      <c r="B46" s="6" t="s">
        <v>1081</v>
      </c>
      <c r="C46" s="9" t="s">
        <v>4</v>
      </c>
      <c r="D46" s="9" t="s">
        <v>26</v>
      </c>
      <c r="E46" s="9">
        <v>4</v>
      </c>
      <c r="F46" s="9">
        <v>4</v>
      </c>
      <c r="G46" s="9"/>
      <c r="H46" s="7"/>
      <c r="I46" s="7"/>
      <c r="J46" s="7"/>
      <c r="K46" s="7"/>
      <c r="L46" s="122"/>
      <c r="M46" s="122"/>
      <c r="N46" s="122"/>
      <c r="O46" s="96"/>
      <c r="P46" s="7"/>
      <c r="Q46" s="93">
        <v>2.3327956405098589</v>
      </c>
      <c r="R46" s="93">
        <v>30.657571799999928</v>
      </c>
      <c r="S46" s="122" t="s">
        <v>1518</v>
      </c>
      <c r="T46" s="7"/>
      <c r="U46" s="7"/>
      <c r="V46" s="122" t="s">
        <v>1518</v>
      </c>
      <c r="W46" s="122"/>
      <c r="X46" s="122" t="s">
        <v>1518</v>
      </c>
      <c r="Y46" s="7"/>
      <c r="Z46" s="7">
        <v>1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>
        <v>1</v>
      </c>
      <c r="AL46" s="16">
        <v>45295</v>
      </c>
      <c r="AM46" s="4"/>
      <c r="AN46" s="4" t="s">
        <v>142</v>
      </c>
      <c r="AO46" s="4" t="s">
        <v>157</v>
      </c>
      <c r="AP46" s="4"/>
      <c r="AQ46" s="4"/>
      <c r="AR46" s="11">
        <v>36</v>
      </c>
      <c r="AS46" s="11">
        <v>385</v>
      </c>
      <c r="AT46" s="11"/>
      <c r="AU46" s="11"/>
    </row>
    <row r="47" spans="1:47" ht="15.75" x14ac:dyDescent="0.25">
      <c r="A47" s="112" t="s">
        <v>158</v>
      </c>
      <c r="B47" s="6" t="s">
        <v>1082</v>
      </c>
      <c r="C47" s="8" t="s">
        <v>4</v>
      </c>
      <c r="D47" s="9" t="s">
        <v>26</v>
      </c>
      <c r="E47" s="9">
        <v>27</v>
      </c>
      <c r="F47" s="9"/>
      <c r="G47" s="9"/>
      <c r="H47" s="7"/>
      <c r="I47" s="7"/>
      <c r="J47" s="7"/>
      <c r="K47" s="7"/>
      <c r="L47" s="122"/>
      <c r="M47" s="122"/>
      <c r="N47" s="122"/>
      <c r="O47" s="96"/>
      <c r="P47" s="14">
        <v>0.3</v>
      </c>
      <c r="Q47" s="93">
        <v>1.13974582830635</v>
      </c>
      <c r="R47" s="93">
        <v>187.50547735294077</v>
      </c>
      <c r="S47" s="122" t="s">
        <v>1518</v>
      </c>
      <c r="T47" s="7"/>
      <c r="U47" s="7"/>
      <c r="V47" s="122" t="s">
        <v>1518</v>
      </c>
      <c r="W47" s="122"/>
      <c r="X47" s="122" t="s">
        <v>1518</v>
      </c>
      <c r="Y47" s="7"/>
      <c r="Z47" s="7"/>
      <c r="AA47" s="7"/>
      <c r="AB47" s="7"/>
      <c r="AC47" s="7">
        <v>1</v>
      </c>
      <c r="AD47" s="7"/>
      <c r="AE47" s="7"/>
      <c r="AF47" s="7"/>
      <c r="AG47" s="7"/>
      <c r="AH47" s="7"/>
      <c r="AI47" s="7"/>
      <c r="AJ47" s="7"/>
      <c r="AK47" s="7"/>
      <c r="AL47" s="16">
        <v>45295</v>
      </c>
      <c r="AM47" s="4"/>
      <c r="AN47" s="4" t="s">
        <v>159</v>
      </c>
      <c r="AO47" s="4" t="s">
        <v>211</v>
      </c>
      <c r="AP47" s="4"/>
      <c r="AQ47" s="4"/>
      <c r="AR47" s="11">
        <v>44</v>
      </c>
      <c r="AS47" s="11">
        <v>22</v>
      </c>
      <c r="AT47" s="11"/>
      <c r="AU47" s="11"/>
    </row>
    <row r="48" spans="1:47" ht="24.75" x14ac:dyDescent="0.25">
      <c r="A48" s="112" t="s">
        <v>160</v>
      </c>
      <c r="B48" s="6" t="s">
        <v>1083</v>
      </c>
      <c r="C48" s="8" t="s">
        <v>4</v>
      </c>
      <c r="D48" s="7" t="s">
        <v>1531</v>
      </c>
      <c r="E48" s="9">
        <v>6</v>
      </c>
      <c r="F48" s="9"/>
      <c r="G48" s="9"/>
      <c r="H48" s="7"/>
      <c r="I48" s="7">
        <v>3</v>
      </c>
      <c r="J48" s="7"/>
      <c r="K48" s="7"/>
      <c r="L48" s="122" t="s">
        <v>1518</v>
      </c>
      <c r="M48" s="122" t="s">
        <v>1518</v>
      </c>
      <c r="N48" s="122" t="s">
        <v>1518</v>
      </c>
      <c r="O48" s="96" t="s">
        <v>1521</v>
      </c>
      <c r="P48" s="7"/>
      <c r="Q48" s="93">
        <v>1.0963567907586515E-2</v>
      </c>
      <c r="R48" s="93">
        <v>74.844761538461754</v>
      </c>
      <c r="S48" s="122" t="s">
        <v>1518</v>
      </c>
      <c r="T48" s="7"/>
      <c r="U48" s="7"/>
      <c r="V48" s="122" t="s">
        <v>1518</v>
      </c>
      <c r="W48" s="122"/>
      <c r="X48" s="122" t="s">
        <v>1518</v>
      </c>
      <c r="Y48" s="7"/>
      <c r="Z48" s="7">
        <v>1</v>
      </c>
      <c r="AA48" s="7"/>
      <c r="AB48" s="7">
        <v>1</v>
      </c>
      <c r="AC48" s="7">
        <v>1</v>
      </c>
      <c r="AD48" s="7"/>
      <c r="AE48" s="7"/>
      <c r="AF48" s="7">
        <v>1</v>
      </c>
      <c r="AG48" s="7">
        <v>1</v>
      </c>
      <c r="AH48" s="7"/>
      <c r="AI48" s="7"/>
      <c r="AJ48" s="7"/>
      <c r="AK48" s="7">
        <v>1</v>
      </c>
      <c r="AL48" s="16">
        <v>45295</v>
      </c>
      <c r="AM48" s="16"/>
      <c r="AN48" s="4" t="s">
        <v>161</v>
      </c>
      <c r="AO48" s="4"/>
      <c r="AP48" s="4"/>
      <c r="AQ48" s="4"/>
      <c r="AR48" s="11">
        <v>870</v>
      </c>
      <c r="AS48" s="11"/>
      <c r="AT48" s="11"/>
      <c r="AU48" s="11"/>
    </row>
    <row r="49" spans="1:47" ht="15.75" x14ac:dyDescent="0.25">
      <c r="A49" s="112" t="s">
        <v>1463</v>
      </c>
      <c r="B49" s="6" t="s">
        <v>1084</v>
      </c>
      <c r="C49" s="9" t="s">
        <v>4</v>
      </c>
      <c r="D49" s="9" t="s">
        <v>26</v>
      </c>
      <c r="E49" s="9">
        <v>32</v>
      </c>
      <c r="F49" s="9"/>
      <c r="G49" s="9"/>
      <c r="H49" s="7">
        <v>20</v>
      </c>
      <c r="I49" s="7"/>
      <c r="J49" s="7"/>
      <c r="K49" s="7" t="s">
        <v>120</v>
      </c>
      <c r="L49" s="122"/>
      <c r="M49" s="122"/>
      <c r="N49" s="122"/>
      <c r="O49" s="96"/>
      <c r="P49" s="14">
        <v>0.3</v>
      </c>
      <c r="Q49" s="93">
        <v>6.6543406448163935</v>
      </c>
      <c r="R49" s="93">
        <v>369.70909090909174</v>
      </c>
      <c r="S49" s="122" t="s">
        <v>1518</v>
      </c>
      <c r="T49" s="7"/>
      <c r="U49" s="7"/>
      <c r="V49" s="122"/>
      <c r="W49" s="122"/>
      <c r="X49" s="122" t="s">
        <v>1518</v>
      </c>
      <c r="Y49" s="7"/>
      <c r="Z49" s="7"/>
      <c r="AA49" s="7"/>
      <c r="AB49" s="7">
        <v>1</v>
      </c>
      <c r="AC49" s="7"/>
      <c r="AD49" s="7"/>
      <c r="AE49" s="7"/>
      <c r="AF49" s="7">
        <v>1</v>
      </c>
      <c r="AG49" s="7"/>
      <c r="AH49" s="7"/>
      <c r="AI49" s="7"/>
      <c r="AJ49" s="7"/>
      <c r="AK49" s="7"/>
      <c r="AL49" s="16">
        <v>45295</v>
      </c>
      <c r="AM49" s="4"/>
      <c r="AN49" s="11" t="s">
        <v>155</v>
      </c>
      <c r="AO49" s="4"/>
      <c r="AP49" s="4"/>
      <c r="AQ49" s="4"/>
      <c r="AR49" s="11">
        <v>600</v>
      </c>
      <c r="AS49" s="11"/>
      <c r="AT49" s="11"/>
      <c r="AU49" s="11"/>
    </row>
    <row r="50" spans="1:47" ht="15.75" x14ac:dyDescent="0.25">
      <c r="A50" s="112" t="s">
        <v>1462</v>
      </c>
      <c r="B50" s="6" t="s">
        <v>1084</v>
      </c>
      <c r="C50" s="9" t="s">
        <v>4</v>
      </c>
      <c r="D50" s="9" t="s">
        <v>26</v>
      </c>
      <c r="E50" s="9">
        <v>32</v>
      </c>
      <c r="F50" s="9"/>
      <c r="G50" s="9"/>
      <c r="H50" s="7">
        <v>20</v>
      </c>
      <c r="I50" s="7"/>
      <c r="J50" s="7"/>
      <c r="K50" s="7" t="s">
        <v>80</v>
      </c>
      <c r="L50" s="122"/>
      <c r="M50" s="122"/>
      <c r="N50" s="122"/>
      <c r="O50" s="96"/>
      <c r="P50" s="14">
        <v>0.3</v>
      </c>
      <c r="Q50" s="93">
        <v>13.308681289632787</v>
      </c>
      <c r="R50" s="93">
        <v>739.41818181818348</v>
      </c>
      <c r="S50" s="122" t="s">
        <v>1518</v>
      </c>
      <c r="T50" s="7"/>
      <c r="U50" s="7"/>
      <c r="V50" s="122"/>
      <c r="W50" s="122"/>
      <c r="X50" s="122" t="s">
        <v>1518</v>
      </c>
      <c r="Y50" s="7"/>
      <c r="Z50" s="7"/>
      <c r="AA50" s="7"/>
      <c r="AB50" s="7">
        <v>1</v>
      </c>
      <c r="AC50" s="7"/>
      <c r="AD50" s="7"/>
      <c r="AE50" s="7">
        <v>1</v>
      </c>
      <c r="AF50" s="7">
        <v>1</v>
      </c>
      <c r="AG50" s="7"/>
      <c r="AH50" s="7">
        <v>1</v>
      </c>
      <c r="AI50" s="7"/>
      <c r="AJ50" s="7"/>
      <c r="AK50" s="7"/>
      <c r="AL50" s="16">
        <v>45295</v>
      </c>
      <c r="AM50" s="4"/>
      <c r="AN50" s="11" t="s">
        <v>155</v>
      </c>
      <c r="AO50" s="4"/>
      <c r="AP50" s="4"/>
      <c r="AQ50" s="4"/>
      <c r="AR50" s="11">
        <v>600</v>
      </c>
      <c r="AS50" s="11"/>
      <c r="AT50" s="11"/>
      <c r="AU50" s="11"/>
    </row>
    <row r="51" spans="1:47" ht="15.75" x14ac:dyDescent="0.25">
      <c r="A51" s="112" t="s">
        <v>1461</v>
      </c>
      <c r="B51" s="6" t="s">
        <v>1084</v>
      </c>
      <c r="C51" s="9" t="s">
        <v>4</v>
      </c>
      <c r="D51" s="9" t="s">
        <v>26</v>
      </c>
      <c r="E51" s="9">
        <v>32</v>
      </c>
      <c r="F51" s="9"/>
      <c r="G51" s="9"/>
      <c r="H51" s="7">
        <v>20</v>
      </c>
      <c r="I51" s="7"/>
      <c r="J51" s="7"/>
      <c r="K51" s="7" t="s">
        <v>59</v>
      </c>
      <c r="L51" s="122"/>
      <c r="M51" s="122"/>
      <c r="N51" s="122"/>
      <c r="O51" s="96"/>
      <c r="P51" s="14">
        <v>0.3</v>
      </c>
      <c r="Q51" s="93">
        <v>19.963021934449181</v>
      </c>
      <c r="R51" s="93">
        <v>1109.1272727272753</v>
      </c>
      <c r="S51" s="122" t="s">
        <v>1518</v>
      </c>
      <c r="T51" s="7"/>
      <c r="U51" s="7"/>
      <c r="V51" s="122"/>
      <c r="W51" s="122"/>
      <c r="X51" s="122" t="s">
        <v>1518</v>
      </c>
      <c r="Y51" s="7"/>
      <c r="Z51" s="7"/>
      <c r="AA51" s="7"/>
      <c r="AB51" s="7">
        <v>1</v>
      </c>
      <c r="AC51" s="7"/>
      <c r="AD51" s="7"/>
      <c r="AE51" s="7">
        <v>1</v>
      </c>
      <c r="AF51" s="7">
        <v>1</v>
      </c>
      <c r="AG51" s="7"/>
      <c r="AH51" s="7">
        <v>1</v>
      </c>
      <c r="AI51" s="7"/>
      <c r="AJ51" s="7"/>
      <c r="AK51" s="7"/>
      <c r="AL51" s="16">
        <v>45295</v>
      </c>
      <c r="AM51" s="4"/>
      <c r="AN51" s="11" t="s">
        <v>155</v>
      </c>
      <c r="AO51" s="4"/>
      <c r="AP51" s="4"/>
      <c r="AQ51" s="4"/>
      <c r="AR51" s="11">
        <v>600</v>
      </c>
      <c r="AS51" s="11"/>
      <c r="AT51" s="11"/>
      <c r="AU51" s="11"/>
    </row>
    <row r="52" spans="1:47" ht="15.75" x14ac:dyDescent="0.25">
      <c r="A52" s="112" t="s">
        <v>162</v>
      </c>
      <c r="B52" s="6" t="s">
        <v>1085</v>
      </c>
      <c r="C52" s="8" t="s">
        <v>4</v>
      </c>
      <c r="D52" s="8" t="s">
        <v>17</v>
      </c>
      <c r="E52" s="9">
        <v>5</v>
      </c>
      <c r="F52" s="9"/>
      <c r="G52" s="9"/>
      <c r="H52" s="7"/>
      <c r="I52" s="7"/>
      <c r="J52" s="7"/>
      <c r="K52" s="7"/>
      <c r="L52" s="122"/>
      <c r="M52" s="122"/>
      <c r="N52" s="122"/>
      <c r="O52" s="96"/>
      <c r="P52" s="7"/>
      <c r="Q52" s="93">
        <v>2.9479888141859618</v>
      </c>
      <c r="R52" s="93">
        <v>1.8827777777777825</v>
      </c>
      <c r="S52" s="122" t="s">
        <v>1518</v>
      </c>
      <c r="T52" s="7"/>
      <c r="U52" s="7"/>
      <c r="V52" s="122" t="s">
        <v>1518</v>
      </c>
      <c r="W52" s="122"/>
      <c r="X52" s="122" t="s">
        <v>1518</v>
      </c>
      <c r="Y52" s="7"/>
      <c r="Z52" s="7"/>
      <c r="AA52" s="7">
        <v>1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16">
        <v>45295</v>
      </c>
      <c r="AM52" s="4"/>
      <c r="AN52" s="4" t="s">
        <v>163</v>
      </c>
      <c r="AO52" s="4"/>
      <c r="AP52" s="4"/>
      <c r="AQ52" s="4"/>
      <c r="AR52" s="11">
        <v>160</v>
      </c>
      <c r="AS52" s="11"/>
      <c r="AT52" s="11"/>
      <c r="AU52" s="11"/>
    </row>
    <row r="53" spans="1:47" ht="15.75" x14ac:dyDescent="0.25">
      <c r="A53" s="112" t="s">
        <v>1086</v>
      </c>
      <c r="B53" s="6" t="s">
        <v>1087</v>
      </c>
      <c r="C53" s="8" t="s">
        <v>4</v>
      </c>
      <c r="D53" s="8" t="s">
        <v>17</v>
      </c>
      <c r="E53" s="9">
        <v>5</v>
      </c>
      <c r="F53" s="9">
        <v>15</v>
      </c>
      <c r="G53" s="9"/>
      <c r="H53" s="7"/>
      <c r="I53" s="7"/>
      <c r="J53" s="7"/>
      <c r="K53" s="7"/>
      <c r="L53" s="122"/>
      <c r="M53" s="122"/>
      <c r="N53" s="122"/>
      <c r="O53" s="96"/>
      <c r="P53" s="7"/>
      <c r="Q53" s="93">
        <v>3.1016537100744697</v>
      </c>
      <c r="R53" s="93">
        <v>22.422171717171729</v>
      </c>
      <c r="S53" s="122" t="s">
        <v>1518</v>
      </c>
      <c r="T53" s="7"/>
      <c r="U53" s="7"/>
      <c r="V53" s="122"/>
      <c r="W53" s="122"/>
      <c r="X53" s="122"/>
      <c r="Y53" s="7"/>
      <c r="Z53" s="7"/>
      <c r="AA53" s="7">
        <v>1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16">
        <v>45295</v>
      </c>
      <c r="AM53" s="4"/>
      <c r="AN53" s="4" t="s">
        <v>163</v>
      </c>
      <c r="AO53" s="6" t="s">
        <v>1015</v>
      </c>
      <c r="AP53" s="4"/>
      <c r="AQ53" s="4"/>
      <c r="AR53" s="11">
        <v>80</v>
      </c>
      <c r="AS53" s="11">
        <v>100</v>
      </c>
      <c r="AT53" s="11"/>
      <c r="AU53" s="11"/>
    </row>
    <row r="54" spans="1:47" ht="15.75" x14ac:dyDescent="0.25">
      <c r="A54" s="112" t="s">
        <v>164</v>
      </c>
      <c r="B54" s="6" t="s">
        <v>1089</v>
      </c>
      <c r="C54" s="8" t="s">
        <v>4</v>
      </c>
      <c r="D54" s="8" t="s">
        <v>17</v>
      </c>
      <c r="E54" s="9">
        <v>2</v>
      </c>
      <c r="F54" s="9"/>
      <c r="G54" s="9"/>
      <c r="H54" s="7"/>
      <c r="I54" s="7"/>
      <c r="J54" s="7"/>
      <c r="K54" s="7"/>
      <c r="L54" s="122"/>
      <c r="M54" s="122"/>
      <c r="N54" s="122"/>
      <c r="O54" s="96"/>
      <c r="P54" s="14">
        <v>0.3</v>
      </c>
      <c r="Q54" s="93">
        <v>0.2487691243569787</v>
      </c>
      <c r="R54" s="93">
        <v>406.68000000000029</v>
      </c>
      <c r="S54" s="122" t="s">
        <v>1518</v>
      </c>
      <c r="T54" s="7"/>
      <c r="U54" s="7"/>
      <c r="V54" s="122"/>
      <c r="W54" s="122"/>
      <c r="X54" s="122"/>
      <c r="Y54" s="7"/>
      <c r="Z54" s="7"/>
      <c r="AA54" s="7"/>
      <c r="AB54" s="7"/>
      <c r="AC54" s="7"/>
      <c r="AD54" s="7"/>
      <c r="AE54" s="7"/>
      <c r="AF54" s="7">
        <v>1</v>
      </c>
      <c r="AG54" s="7">
        <v>1</v>
      </c>
      <c r="AH54" s="7">
        <v>1</v>
      </c>
      <c r="AI54" s="7"/>
      <c r="AJ54" s="7"/>
      <c r="AK54" s="7"/>
      <c r="AL54" s="16">
        <v>45295</v>
      </c>
      <c r="AM54" s="4"/>
      <c r="AN54" s="4" t="s">
        <v>165</v>
      </c>
      <c r="AO54" s="4"/>
      <c r="AP54" s="4"/>
      <c r="AQ54" s="4"/>
      <c r="AR54" s="11">
        <v>40</v>
      </c>
      <c r="AS54" s="11"/>
      <c r="AT54" s="11"/>
      <c r="AU54" s="11"/>
    </row>
    <row r="55" spans="1:47" ht="15.75" x14ac:dyDescent="0.25">
      <c r="A55" s="112" t="s">
        <v>166</v>
      </c>
      <c r="B55" s="6" t="s">
        <v>1090</v>
      </c>
      <c r="C55" s="8" t="s">
        <v>4</v>
      </c>
      <c r="D55" s="9" t="s">
        <v>26</v>
      </c>
      <c r="E55" s="9">
        <v>5</v>
      </c>
      <c r="F55" s="9"/>
      <c r="G55" s="9"/>
      <c r="H55" s="7"/>
      <c r="I55" s="7"/>
      <c r="J55" s="7"/>
      <c r="K55" s="7"/>
      <c r="L55" s="122"/>
      <c r="M55" s="122"/>
      <c r="N55" s="122"/>
      <c r="O55" s="96"/>
      <c r="P55" s="7"/>
      <c r="Q55" s="93">
        <v>0.12819947377256399</v>
      </c>
      <c r="R55" s="93">
        <v>134.78977272727238</v>
      </c>
      <c r="S55" s="122" t="s">
        <v>1518</v>
      </c>
      <c r="T55" s="7"/>
      <c r="U55" s="7"/>
      <c r="V55" s="122"/>
      <c r="W55" s="122"/>
      <c r="X55" s="122" t="s">
        <v>1518</v>
      </c>
      <c r="Y55" s="7"/>
      <c r="Z55" s="7"/>
      <c r="AA55" s="7">
        <v>1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6">
        <v>45295</v>
      </c>
      <c r="AM55" s="4"/>
      <c r="AN55" s="6" t="s">
        <v>1017</v>
      </c>
      <c r="AO55" s="4"/>
      <c r="AP55" s="4"/>
      <c r="AQ55" s="4"/>
      <c r="AR55" s="11">
        <v>700</v>
      </c>
      <c r="AS55" s="11"/>
      <c r="AT55" s="11"/>
      <c r="AU55" s="11"/>
    </row>
    <row r="56" spans="1:47" ht="15.75" x14ac:dyDescent="0.25">
      <c r="A56" s="112" t="s">
        <v>167</v>
      </c>
      <c r="B56" s="6" t="s">
        <v>1091</v>
      </c>
      <c r="C56" s="8" t="s">
        <v>4</v>
      </c>
      <c r="D56" s="8" t="s">
        <v>1649</v>
      </c>
      <c r="E56" s="9">
        <v>5</v>
      </c>
      <c r="F56" s="9">
        <v>15</v>
      </c>
      <c r="G56" s="9"/>
      <c r="H56" s="7"/>
      <c r="I56" s="7"/>
      <c r="J56" s="7"/>
      <c r="K56" s="7"/>
      <c r="L56" s="122"/>
      <c r="M56" s="122"/>
      <c r="N56" s="122"/>
      <c r="O56" s="96"/>
      <c r="P56" s="7"/>
      <c r="Q56" s="93">
        <v>3.1016537100744697</v>
      </c>
      <c r="R56" s="93">
        <v>22.422171717171729</v>
      </c>
      <c r="S56" s="122" t="s">
        <v>1518</v>
      </c>
      <c r="T56" s="7"/>
      <c r="U56" s="7"/>
      <c r="V56" s="122"/>
      <c r="W56" s="122"/>
      <c r="X56" s="122"/>
      <c r="Y56" s="7"/>
      <c r="Z56" s="7"/>
      <c r="AA56" s="7">
        <v>1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16">
        <v>45295</v>
      </c>
      <c r="AM56" s="4"/>
      <c r="AN56" s="4" t="s">
        <v>163</v>
      </c>
      <c r="AO56" s="6" t="s">
        <v>1015</v>
      </c>
      <c r="AP56" s="4"/>
      <c r="AQ56" s="4"/>
      <c r="AR56" s="11">
        <v>80</v>
      </c>
      <c r="AS56" s="11">
        <v>100</v>
      </c>
      <c r="AT56" s="11"/>
      <c r="AU56" s="11"/>
    </row>
    <row r="57" spans="1:47" ht="15.75" x14ac:dyDescent="0.25">
      <c r="A57" s="112" t="s">
        <v>168</v>
      </c>
      <c r="B57" s="6" t="s">
        <v>1092</v>
      </c>
      <c r="C57" s="8" t="s">
        <v>4</v>
      </c>
      <c r="D57" s="8" t="s">
        <v>54</v>
      </c>
      <c r="E57" s="9">
        <v>5</v>
      </c>
      <c r="F57" s="9">
        <v>5</v>
      </c>
      <c r="G57" s="9">
        <v>15</v>
      </c>
      <c r="H57" s="7"/>
      <c r="I57" s="7"/>
      <c r="J57" s="7"/>
      <c r="K57" s="7"/>
      <c r="L57" s="122"/>
      <c r="M57" s="122"/>
      <c r="N57" s="122"/>
      <c r="O57" s="96"/>
      <c r="P57" s="7"/>
      <c r="Q57" s="93">
        <v>3.0206301752937588</v>
      </c>
      <c r="R57" s="93">
        <v>105.8966221590907</v>
      </c>
      <c r="S57" s="122" t="s">
        <v>1518</v>
      </c>
      <c r="T57" s="7"/>
      <c r="U57" s="7"/>
      <c r="V57" s="122" t="s">
        <v>1518</v>
      </c>
      <c r="W57" s="122"/>
      <c r="X57" s="122" t="s">
        <v>1518</v>
      </c>
      <c r="Y57" s="7"/>
      <c r="Z57" s="7"/>
      <c r="AA57" s="7">
        <v>1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6">
        <v>45295</v>
      </c>
      <c r="AM57" s="4"/>
      <c r="AN57" s="11" t="s">
        <v>163</v>
      </c>
      <c r="AO57" s="6" t="s">
        <v>1017</v>
      </c>
      <c r="AP57" s="6" t="s">
        <v>1015</v>
      </c>
      <c r="AQ57" s="11"/>
      <c r="AR57" s="11">
        <v>51</v>
      </c>
      <c r="AS57" s="11">
        <v>153</v>
      </c>
      <c r="AT57" s="11">
        <v>51</v>
      </c>
      <c r="AU57" s="11"/>
    </row>
    <row r="58" spans="1:47" ht="15.75" x14ac:dyDescent="0.25">
      <c r="A58" s="112" t="s">
        <v>169</v>
      </c>
      <c r="B58" s="6" t="s">
        <v>1093</v>
      </c>
      <c r="C58" s="8" t="s">
        <v>4</v>
      </c>
      <c r="D58" s="8" t="s">
        <v>13</v>
      </c>
      <c r="E58" s="9">
        <v>5</v>
      </c>
      <c r="F58" s="9"/>
      <c r="G58" s="9"/>
      <c r="H58" s="7"/>
      <c r="I58" s="7"/>
      <c r="J58" s="7"/>
      <c r="K58" s="7"/>
      <c r="L58" s="122"/>
      <c r="M58" s="122"/>
      <c r="N58" s="122"/>
      <c r="O58" s="96"/>
      <c r="P58" s="7"/>
      <c r="Q58" s="93">
        <v>2.9479888141859618</v>
      </c>
      <c r="R58" s="93">
        <v>1.8827777777777825</v>
      </c>
      <c r="S58" s="122" t="s">
        <v>1518</v>
      </c>
      <c r="T58" s="7"/>
      <c r="U58" s="7"/>
      <c r="V58" s="122" t="s">
        <v>1518</v>
      </c>
      <c r="W58" s="122"/>
      <c r="X58" s="122" t="s">
        <v>1518</v>
      </c>
      <c r="Y58" s="7"/>
      <c r="Z58" s="7"/>
      <c r="AA58" s="7">
        <v>1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16">
        <v>45295</v>
      </c>
      <c r="AM58" s="4"/>
      <c r="AN58" s="4" t="s">
        <v>163</v>
      </c>
      <c r="AO58" s="4"/>
      <c r="AP58" s="4"/>
      <c r="AQ58" s="4"/>
      <c r="AR58" s="11">
        <v>160</v>
      </c>
      <c r="AS58" s="11"/>
      <c r="AT58" s="11"/>
      <c r="AU58" s="11"/>
    </row>
    <row r="59" spans="1:47" ht="15.75" x14ac:dyDescent="0.25">
      <c r="A59" s="112" t="s">
        <v>170</v>
      </c>
      <c r="B59" s="6" t="s">
        <v>1094</v>
      </c>
      <c r="C59" s="8" t="s">
        <v>4</v>
      </c>
      <c r="D59" s="8" t="s">
        <v>17</v>
      </c>
      <c r="E59" s="9">
        <v>5</v>
      </c>
      <c r="F59" s="9"/>
      <c r="G59" s="9"/>
      <c r="H59" s="7"/>
      <c r="I59" s="7"/>
      <c r="J59" s="7"/>
      <c r="K59" s="7"/>
      <c r="L59" s="122"/>
      <c r="M59" s="122"/>
      <c r="N59" s="122"/>
      <c r="O59" s="96"/>
      <c r="P59" s="7"/>
      <c r="Q59" s="93">
        <v>0.12819947377256399</v>
      </c>
      <c r="R59" s="93">
        <v>134.78977272727238</v>
      </c>
      <c r="S59" s="122" t="s">
        <v>1518</v>
      </c>
      <c r="T59" s="7"/>
      <c r="U59" s="7"/>
      <c r="V59" s="122"/>
      <c r="W59" s="122"/>
      <c r="X59" s="122" t="s">
        <v>1518</v>
      </c>
      <c r="Y59" s="7"/>
      <c r="Z59" s="7"/>
      <c r="AA59" s="7">
        <v>1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6">
        <v>45295</v>
      </c>
      <c r="AM59" s="4"/>
      <c r="AN59" s="6" t="s">
        <v>1017</v>
      </c>
      <c r="AO59" s="4"/>
      <c r="AP59" s="4"/>
      <c r="AQ59" s="4"/>
      <c r="AR59" s="11">
        <v>700</v>
      </c>
      <c r="AS59" s="11"/>
      <c r="AT59" s="11"/>
      <c r="AU59" s="11"/>
    </row>
    <row r="60" spans="1:47" ht="15.75" x14ac:dyDescent="0.25">
      <c r="A60" s="112" t="s">
        <v>171</v>
      </c>
      <c r="B60" s="6" t="s">
        <v>1095</v>
      </c>
      <c r="C60" s="8" t="s">
        <v>4</v>
      </c>
      <c r="D60" s="7" t="s">
        <v>19</v>
      </c>
      <c r="E60" s="9">
        <v>2</v>
      </c>
      <c r="F60" s="9">
        <v>2</v>
      </c>
      <c r="G60" s="9"/>
      <c r="H60" s="7"/>
      <c r="I60" s="7">
        <v>6</v>
      </c>
      <c r="J60" s="7"/>
      <c r="K60" s="7"/>
      <c r="L60" s="122" t="s">
        <v>1518</v>
      </c>
      <c r="M60" s="122" t="s">
        <v>1518</v>
      </c>
      <c r="N60" s="122"/>
      <c r="O60" s="96"/>
      <c r="P60" s="7"/>
      <c r="Q60" s="93">
        <v>0.2679228834064864</v>
      </c>
      <c r="R60" s="93">
        <v>148.98277149877151</v>
      </c>
      <c r="S60" s="122" t="s">
        <v>1518</v>
      </c>
      <c r="T60" s="7"/>
      <c r="U60" s="7"/>
      <c r="V60" s="122"/>
      <c r="W60" s="122"/>
      <c r="X60" s="122"/>
      <c r="Y60" s="7"/>
      <c r="Z60" s="7">
        <v>1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>
        <v>45295</v>
      </c>
      <c r="AM60" s="4"/>
      <c r="AN60" s="4" t="s">
        <v>141</v>
      </c>
      <c r="AO60" s="6" t="s">
        <v>1010</v>
      </c>
      <c r="AP60" s="4"/>
      <c r="AQ60" s="4"/>
      <c r="AR60" s="11">
        <v>714</v>
      </c>
      <c r="AS60" s="11">
        <v>54</v>
      </c>
      <c r="AT60" s="11"/>
      <c r="AU60" s="11"/>
    </row>
    <row r="61" spans="1:47" ht="15.75" x14ac:dyDescent="0.25">
      <c r="A61" s="112" t="s">
        <v>172</v>
      </c>
      <c r="B61" s="6" t="s">
        <v>1098</v>
      </c>
      <c r="C61" s="8" t="s">
        <v>4</v>
      </c>
      <c r="D61" s="9" t="s">
        <v>26</v>
      </c>
      <c r="E61" s="9">
        <v>2</v>
      </c>
      <c r="F61" s="9">
        <v>2</v>
      </c>
      <c r="G61" s="9"/>
      <c r="H61" s="7"/>
      <c r="I61" s="7">
        <v>20</v>
      </c>
      <c r="J61" s="7"/>
      <c r="K61" s="7" t="s">
        <v>14</v>
      </c>
      <c r="L61" s="122"/>
      <c r="M61" s="122"/>
      <c r="N61" s="122"/>
      <c r="O61" s="96"/>
      <c r="P61" s="14">
        <v>0.3</v>
      </c>
      <c r="Q61" s="93">
        <v>1.3226836732079497</v>
      </c>
      <c r="R61" s="93">
        <v>866.9750390625004</v>
      </c>
      <c r="S61" s="122" t="s">
        <v>1518</v>
      </c>
      <c r="T61" s="7"/>
      <c r="U61" s="7"/>
      <c r="V61" s="122" t="s">
        <v>1518</v>
      </c>
      <c r="W61" s="122" t="s">
        <v>1518</v>
      </c>
      <c r="X61" s="122"/>
      <c r="Y61" s="7"/>
      <c r="Z61" s="7">
        <v>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16">
        <v>45295</v>
      </c>
      <c r="AM61" s="4" t="s">
        <v>1861</v>
      </c>
      <c r="AN61" s="4" t="s">
        <v>123</v>
      </c>
      <c r="AO61" s="106" t="s">
        <v>1009</v>
      </c>
      <c r="AP61" s="4"/>
      <c r="AQ61" s="4"/>
      <c r="AR61" s="11">
        <v>111</v>
      </c>
      <c r="AS61" s="11">
        <v>222</v>
      </c>
      <c r="AT61" s="11"/>
      <c r="AU61" s="11"/>
    </row>
    <row r="62" spans="1:47" ht="15.75" x14ac:dyDescent="0.25">
      <c r="A62" s="112" t="s">
        <v>173</v>
      </c>
      <c r="B62" s="6" t="s">
        <v>1100</v>
      </c>
      <c r="C62" s="8" t="s">
        <v>4</v>
      </c>
      <c r="D62" s="7" t="s">
        <v>1468</v>
      </c>
      <c r="E62" s="9">
        <v>2</v>
      </c>
      <c r="F62" s="9"/>
      <c r="G62" s="9"/>
      <c r="H62" s="7"/>
      <c r="I62" s="7"/>
      <c r="J62" s="7"/>
      <c r="K62" s="7"/>
      <c r="L62" s="122"/>
      <c r="M62" s="122"/>
      <c r="N62" s="122"/>
      <c r="O62" s="96"/>
      <c r="P62" s="14">
        <v>0.3</v>
      </c>
      <c r="Q62" s="93">
        <v>0.2487691243569787</v>
      </c>
      <c r="R62" s="93">
        <v>406.68000000000029</v>
      </c>
      <c r="S62" s="122" t="s">
        <v>1518</v>
      </c>
      <c r="T62" s="7"/>
      <c r="U62" s="7"/>
      <c r="V62" s="122"/>
      <c r="W62" s="122"/>
      <c r="X62" s="122"/>
      <c r="Y62" s="7"/>
      <c r="Z62" s="7"/>
      <c r="AA62" s="7"/>
      <c r="AB62" s="7"/>
      <c r="AC62" s="7"/>
      <c r="AD62" s="7"/>
      <c r="AE62" s="7"/>
      <c r="AF62" s="7">
        <v>1</v>
      </c>
      <c r="AG62" s="7">
        <v>1</v>
      </c>
      <c r="AH62" s="7">
        <v>1</v>
      </c>
      <c r="AI62" s="7"/>
      <c r="AJ62" s="7"/>
      <c r="AK62" s="7"/>
      <c r="AL62" s="16">
        <v>45295</v>
      </c>
      <c r="AM62" s="4"/>
      <c r="AN62" s="11" t="s">
        <v>165</v>
      </c>
      <c r="AO62" s="4"/>
      <c r="AP62" s="4"/>
      <c r="AQ62" s="4"/>
      <c r="AR62" s="11">
        <v>40</v>
      </c>
      <c r="AS62" s="11"/>
      <c r="AT62" s="11"/>
      <c r="AU62" s="11"/>
    </row>
    <row r="63" spans="1:47" ht="15.75" x14ac:dyDescent="0.25">
      <c r="A63" s="112" t="s">
        <v>174</v>
      </c>
      <c r="B63" s="6" t="s">
        <v>1471</v>
      </c>
      <c r="C63" s="8" t="s">
        <v>4</v>
      </c>
      <c r="D63" s="8" t="s">
        <v>175</v>
      </c>
      <c r="E63" s="9">
        <v>15</v>
      </c>
      <c r="F63" s="9"/>
      <c r="G63" s="9"/>
      <c r="H63" s="7"/>
      <c r="I63" s="7"/>
      <c r="J63" s="7"/>
      <c r="K63" s="7" t="s">
        <v>14</v>
      </c>
      <c r="L63" s="122"/>
      <c r="M63" s="122"/>
      <c r="N63" s="122"/>
      <c r="O63" s="96"/>
      <c r="P63" s="7"/>
      <c r="Q63" s="93">
        <v>7.5491503505291222</v>
      </c>
      <c r="R63" s="93">
        <v>60.653243847874926</v>
      </c>
      <c r="S63" s="122" t="s">
        <v>1518</v>
      </c>
      <c r="T63" s="7"/>
      <c r="U63" s="7"/>
      <c r="V63" s="122"/>
      <c r="W63" s="122"/>
      <c r="X63" s="122" t="s">
        <v>1518</v>
      </c>
      <c r="Y63" s="7" t="s">
        <v>7</v>
      </c>
      <c r="Z63" s="7">
        <v>1</v>
      </c>
      <c r="AA63" s="7"/>
      <c r="AB63" s="7">
        <v>1</v>
      </c>
      <c r="AC63" s="7"/>
      <c r="AD63" s="7"/>
      <c r="AE63" s="7"/>
      <c r="AF63" s="7"/>
      <c r="AG63" s="7"/>
      <c r="AH63" s="7"/>
      <c r="AI63" s="7">
        <v>1</v>
      </c>
      <c r="AJ63" s="7"/>
      <c r="AK63" s="7"/>
      <c r="AL63" s="16">
        <v>45295</v>
      </c>
      <c r="AM63" s="4"/>
      <c r="AN63" s="11" t="s">
        <v>131</v>
      </c>
      <c r="AO63" s="4"/>
      <c r="AP63" s="4"/>
      <c r="AQ63" s="4"/>
      <c r="AR63" s="11">
        <v>800</v>
      </c>
      <c r="AS63" s="11"/>
      <c r="AT63" s="11"/>
      <c r="AU63" s="11"/>
    </row>
    <row r="64" spans="1:47" ht="15.75" x14ac:dyDescent="0.25">
      <c r="A64" s="112" t="s">
        <v>1844</v>
      </c>
      <c r="B64" s="6" t="s">
        <v>1845</v>
      </c>
      <c r="C64" s="9" t="s">
        <v>4</v>
      </c>
      <c r="D64" s="8" t="s">
        <v>29</v>
      </c>
      <c r="E64" s="9">
        <v>15</v>
      </c>
      <c r="F64" s="9">
        <v>34</v>
      </c>
      <c r="G64" s="9"/>
      <c r="H64" s="7">
        <v>20</v>
      </c>
      <c r="I64" s="7"/>
      <c r="J64" s="7"/>
      <c r="K64" s="7" t="s">
        <v>14</v>
      </c>
      <c r="L64" s="122" t="s">
        <v>1518</v>
      </c>
      <c r="M64" s="122" t="s">
        <v>1518</v>
      </c>
      <c r="N64" s="122"/>
      <c r="O64" s="96" t="s">
        <v>189</v>
      </c>
      <c r="P64" s="7"/>
      <c r="Q64" s="93">
        <v>31.381566345347917</v>
      </c>
      <c r="R64" s="93">
        <v>104.98018604651148</v>
      </c>
      <c r="S64" s="122" t="s">
        <v>1518</v>
      </c>
      <c r="T64" s="7"/>
      <c r="U64" s="7"/>
      <c r="V64" s="122" t="s">
        <v>1518</v>
      </c>
      <c r="W64" s="122"/>
      <c r="X64" s="122" t="s">
        <v>1518</v>
      </c>
      <c r="Y64" s="7"/>
      <c r="Z64" s="7"/>
      <c r="AA64" s="7"/>
      <c r="AB64" s="7"/>
      <c r="AC64" s="7"/>
      <c r="AD64" s="7">
        <v>1</v>
      </c>
      <c r="AE64" s="7"/>
      <c r="AF64" s="7">
        <v>1</v>
      </c>
      <c r="AG64" s="7">
        <v>1</v>
      </c>
      <c r="AH64" s="7"/>
      <c r="AI64" s="7"/>
      <c r="AJ64" s="7"/>
      <c r="AK64" s="7"/>
      <c r="AL64" s="16">
        <v>45295</v>
      </c>
      <c r="AM64" s="4"/>
      <c r="AN64" s="4" t="s">
        <v>190</v>
      </c>
      <c r="AO64" s="4" t="s">
        <v>178</v>
      </c>
      <c r="AP64" s="4"/>
      <c r="AQ64" s="4"/>
      <c r="AR64" s="11">
        <v>400</v>
      </c>
      <c r="AS64" s="11">
        <v>24</v>
      </c>
      <c r="AT64" s="11"/>
      <c r="AU64" s="11"/>
    </row>
    <row r="65" spans="1:47" ht="24.75" x14ac:dyDescent="0.25">
      <c r="A65" s="112" t="s">
        <v>1970</v>
      </c>
      <c r="B65" s="6" t="s">
        <v>1971</v>
      </c>
      <c r="C65" s="8" t="s">
        <v>4</v>
      </c>
      <c r="D65" s="7" t="s">
        <v>29</v>
      </c>
      <c r="E65" s="9">
        <v>4</v>
      </c>
      <c r="F65" s="9">
        <v>15</v>
      </c>
      <c r="G65" s="9"/>
      <c r="H65" s="7"/>
      <c r="I65" s="7"/>
      <c r="J65" s="7"/>
      <c r="K65" s="7"/>
      <c r="L65" s="122" t="s">
        <v>1518</v>
      </c>
      <c r="M65" s="122" t="s">
        <v>1518</v>
      </c>
      <c r="N65" s="122"/>
      <c r="O65" s="96" t="s">
        <v>302</v>
      </c>
      <c r="P65" s="14"/>
      <c r="Q65" s="93">
        <v>4.0530211704793153</v>
      </c>
      <c r="R65" s="93">
        <v>151.16896344589819</v>
      </c>
      <c r="S65" s="122" t="s">
        <v>1518</v>
      </c>
      <c r="T65" s="7"/>
      <c r="U65" s="7"/>
      <c r="V65" s="122" t="s">
        <v>1518</v>
      </c>
      <c r="W65" s="122"/>
      <c r="X65" s="122" t="s">
        <v>1518</v>
      </c>
      <c r="Y65" s="7"/>
      <c r="Z65" s="7"/>
      <c r="AA65" s="7">
        <v>1</v>
      </c>
      <c r="AB65" s="7"/>
      <c r="AC65" s="7"/>
      <c r="AD65" s="7">
        <v>1</v>
      </c>
      <c r="AE65" s="7"/>
      <c r="AF65" s="7"/>
      <c r="AG65" s="7"/>
      <c r="AH65" s="7"/>
      <c r="AI65" s="7"/>
      <c r="AJ65" s="7"/>
      <c r="AK65" s="7"/>
      <c r="AL65" s="16">
        <v>45295</v>
      </c>
      <c r="AM65" s="4"/>
      <c r="AN65" s="6" t="s">
        <v>303</v>
      </c>
      <c r="AO65" s="4" t="s">
        <v>1008</v>
      </c>
      <c r="AP65" s="4"/>
      <c r="AQ65" s="4"/>
      <c r="AR65" s="11">
        <v>167</v>
      </c>
      <c r="AS65" s="11">
        <v>333</v>
      </c>
      <c r="AT65" s="11"/>
      <c r="AU65" s="11"/>
    </row>
    <row r="66" spans="1:47" ht="15.75" x14ac:dyDescent="0.25">
      <c r="A66" s="112" t="s">
        <v>179</v>
      </c>
      <c r="B66" s="6" t="s">
        <v>1108</v>
      </c>
      <c r="C66" s="9" t="s">
        <v>4</v>
      </c>
      <c r="D66" s="8" t="s">
        <v>17</v>
      </c>
      <c r="E66" s="9">
        <v>15</v>
      </c>
      <c r="F66" s="9"/>
      <c r="G66" s="9"/>
      <c r="H66" s="7">
        <v>20</v>
      </c>
      <c r="I66" s="7"/>
      <c r="J66" s="7"/>
      <c r="K66" s="7" t="s">
        <v>80</v>
      </c>
      <c r="L66" s="122" t="s">
        <v>1518</v>
      </c>
      <c r="M66" s="122" t="s">
        <v>1518</v>
      </c>
      <c r="N66" s="122" t="s">
        <v>1518</v>
      </c>
      <c r="O66" s="149" t="s">
        <v>180</v>
      </c>
      <c r="P66" s="7"/>
      <c r="Q66" s="93">
        <v>2.957136781681764</v>
      </c>
      <c r="R66" s="93">
        <v>94.188854041013286</v>
      </c>
      <c r="S66" s="122" t="s">
        <v>1518</v>
      </c>
      <c r="T66" s="7"/>
      <c r="U66" s="7"/>
      <c r="V66" s="122" t="s">
        <v>1518</v>
      </c>
      <c r="W66" s="122"/>
      <c r="X66" s="122" t="s">
        <v>1518</v>
      </c>
      <c r="Y66" s="7"/>
      <c r="Z66" s="7"/>
      <c r="AA66" s="7"/>
      <c r="AB66" s="7"/>
      <c r="AC66" s="7">
        <v>3</v>
      </c>
      <c r="AD66" s="7"/>
      <c r="AE66" s="7">
        <v>3</v>
      </c>
      <c r="AF66" s="7"/>
      <c r="AG66" s="7"/>
      <c r="AH66" s="7"/>
      <c r="AI66" s="7"/>
      <c r="AJ66" s="7"/>
      <c r="AK66" s="7"/>
      <c r="AL66" s="16">
        <v>45295</v>
      </c>
      <c r="AM66" s="4"/>
      <c r="AN66" s="6" t="s">
        <v>990</v>
      </c>
      <c r="AO66" s="4"/>
      <c r="AP66" s="4"/>
      <c r="AQ66" s="4"/>
      <c r="AR66" s="11">
        <v>960</v>
      </c>
      <c r="AS66" s="11"/>
      <c r="AT66" s="11"/>
      <c r="AU66" s="11"/>
    </row>
    <row r="67" spans="1:47" ht="15.75" x14ac:dyDescent="0.25">
      <c r="A67" s="112" t="s">
        <v>182</v>
      </c>
      <c r="B67" s="6" t="s">
        <v>1474</v>
      </c>
      <c r="C67" s="8" t="s">
        <v>4</v>
      </c>
      <c r="D67" s="8" t="s">
        <v>1532</v>
      </c>
      <c r="E67" s="9">
        <v>27</v>
      </c>
      <c r="F67" s="9"/>
      <c r="G67" s="9"/>
      <c r="H67" s="7"/>
      <c r="I67" s="7"/>
      <c r="J67" s="7"/>
      <c r="K67" s="7"/>
      <c r="L67" s="122"/>
      <c r="M67" s="122"/>
      <c r="N67" s="122"/>
      <c r="O67" s="96"/>
      <c r="P67" s="7"/>
      <c r="Q67" s="93">
        <v>0.44968833701528577</v>
      </c>
      <c r="R67" s="93">
        <v>4407.6589595375517</v>
      </c>
      <c r="S67" s="122" t="s">
        <v>1518</v>
      </c>
      <c r="T67" s="7"/>
      <c r="U67" s="7"/>
      <c r="V67" s="122" t="s">
        <v>1518</v>
      </c>
      <c r="W67" s="122"/>
      <c r="X67" s="122"/>
      <c r="Y67" s="7"/>
      <c r="Z67" s="7"/>
      <c r="AA67" s="7"/>
      <c r="AB67" s="7"/>
      <c r="AC67" s="7">
        <v>1</v>
      </c>
      <c r="AD67" s="7"/>
      <c r="AE67" s="7"/>
      <c r="AF67" s="7"/>
      <c r="AG67" s="7"/>
      <c r="AH67" s="7"/>
      <c r="AI67" s="7"/>
      <c r="AJ67" s="7"/>
      <c r="AK67" s="7"/>
      <c r="AL67" s="16">
        <v>45295</v>
      </c>
      <c r="AM67" s="4"/>
      <c r="AN67" s="11" t="s">
        <v>989</v>
      </c>
      <c r="AO67" s="4"/>
      <c r="AP67" s="4"/>
      <c r="AQ67" s="4"/>
      <c r="AR67" s="11">
        <v>100</v>
      </c>
      <c r="AS67" s="11"/>
      <c r="AT67" s="11"/>
      <c r="AU67" s="11"/>
    </row>
    <row r="68" spans="1:47" ht="15.75" x14ac:dyDescent="0.25">
      <c r="A68" s="112" t="s">
        <v>1833</v>
      </c>
      <c r="B68" s="6" t="s">
        <v>1834</v>
      </c>
      <c r="C68" s="8" t="s">
        <v>4</v>
      </c>
      <c r="D68" s="8" t="s">
        <v>26</v>
      </c>
      <c r="E68" s="9">
        <v>34</v>
      </c>
      <c r="F68" s="9"/>
      <c r="G68" s="9"/>
      <c r="H68" s="7"/>
      <c r="I68" s="7"/>
      <c r="J68" s="7"/>
      <c r="K68" s="7"/>
      <c r="L68" s="122"/>
      <c r="M68" s="122"/>
      <c r="N68" s="122"/>
      <c r="O68" s="96"/>
      <c r="P68" s="7"/>
      <c r="Q68" s="93">
        <v>4.1306204920660977E-2</v>
      </c>
      <c r="R68" s="93">
        <v>122.00399999999995</v>
      </c>
      <c r="S68" s="122"/>
      <c r="T68" s="7"/>
      <c r="U68" s="7"/>
      <c r="V68" s="122"/>
      <c r="W68" s="122"/>
      <c r="X68" s="122"/>
      <c r="Y68" s="7"/>
      <c r="Z68" s="7"/>
      <c r="AA68" s="7">
        <v>1</v>
      </c>
      <c r="AB68" s="7">
        <v>1</v>
      </c>
      <c r="AC68" s="7"/>
      <c r="AD68" s="7">
        <v>1</v>
      </c>
      <c r="AE68" s="7"/>
      <c r="AF68" s="7">
        <v>1</v>
      </c>
      <c r="AG68" s="7">
        <v>1</v>
      </c>
      <c r="AH68" s="7">
        <v>1</v>
      </c>
      <c r="AI68" s="7">
        <v>1</v>
      </c>
      <c r="AJ68" s="7">
        <v>1</v>
      </c>
      <c r="AK68" s="7"/>
      <c r="AL68" s="16">
        <v>45295</v>
      </c>
      <c r="AM68" s="4"/>
      <c r="AN68" s="11" t="s">
        <v>178</v>
      </c>
      <c r="AO68" s="4"/>
      <c r="AP68" s="4"/>
      <c r="AQ68" s="4"/>
      <c r="AR68" s="11">
        <v>360</v>
      </c>
      <c r="AS68" s="11"/>
      <c r="AT68" s="11"/>
      <c r="AU68" s="11"/>
    </row>
    <row r="69" spans="1:47" ht="28.5" x14ac:dyDescent="0.25">
      <c r="A69" s="112" t="s">
        <v>2035</v>
      </c>
      <c r="B69" s="6" t="s">
        <v>2036</v>
      </c>
      <c r="C69" s="9" t="s">
        <v>4</v>
      </c>
      <c r="D69" s="9" t="s">
        <v>109</v>
      </c>
      <c r="E69" s="9">
        <v>2</v>
      </c>
      <c r="F69" s="9">
        <v>2</v>
      </c>
      <c r="G69" s="9"/>
      <c r="H69" s="7"/>
      <c r="I69" s="7">
        <v>6</v>
      </c>
      <c r="J69" s="7"/>
      <c r="K69" s="7"/>
      <c r="L69" s="122"/>
      <c r="M69" s="122"/>
      <c r="N69" s="122"/>
      <c r="O69" s="96"/>
      <c r="P69" s="7"/>
      <c r="Q69" s="93">
        <f t="shared" ref="Q69" si="0">+BM69</f>
        <v>0</v>
      </c>
      <c r="R69" s="93">
        <f t="shared" ref="R69" si="1">+BR69</f>
        <v>0</v>
      </c>
      <c r="S69" s="122" t="s">
        <v>1518</v>
      </c>
      <c r="T69" s="7"/>
      <c r="U69" s="7"/>
      <c r="V69" s="122"/>
      <c r="W69" s="122"/>
      <c r="X69" s="122"/>
      <c r="Y69" s="7"/>
      <c r="Z69" s="7">
        <v>1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16">
        <v>45295</v>
      </c>
      <c r="AM69" s="4"/>
      <c r="AN69" s="11" t="s">
        <v>153</v>
      </c>
      <c r="AO69" s="6" t="s">
        <v>1010</v>
      </c>
      <c r="AP69" s="6" t="s">
        <v>300</v>
      </c>
      <c r="AQ69" s="4"/>
      <c r="AR69" s="11">
        <v>68.3</v>
      </c>
      <c r="AS69" s="11">
        <v>2.2799999999999998</v>
      </c>
      <c r="AT69" s="11">
        <v>68.3</v>
      </c>
      <c r="AU69" s="11"/>
    </row>
    <row r="70" spans="1:47" ht="15.75" x14ac:dyDescent="0.25">
      <c r="A70" s="112" t="s">
        <v>1831</v>
      </c>
      <c r="B70" s="6" t="s">
        <v>1832</v>
      </c>
      <c r="C70" s="8" t="s">
        <v>4</v>
      </c>
      <c r="D70" s="8" t="s">
        <v>13</v>
      </c>
      <c r="E70" s="9">
        <v>34</v>
      </c>
      <c r="F70" s="9"/>
      <c r="G70" s="9"/>
      <c r="H70" s="7"/>
      <c r="I70" s="7"/>
      <c r="J70" s="7"/>
      <c r="K70" s="7"/>
      <c r="L70" s="122"/>
      <c r="M70" s="122"/>
      <c r="N70" s="122"/>
      <c r="O70" s="96"/>
      <c r="P70" s="7"/>
      <c r="Q70" s="93">
        <v>4.1306204920660977E-2</v>
      </c>
      <c r="R70" s="93">
        <v>122.00399999999995</v>
      </c>
      <c r="S70" s="122"/>
      <c r="T70" s="7"/>
      <c r="U70" s="7"/>
      <c r="V70" s="122"/>
      <c r="W70" s="122"/>
      <c r="X70" s="122"/>
      <c r="Y70" s="7"/>
      <c r="Z70" s="7"/>
      <c r="AA70" s="7">
        <v>1</v>
      </c>
      <c r="AB70" s="7">
        <v>1</v>
      </c>
      <c r="AC70" s="7"/>
      <c r="AD70" s="7">
        <v>1</v>
      </c>
      <c r="AE70" s="7"/>
      <c r="AF70" s="7">
        <v>1</v>
      </c>
      <c r="AG70" s="7">
        <v>1</v>
      </c>
      <c r="AH70" s="7">
        <v>1</v>
      </c>
      <c r="AI70" s="7">
        <v>1</v>
      </c>
      <c r="AJ70" s="7">
        <v>1</v>
      </c>
      <c r="AK70" s="7"/>
      <c r="AL70" s="16">
        <v>45295</v>
      </c>
      <c r="AM70" s="4"/>
      <c r="AN70" s="11" t="s">
        <v>178</v>
      </c>
      <c r="AO70" s="4"/>
      <c r="AP70" s="4"/>
      <c r="AQ70" s="4"/>
      <c r="AR70" s="11">
        <v>360</v>
      </c>
      <c r="AS70" s="11"/>
      <c r="AT70" s="11"/>
      <c r="AU70" s="11"/>
    </row>
    <row r="71" spans="1:47" ht="15.75" x14ac:dyDescent="0.25">
      <c r="A71" s="112" t="s">
        <v>183</v>
      </c>
      <c r="B71" s="6" t="s">
        <v>1113</v>
      </c>
      <c r="C71" s="8" t="s">
        <v>4</v>
      </c>
      <c r="D71" s="8" t="s">
        <v>17</v>
      </c>
      <c r="E71" s="9">
        <v>34</v>
      </c>
      <c r="F71" s="9"/>
      <c r="G71" s="9"/>
      <c r="H71" s="7"/>
      <c r="I71" s="7"/>
      <c r="J71" s="7"/>
      <c r="K71" s="7"/>
      <c r="L71" s="122"/>
      <c r="M71" s="122"/>
      <c r="N71" s="122"/>
      <c r="O71" s="96"/>
      <c r="P71" s="7"/>
      <c r="Q71" s="93">
        <v>4.1306204920660977E-2</v>
      </c>
      <c r="R71" s="93">
        <v>122.00399999999995</v>
      </c>
      <c r="S71" s="122"/>
      <c r="T71" s="7"/>
      <c r="U71" s="7"/>
      <c r="V71" s="122"/>
      <c r="W71" s="122"/>
      <c r="X71" s="122"/>
      <c r="Y71" s="7"/>
      <c r="Z71" s="7"/>
      <c r="AA71" s="7">
        <v>1</v>
      </c>
      <c r="AB71" s="7">
        <v>1</v>
      </c>
      <c r="AC71" s="7"/>
      <c r="AD71" s="7">
        <v>1</v>
      </c>
      <c r="AE71" s="7"/>
      <c r="AF71" s="7">
        <v>1</v>
      </c>
      <c r="AG71" s="7">
        <v>1</v>
      </c>
      <c r="AH71" s="7">
        <v>1</v>
      </c>
      <c r="AI71" s="7">
        <v>1</v>
      </c>
      <c r="AJ71" s="7">
        <v>1</v>
      </c>
      <c r="AK71" s="7"/>
      <c r="AL71" s="16">
        <v>45295</v>
      </c>
      <c r="AM71" s="4"/>
      <c r="AN71" s="11" t="s">
        <v>178</v>
      </c>
      <c r="AO71" s="4"/>
      <c r="AP71" s="4"/>
      <c r="AQ71" s="4"/>
      <c r="AR71" s="11">
        <v>360</v>
      </c>
      <c r="AS71" s="11"/>
      <c r="AT71" s="11"/>
      <c r="AU71" s="11"/>
    </row>
    <row r="72" spans="1:47" ht="15.75" x14ac:dyDescent="0.25">
      <c r="A72" s="112" t="s">
        <v>2037</v>
      </c>
      <c r="B72" s="6" t="s">
        <v>2038</v>
      </c>
      <c r="C72" s="9" t="s">
        <v>4</v>
      </c>
      <c r="D72" s="9" t="s">
        <v>109</v>
      </c>
      <c r="E72" s="9">
        <v>5</v>
      </c>
      <c r="F72" s="9">
        <v>12</v>
      </c>
      <c r="G72" s="9"/>
      <c r="H72" s="7"/>
      <c r="I72" s="7"/>
      <c r="J72" s="7"/>
      <c r="K72" s="7" t="s">
        <v>14</v>
      </c>
      <c r="L72" s="122"/>
      <c r="M72" s="122"/>
      <c r="N72" s="122"/>
      <c r="O72" s="96"/>
      <c r="P72" s="14">
        <v>0.3</v>
      </c>
      <c r="Q72" s="93">
        <f t="shared" ref="Q72" si="2">+BM72</f>
        <v>0</v>
      </c>
      <c r="R72" s="93">
        <f t="shared" ref="R72" si="3">+BR72</f>
        <v>0</v>
      </c>
      <c r="S72" s="122" t="s">
        <v>1518</v>
      </c>
      <c r="T72" s="7"/>
      <c r="U72" s="7"/>
      <c r="V72" s="122"/>
      <c r="W72" s="122"/>
      <c r="X72" s="122"/>
      <c r="Y72" s="7"/>
      <c r="Z72" s="7">
        <v>1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6">
        <v>45295</v>
      </c>
      <c r="AM72" s="4"/>
      <c r="AN72" s="6" t="s">
        <v>1037</v>
      </c>
      <c r="AO72" s="6" t="s">
        <v>999</v>
      </c>
      <c r="AP72" s="4"/>
      <c r="AQ72" s="4"/>
      <c r="AR72" s="11">
        <v>600</v>
      </c>
      <c r="AS72" s="11">
        <v>40</v>
      </c>
      <c r="AT72" s="11"/>
      <c r="AU72" s="11"/>
    </row>
    <row r="73" spans="1:47" ht="15.75" x14ac:dyDescent="0.25">
      <c r="A73" s="92" t="s">
        <v>1593</v>
      </c>
      <c r="B73" s="6" t="s">
        <v>1594</v>
      </c>
      <c r="C73" s="8" t="s">
        <v>4</v>
      </c>
      <c r="D73" s="8" t="s">
        <v>17</v>
      </c>
      <c r="E73" s="9">
        <v>2</v>
      </c>
      <c r="F73" s="9">
        <v>4</v>
      </c>
      <c r="G73" s="9"/>
      <c r="H73" s="7"/>
      <c r="I73" s="7">
        <v>6</v>
      </c>
      <c r="J73" s="7"/>
      <c r="K73" s="7"/>
      <c r="L73" s="122"/>
      <c r="M73" s="122"/>
      <c r="N73" s="122"/>
      <c r="O73" s="96"/>
      <c r="P73" s="14"/>
      <c r="Q73" s="93">
        <v>0.23704755323530408</v>
      </c>
      <c r="R73" s="93">
        <v>114.49457872324319</v>
      </c>
      <c r="S73" s="122" t="s">
        <v>1518</v>
      </c>
      <c r="T73" s="7"/>
      <c r="U73" s="7"/>
      <c r="V73" s="122" t="s">
        <v>1518</v>
      </c>
      <c r="W73" s="122"/>
      <c r="X73" s="122"/>
      <c r="Y73" s="7"/>
      <c r="Z73" s="7">
        <v>1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16">
        <v>45295</v>
      </c>
      <c r="AM73" s="4"/>
      <c r="AN73" s="11" t="s">
        <v>1010</v>
      </c>
      <c r="AO73" s="4" t="s">
        <v>1592</v>
      </c>
      <c r="AP73" s="4" t="s">
        <v>300</v>
      </c>
      <c r="AQ73" s="4"/>
      <c r="AR73" s="11">
        <v>5</v>
      </c>
      <c r="AS73" s="11">
        <v>6.3</v>
      </c>
      <c r="AT73" s="11">
        <v>6</v>
      </c>
      <c r="AU73" s="11"/>
    </row>
    <row r="74" spans="1:47" ht="15.75" x14ac:dyDescent="0.25">
      <c r="A74" s="114" t="s">
        <v>1457</v>
      </c>
      <c r="B74" s="6" t="s">
        <v>1117</v>
      </c>
      <c r="C74" s="9" t="s">
        <v>4</v>
      </c>
      <c r="D74" s="8" t="s">
        <v>54</v>
      </c>
      <c r="E74" s="9">
        <v>32</v>
      </c>
      <c r="F74" s="9"/>
      <c r="G74" s="9"/>
      <c r="H74" s="12">
        <v>20</v>
      </c>
      <c r="I74" s="12"/>
      <c r="J74" s="12"/>
      <c r="K74" s="7" t="s">
        <v>120</v>
      </c>
      <c r="L74" s="124"/>
      <c r="M74" s="124"/>
      <c r="N74" s="124"/>
      <c r="O74" s="98"/>
      <c r="P74" s="14">
        <v>0.3</v>
      </c>
      <c r="Q74" s="93">
        <v>6.6543406448163935</v>
      </c>
      <c r="R74" s="93">
        <v>369.70909090909174</v>
      </c>
      <c r="S74" s="122" t="s">
        <v>1518</v>
      </c>
      <c r="T74" s="7"/>
      <c r="U74" s="7"/>
      <c r="V74" s="122"/>
      <c r="W74" s="122"/>
      <c r="X74" s="122" t="s">
        <v>1518</v>
      </c>
      <c r="Y74" s="7"/>
      <c r="Z74" s="7"/>
      <c r="AA74" s="7"/>
      <c r="AB74" s="7">
        <v>1</v>
      </c>
      <c r="AC74" s="7"/>
      <c r="AD74" s="7"/>
      <c r="AE74" s="7"/>
      <c r="AF74" s="7">
        <v>1</v>
      </c>
      <c r="AG74" s="7"/>
      <c r="AH74" s="7"/>
      <c r="AI74" s="7"/>
      <c r="AJ74" s="7"/>
      <c r="AK74" s="7"/>
      <c r="AL74" s="16">
        <v>45295</v>
      </c>
      <c r="AM74" s="4"/>
      <c r="AN74" s="11" t="s">
        <v>155</v>
      </c>
      <c r="AO74" s="4"/>
      <c r="AP74" s="4"/>
      <c r="AQ74" s="4"/>
      <c r="AR74" s="11">
        <v>600</v>
      </c>
      <c r="AS74" s="11"/>
      <c r="AT74" s="11"/>
      <c r="AU74" s="11"/>
    </row>
    <row r="75" spans="1:47" ht="15.75" x14ac:dyDescent="0.25">
      <c r="A75" s="114" t="s">
        <v>1456</v>
      </c>
      <c r="B75" s="6" t="s">
        <v>1117</v>
      </c>
      <c r="C75" s="9" t="s">
        <v>4</v>
      </c>
      <c r="D75" s="8" t="s">
        <v>54</v>
      </c>
      <c r="E75" s="9">
        <v>32</v>
      </c>
      <c r="F75" s="9"/>
      <c r="G75" s="9"/>
      <c r="H75" s="7">
        <v>20</v>
      </c>
      <c r="I75" s="12"/>
      <c r="J75" s="12"/>
      <c r="K75" s="7" t="s">
        <v>80</v>
      </c>
      <c r="L75" s="124"/>
      <c r="M75" s="124"/>
      <c r="N75" s="124"/>
      <c r="O75" s="98"/>
      <c r="P75" s="14">
        <v>0.3</v>
      </c>
      <c r="Q75" s="93">
        <v>13.308681289632787</v>
      </c>
      <c r="R75" s="93">
        <v>739.41818181818348</v>
      </c>
      <c r="S75" s="122" t="s">
        <v>1518</v>
      </c>
      <c r="T75" s="7"/>
      <c r="U75" s="7"/>
      <c r="V75" s="122"/>
      <c r="W75" s="122"/>
      <c r="X75" s="122" t="s">
        <v>1518</v>
      </c>
      <c r="Y75" s="7"/>
      <c r="Z75" s="7"/>
      <c r="AA75" s="7"/>
      <c r="AB75" s="7">
        <v>1</v>
      </c>
      <c r="AC75" s="7"/>
      <c r="AD75" s="7"/>
      <c r="AE75" s="7">
        <v>1</v>
      </c>
      <c r="AF75" s="7">
        <v>1</v>
      </c>
      <c r="AG75" s="7"/>
      <c r="AH75" s="7">
        <v>1</v>
      </c>
      <c r="AI75" s="7"/>
      <c r="AJ75" s="7"/>
      <c r="AK75" s="7"/>
      <c r="AL75" s="16">
        <v>45295</v>
      </c>
      <c r="AM75" s="4"/>
      <c r="AN75" s="11" t="s">
        <v>155</v>
      </c>
      <c r="AO75" s="4"/>
      <c r="AP75" s="4"/>
      <c r="AQ75" s="4"/>
      <c r="AR75" s="11">
        <v>600</v>
      </c>
      <c r="AS75" s="11"/>
      <c r="AT75" s="11"/>
      <c r="AU75" s="11"/>
    </row>
    <row r="76" spans="1:47" ht="15.75" x14ac:dyDescent="0.25">
      <c r="A76" s="112" t="s">
        <v>1455</v>
      </c>
      <c r="B76" s="6" t="s">
        <v>1117</v>
      </c>
      <c r="C76" s="9" t="s">
        <v>4</v>
      </c>
      <c r="D76" s="8" t="s">
        <v>54</v>
      </c>
      <c r="E76" s="9">
        <v>32</v>
      </c>
      <c r="F76" s="9"/>
      <c r="G76" s="9"/>
      <c r="H76" s="7">
        <v>20</v>
      </c>
      <c r="I76" s="7"/>
      <c r="J76" s="7"/>
      <c r="K76" s="7" t="s">
        <v>59</v>
      </c>
      <c r="L76" s="122"/>
      <c r="M76" s="122"/>
      <c r="N76" s="122"/>
      <c r="O76" s="96"/>
      <c r="P76" s="14">
        <v>0.3</v>
      </c>
      <c r="Q76" s="93">
        <v>19.963021934449181</v>
      </c>
      <c r="R76" s="93">
        <v>1109.1272727272753</v>
      </c>
      <c r="S76" s="122" t="s">
        <v>1518</v>
      </c>
      <c r="T76" s="7"/>
      <c r="U76" s="7"/>
      <c r="V76" s="122"/>
      <c r="W76" s="122"/>
      <c r="X76" s="122" t="s">
        <v>1518</v>
      </c>
      <c r="Y76" s="7"/>
      <c r="Z76" s="7"/>
      <c r="AA76" s="7"/>
      <c r="AB76" s="7">
        <v>1</v>
      </c>
      <c r="AC76" s="7"/>
      <c r="AD76" s="7"/>
      <c r="AE76" s="7">
        <v>1</v>
      </c>
      <c r="AF76" s="7">
        <v>1</v>
      </c>
      <c r="AG76" s="7"/>
      <c r="AH76" s="7">
        <v>1</v>
      </c>
      <c r="AI76" s="7"/>
      <c r="AJ76" s="7"/>
      <c r="AK76" s="7"/>
      <c r="AL76" s="16">
        <v>45295</v>
      </c>
      <c r="AM76" s="4"/>
      <c r="AN76" s="11" t="s">
        <v>155</v>
      </c>
      <c r="AO76" s="4"/>
      <c r="AP76" s="4"/>
      <c r="AQ76" s="4"/>
      <c r="AR76" s="11">
        <v>600</v>
      </c>
      <c r="AS76" s="11"/>
      <c r="AT76" s="11"/>
      <c r="AU76" s="11"/>
    </row>
    <row r="77" spans="1:47" ht="15.75" x14ac:dyDescent="0.25">
      <c r="A77" s="114" t="s">
        <v>184</v>
      </c>
      <c r="B77" s="6" t="s">
        <v>1118</v>
      </c>
      <c r="C77" s="9" t="s">
        <v>4</v>
      </c>
      <c r="D77" s="8" t="s">
        <v>21</v>
      </c>
      <c r="E77" s="9">
        <v>2</v>
      </c>
      <c r="F77" s="9">
        <v>2</v>
      </c>
      <c r="G77" s="9"/>
      <c r="H77" s="12"/>
      <c r="I77" s="12"/>
      <c r="J77" s="12"/>
      <c r="K77" s="12"/>
      <c r="L77" s="124"/>
      <c r="M77" s="124"/>
      <c r="N77" s="124"/>
      <c r="O77" s="98"/>
      <c r="P77" s="7"/>
      <c r="Q77" s="93">
        <v>0.4472884993552339</v>
      </c>
      <c r="R77" s="93">
        <v>354.91822652487542</v>
      </c>
      <c r="S77" s="122" t="s">
        <v>1518</v>
      </c>
      <c r="T77" s="12"/>
      <c r="U77" s="12"/>
      <c r="V77" s="122" t="s">
        <v>1518</v>
      </c>
      <c r="W77" s="122"/>
      <c r="X77" s="122"/>
      <c r="Y77" s="7"/>
      <c r="Z77" s="7">
        <v>1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16">
        <v>45295</v>
      </c>
      <c r="AM77" s="4"/>
      <c r="AN77" s="11" t="s">
        <v>185</v>
      </c>
      <c r="AO77" s="11" t="s">
        <v>133</v>
      </c>
      <c r="AP77" s="6" t="s">
        <v>1007</v>
      </c>
      <c r="AQ77" s="4"/>
      <c r="AR77" s="11">
        <v>125</v>
      </c>
      <c r="AS77" s="11">
        <v>12.5</v>
      </c>
      <c r="AT77" s="11">
        <v>125</v>
      </c>
      <c r="AU77" s="11"/>
    </row>
    <row r="78" spans="1:47" ht="15.75" x14ac:dyDescent="0.25">
      <c r="A78" s="112" t="s">
        <v>944</v>
      </c>
      <c r="B78" s="6" t="s">
        <v>1119</v>
      </c>
      <c r="C78" s="8" t="s">
        <v>4</v>
      </c>
      <c r="D78" s="8" t="s">
        <v>29</v>
      </c>
      <c r="E78" s="9">
        <v>2</v>
      </c>
      <c r="F78" s="9">
        <v>4</v>
      </c>
      <c r="G78" s="9"/>
      <c r="H78" s="7"/>
      <c r="I78" s="7">
        <v>3</v>
      </c>
      <c r="J78" s="7"/>
      <c r="K78" s="7"/>
      <c r="L78" s="122"/>
      <c r="M78" s="122"/>
      <c r="N78" s="122"/>
      <c r="O78" s="96"/>
      <c r="P78" s="7"/>
      <c r="Q78" s="93">
        <v>0.69132259887960035</v>
      </c>
      <c r="R78" s="93">
        <v>310.87730948161391</v>
      </c>
      <c r="S78" s="122" t="s">
        <v>1518</v>
      </c>
      <c r="T78" s="7"/>
      <c r="U78" s="7"/>
      <c r="V78" s="122" t="s">
        <v>1518</v>
      </c>
      <c r="W78" s="122"/>
      <c r="X78" s="122"/>
      <c r="Y78" s="7"/>
      <c r="Z78" s="7">
        <v>1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16">
        <v>45295</v>
      </c>
      <c r="AM78" s="4"/>
      <c r="AN78" s="6" t="s">
        <v>1010</v>
      </c>
      <c r="AO78" s="11" t="s">
        <v>215</v>
      </c>
      <c r="AP78" s="11"/>
      <c r="AQ78" s="4"/>
      <c r="AR78" s="11">
        <v>2.5</v>
      </c>
      <c r="AS78" s="11">
        <v>144</v>
      </c>
      <c r="AT78" s="11"/>
      <c r="AU78" s="11"/>
    </row>
    <row r="79" spans="1:47" ht="15.75" x14ac:dyDescent="0.25">
      <c r="A79" s="112" t="s">
        <v>187</v>
      </c>
      <c r="B79" s="6" t="s">
        <v>1664</v>
      </c>
      <c r="C79" s="8" t="s">
        <v>4</v>
      </c>
      <c r="D79" s="8" t="s">
        <v>54</v>
      </c>
      <c r="E79" s="9">
        <v>4</v>
      </c>
      <c r="F79" s="9"/>
      <c r="G79" s="9"/>
      <c r="H79" s="7"/>
      <c r="I79" s="7"/>
      <c r="J79" s="7"/>
      <c r="K79" s="7"/>
      <c r="L79" s="122"/>
      <c r="M79" s="122"/>
      <c r="N79" s="122"/>
      <c r="O79" s="96"/>
      <c r="P79" s="7"/>
      <c r="Q79" s="93">
        <v>5.0687245008221716E-4</v>
      </c>
      <c r="R79" s="93">
        <v>28.888303448275934</v>
      </c>
      <c r="S79" s="122" t="s">
        <v>1518</v>
      </c>
      <c r="T79" s="7"/>
      <c r="U79" s="7"/>
      <c r="V79" s="122"/>
      <c r="W79" s="122"/>
      <c r="X79" s="122"/>
      <c r="Y79" s="7"/>
      <c r="Z79" s="7"/>
      <c r="AA79" s="7">
        <v>1</v>
      </c>
      <c r="AB79" s="7"/>
      <c r="AC79" s="7"/>
      <c r="AD79" s="7"/>
      <c r="AE79" s="7"/>
      <c r="AF79" s="7"/>
      <c r="AG79" s="7"/>
      <c r="AH79" s="7"/>
      <c r="AI79" s="7"/>
      <c r="AJ79" s="7"/>
      <c r="AK79" s="7">
        <v>1</v>
      </c>
      <c r="AL79" s="16">
        <v>45295</v>
      </c>
      <c r="AM79" s="4"/>
      <c r="AN79" s="11" t="s">
        <v>126</v>
      </c>
      <c r="AO79" s="4"/>
      <c r="AP79" s="4"/>
      <c r="AQ79" s="4"/>
      <c r="AR79" s="11">
        <v>103</v>
      </c>
      <c r="AS79" s="11"/>
      <c r="AT79" s="11"/>
      <c r="AU79" s="11"/>
    </row>
    <row r="80" spans="1:47" ht="15.75" x14ac:dyDescent="0.25">
      <c r="A80" s="112" t="s">
        <v>1875</v>
      </c>
      <c r="B80" s="6" t="s">
        <v>1876</v>
      </c>
      <c r="C80" s="8" t="s">
        <v>4</v>
      </c>
      <c r="D80" s="8" t="s">
        <v>109</v>
      </c>
      <c r="E80" s="9">
        <v>34</v>
      </c>
      <c r="F80" s="9"/>
      <c r="G80" s="9"/>
      <c r="H80" s="7"/>
      <c r="I80" s="7"/>
      <c r="J80" s="7"/>
      <c r="K80" s="7"/>
      <c r="L80" s="122"/>
      <c r="M80" s="122"/>
      <c r="N80" s="122"/>
      <c r="O80" s="96"/>
      <c r="P80" s="7"/>
      <c r="Q80" s="93">
        <v>4.1306204920660977E-2</v>
      </c>
      <c r="R80" s="93">
        <v>122.00399999999995</v>
      </c>
      <c r="S80" s="122"/>
      <c r="T80" s="7"/>
      <c r="U80" s="7"/>
      <c r="V80" s="122"/>
      <c r="W80" s="122"/>
      <c r="X80" s="122"/>
      <c r="Y80" s="7"/>
      <c r="Z80" s="7"/>
      <c r="AA80" s="7">
        <v>1</v>
      </c>
      <c r="AB80" s="7">
        <v>1</v>
      </c>
      <c r="AC80" s="7"/>
      <c r="AD80" s="7">
        <v>1</v>
      </c>
      <c r="AE80" s="7"/>
      <c r="AF80" s="7">
        <v>1</v>
      </c>
      <c r="AG80" s="7">
        <v>1</v>
      </c>
      <c r="AH80" s="7">
        <v>1</v>
      </c>
      <c r="AI80" s="7">
        <v>1</v>
      </c>
      <c r="AJ80" s="7">
        <v>1</v>
      </c>
      <c r="AK80" s="7"/>
      <c r="AL80" s="16">
        <v>45295</v>
      </c>
      <c r="AM80" s="4"/>
      <c r="AN80" s="11" t="s">
        <v>178</v>
      </c>
      <c r="AO80" s="4"/>
      <c r="AP80" s="4"/>
      <c r="AQ80" s="4"/>
      <c r="AR80" s="11">
        <v>360</v>
      </c>
      <c r="AS80" s="11"/>
      <c r="AT80" s="11"/>
      <c r="AU80" s="11"/>
    </row>
    <row r="81" spans="1:47" ht="15.75" x14ac:dyDescent="0.25">
      <c r="A81" s="112" t="s">
        <v>1559</v>
      </c>
      <c r="B81" s="6" t="s">
        <v>1438</v>
      </c>
      <c r="C81" s="8" t="s">
        <v>4</v>
      </c>
      <c r="D81" s="8" t="s">
        <v>64</v>
      </c>
      <c r="E81" s="9">
        <v>4</v>
      </c>
      <c r="F81" s="9"/>
      <c r="G81" s="9"/>
      <c r="H81" s="7"/>
      <c r="I81" s="7"/>
      <c r="J81" s="7"/>
      <c r="K81" s="7"/>
      <c r="L81" s="122"/>
      <c r="M81" s="122"/>
      <c r="N81" s="122"/>
      <c r="O81" s="96"/>
      <c r="P81" s="7"/>
      <c r="Q81" s="93">
        <v>5.0687245008221716E-4</v>
      </c>
      <c r="R81" s="93">
        <v>28.888303448275934</v>
      </c>
      <c r="S81" s="122" t="s">
        <v>1518</v>
      </c>
      <c r="T81" s="7"/>
      <c r="U81" s="7"/>
      <c r="V81" s="122"/>
      <c r="W81" s="122"/>
      <c r="X81" s="122"/>
      <c r="Y81" s="7"/>
      <c r="Z81" s="7"/>
      <c r="AA81" s="7">
        <v>1</v>
      </c>
      <c r="AB81" s="7"/>
      <c r="AC81" s="7"/>
      <c r="AD81" s="7"/>
      <c r="AE81" s="7"/>
      <c r="AF81" s="7"/>
      <c r="AG81" s="7"/>
      <c r="AH81" s="7"/>
      <c r="AI81" s="7"/>
      <c r="AJ81" s="7"/>
      <c r="AK81" s="7">
        <v>1</v>
      </c>
      <c r="AL81" s="16">
        <v>45295</v>
      </c>
      <c r="AM81" s="4"/>
      <c r="AN81" s="11" t="s">
        <v>126</v>
      </c>
      <c r="AO81" s="4"/>
      <c r="AP81" s="4"/>
      <c r="AQ81" s="4"/>
      <c r="AR81" s="11">
        <v>103</v>
      </c>
      <c r="AS81" s="11"/>
      <c r="AT81" s="11"/>
      <c r="AU81" s="11"/>
    </row>
    <row r="82" spans="1:47" ht="15.75" x14ac:dyDescent="0.25">
      <c r="A82" s="112" t="s">
        <v>188</v>
      </c>
      <c r="B82" s="6" t="s">
        <v>1122</v>
      </c>
      <c r="C82" s="9" t="s">
        <v>4</v>
      </c>
      <c r="D82" s="8" t="s">
        <v>17</v>
      </c>
      <c r="E82" s="9">
        <v>15</v>
      </c>
      <c r="F82" s="9">
        <v>34</v>
      </c>
      <c r="G82" s="9"/>
      <c r="H82" s="7">
        <v>20</v>
      </c>
      <c r="I82" s="7"/>
      <c r="J82" s="7"/>
      <c r="K82" s="7" t="s">
        <v>14</v>
      </c>
      <c r="L82" s="122" t="s">
        <v>1518</v>
      </c>
      <c r="M82" s="122" t="s">
        <v>1518</v>
      </c>
      <c r="N82" s="122"/>
      <c r="O82" s="96" t="s">
        <v>189</v>
      </c>
      <c r="P82" s="7"/>
      <c r="Q82" s="93">
        <v>31.381566345347917</v>
      </c>
      <c r="R82" s="93">
        <v>104.98018604651148</v>
      </c>
      <c r="S82" s="122" t="s">
        <v>1518</v>
      </c>
      <c r="T82" s="7"/>
      <c r="U82" s="7"/>
      <c r="V82" s="122" t="s">
        <v>1518</v>
      </c>
      <c r="W82" s="122"/>
      <c r="X82" s="122" t="s">
        <v>1518</v>
      </c>
      <c r="Y82" s="7"/>
      <c r="Z82" s="7"/>
      <c r="AA82" s="7"/>
      <c r="AB82" s="7"/>
      <c r="AC82" s="7"/>
      <c r="AD82" s="7">
        <v>1</v>
      </c>
      <c r="AE82" s="7"/>
      <c r="AF82" s="7">
        <v>1</v>
      </c>
      <c r="AG82" s="7">
        <v>1</v>
      </c>
      <c r="AH82" s="7"/>
      <c r="AI82" s="7"/>
      <c r="AJ82" s="7"/>
      <c r="AK82" s="7"/>
      <c r="AL82" s="16">
        <v>45295</v>
      </c>
      <c r="AM82" s="4"/>
      <c r="AN82" s="4" t="s">
        <v>190</v>
      </c>
      <c r="AO82" s="4" t="s">
        <v>178</v>
      </c>
      <c r="AP82" s="4"/>
      <c r="AQ82" s="4"/>
      <c r="AR82" s="11">
        <v>400</v>
      </c>
      <c r="AS82" s="11">
        <v>24</v>
      </c>
      <c r="AT82" s="11"/>
      <c r="AU82" s="11"/>
    </row>
    <row r="83" spans="1:47" ht="28.5" x14ac:dyDescent="0.25">
      <c r="A83" s="112" t="s">
        <v>192</v>
      </c>
      <c r="B83" s="6" t="s">
        <v>1125</v>
      </c>
      <c r="C83" s="8" t="s">
        <v>4</v>
      </c>
      <c r="D83" s="8" t="s">
        <v>17</v>
      </c>
      <c r="E83" s="9">
        <v>2</v>
      </c>
      <c r="F83" s="9">
        <v>2</v>
      </c>
      <c r="G83" s="9"/>
      <c r="H83" s="7">
        <v>20</v>
      </c>
      <c r="I83" s="7">
        <v>20</v>
      </c>
      <c r="J83" s="7"/>
      <c r="K83" s="7" t="s">
        <v>80</v>
      </c>
      <c r="L83" s="122" t="s">
        <v>1518</v>
      </c>
      <c r="M83" s="122" t="s">
        <v>1518</v>
      </c>
      <c r="N83" s="122"/>
      <c r="O83" s="96" t="s">
        <v>1523</v>
      </c>
      <c r="P83" s="14">
        <v>0.3</v>
      </c>
      <c r="Q83" s="93">
        <v>11.979373580544898</v>
      </c>
      <c r="R83" s="93">
        <v>1808.5273865414733</v>
      </c>
      <c r="S83" s="122" t="s">
        <v>1518</v>
      </c>
      <c r="T83" s="7"/>
      <c r="U83" s="7"/>
      <c r="V83" s="122"/>
      <c r="W83" s="122"/>
      <c r="X83" s="122"/>
      <c r="Y83" s="7"/>
      <c r="Z83" s="7">
        <v>1</v>
      </c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16">
        <v>45295</v>
      </c>
      <c r="AM83" s="4" t="s">
        <v>1861</v>
      </c>
      <c r="AN83" s="11" t="s">
        <v>123</v>
      </c>
      <c r="AO83" s="6" t="s">
        <v>193</v>
      </c>
      <c r="AP83" s="4"/>
      <c r="AQ83" s="4"/>
      <c r="AR83" s="11">
        <v>40</v>
      </c>
      <c r="AS83" s="11">
        <v>400</v>
      </c>
      <c r="AT83" s="11"/>
      <c r="AU83" s="11"/>
    </row>
    <row r="84" spans="1:47" ht="28.5" x14ac:dyDescent="0.25">
      <c r="A84" s="112" t="s">
        <v>1479</v>
      </c>
      <c r="B84" s="6" t="s">
        <v>1125</v>
      </c>
      <c r="C84" s="8" t="s">
        <v>4</v>
      </c>
      <c r="D84" s="8" t="s">
        <v>17</v>
      </c>
      <c r="E84" s="9">
        <v>2</v>
      </c>
      <c r="F84" s="9">
        <v>2</v>
      </c>
      <c r="G84" s="9"/>
      <c r="H84" s="7">
        <v>20</v>
      </c>
      <c r="I84" s="7">
        <v>20</v>
      </c>
      <c r="J84" s="7"/>
      <c r="K84" s="7" t="s">
        <v>14</v>
      </c>
      <c r="L84" s="122" t="s">
        <v>1518</v>
      </c>
      <c r="M84" s="122" t="s">
        <v>1518</v>
      </c>
      <c r="N84" s="122"/>
      <c r="O84" s="96" t="s">
        <v>1523</v>
      </c>
      <c r="P84" s="14">
        <v>0.3</v>
      </c>
      <c r="Q84" s="93">
        <v>11.979373580544898</v>
      </c>
      <c r="R84" s="93">
        <v>1808.5273865414733</v>
      </c>
      <c r="S84" s="122" t="s">
        <v>1518</v>
      </c>
      <c r="T84" s="7"/>
      <c r="U84" s="7"/>
      <c r="V84" s="122"/>
      <c r="W84" s="122"/>
      <c r="X84" s="122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16">
        <v>45295</v>
      </c>
      <c r="AM84" s="4" t="s">
        <v>1861</v>
      </c>
      <c r="AN84" s="11" t="s">
        <v>123</v>
      </c>
      <c r="AO84" s="6" t="s">
        <v>193</v>
      </c>
      <c r="AP84" s="4"/>
      <c r="AQ84" s="4"/>
      <c r="AR84" s="11">
        <v>40</v>
      </c>
      <c r="AS84" s="11">
        <v>400</v>
      </c>
      <c r="AT84" s="11"/>
      <c r="AU84" s="11"/>
    </row>
    <row r="85" spans="1:47" ht="15.75" x14ac:dyDescent="0.25">
      <c r="A85" s="112" t="s">
        <v>194</v>
      </c>
      <c r="B85" s="6" t="s">
        <v>1126</v>
      </c>
      <c r="C85" s="8" t="s">
        <v>4</v>
      </c>
      <c r="D85" s="9" t="s">
        <v>13</v>
      </c>
      <c r="E85" s="9">
        <v>5</v>
      </c>
      <c r="F85" s="9"/>
      <c r="G85" s="9"/>
      <c r="H85" s="7"/>
      <c r="I85" s="7"/>
      <c r="J85" s="7"/>
      <c r="K85" s="7" t="s">
        <v>14</v>
      </c>
      <c r="L85" s="122"/>
      <c r="M85" s="122"/>
      <c r="N85" s="122"/>
      <c r="O85" s="96"/>
      <c r="P85" s="14">
        <v>0.3</v>
      </c>
      <c r="Q85" s="93">
        <v>4.2328333617106617</v>
      </c>
      <c r="R85" s="93">
        <v>462.13636363636289</v>
      </c>
      <c r="S85" s="122" t="s">
        <v>1518</v>
      </c>
      <c r="T85" s="7"/>
      <c r="U85" s="7"/>
      <c r="V85" s="122"/>
      <c r="W85" s="122"/>
      <c r="X85" s="122" t="s">
        <v>1518</v>
      </c>
      <c r="Y85" s="7" t="s">
        <v>7</v>
      </c>
      <c r="Z85" s="7">
        <v>1</v>
      </c>
      <c r="AA85" s="7"/>
      <c r="AB85" s="7">
        <v>1</v>
      </c>
      <c r="AC85" s="7"/>
      <c r="AD85" s="7"/>
      <c r="AE85" s="7"/>
      <c r="AF85" s="7"/>
      <c r="AG85" s="7"/>
      <c r="AH85" s="7"/>
      <c r="AI85" s="7"/>
      <c r="AJ85" s="7"/>
      <c r="AK85" s="7"/>
      <c r="AL85" s="16">
        <v>45295</v>
      </c>
      <c r="AM85" s="4"/>
      <c r="AN85" s="6" t="s">
        <v>1012</v>
      </c>
      <c r="AO85" s="4"/>
      <c r="AP85" s="4"/>
      <c r="AQ85" s="4"/>
      <c r="AR85" s="11">
        <v>600</v>
      </c>
      <c r="AS85" s="11"/>
      <c r="AT85" s="11"/>
      <c r="AU85" s="11"/>
    </row>
    <row r="86" spans="1:47" ht="28.5" x14ac:dyDescent="0.25">
      <c r="A86" s="112" t="s">
        <v>943</v>
      </c>
      <c r="B86" s="6" t="s">
        <v>1127</v>
      </c>
      <c r="C86" s="8" t="s">
        <v>4</v>
      </c>
      <c r="D86" s="8" t="s">
        <v>17</v>
      </c>
      <c r="E86" s="9">
        <v>2</v>
      </c>
      <c r="F86" s="9">
        <v>2</v>
      </c>
      <c r="G86" s="9">
        <v>4</v>
      </c>
      <c r="H86" s="7">
        <v>20</v>
      </c>
      <c r="I86" s="7">
        <v>20</v>
      </c>
      <c r="J86" s="7"/>
      <c r="K86" s="7" t="s">
        <v>120</v>
      </c>
      <c r="L86" s="122" t="s">
        <v>1518</v>
      </c>
      <c r="M86" s="122" t="s">
        <v>1518</v>
      </c>
      <c r="N86" s="122"/>
      <c r="O86" s="96" t="s">
        <v>1523</v>
      </c>
      <c r="P86" s="14">
        <v>0.3</v>
      </c>
      <c r="Q86" s="93">
        <v>9.7669412540698719</v>
      </c>
      <c r="R86" s="93">
        <v>1685.3029283396213</v>
      </c>
      <c r="S86" s="122" t="s">
        <v>1518</v>
      </c>
      <c r="T86" s="7"/>
      <c r="U86" s="7"/>
      <c r="V86" s="122"/>
      <c r="W86" s="122"/>
      <c r="X86" s="122"/>
      <c r="Y86" s="7"/>
      <c r="Z86" s="7">
        <v>1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16">
        <v>45295</v>
      </c>
      <c r="AM86" s="4" t="s">
        <v>1861</v>
      </c>
      <c r="AN86" s="11" t="s">
        <v>123</v>
      </c>
      <c r="AO86" s="6" t="s">
        <v>193</v>
      </c>
      <c r="AP86" s="4" t="s">
        <v>215</v>
      </c>
      <c r="AQ86" s="4"/>
      <c r="AR86" s="11">
        <v>5</v>
      </c>
      <c r="AS86" s="11">
        <v>30</v>
      </c>
      <c r="AT86" s="11">
        <v>135</v>
      </c>
      <c r="AU86" s="11"/>
    </row>
    <row r="87" spans="1:47" ht="15.75" x14ac:dyDescent="0.25">
      <c r="A87" s="112" t="s">
        <v>1895</v>
      </c>
      <c r="B87" s="6" t="s">
        <v>1128</v>
      </c>
      <c r="C87" s="9" t="s">
        <v>4</v>
      </c>
      <c r="D87" s="8" t="s">
        <v>21</v>
      </c>
      <c r="E87" s="9">
        <v>2</v>
      </c>
      <c r="F87" s="9">
        <v>2</v>
      </c>
      <c r="G87" s="9"/>
      <c r="H87" s="7">
        <v>6</v>
      </c>
      <c r="I87" s="7"/>
      <c r="J87" s="7"/>
      <c r="K87" s="7" t="s">
        <v>14</v>
      </c>
      <c r="L87" s="122"/>
      <c r="M87" s="122"/>
      <c r="N87" s="122"/>
      <c r="O87" s="96"/>
      <c r="P87" s="7"/>
      <c r="Q87" s="93">
        <v>8.1677811429548939</v>
      </c>
      <c r="R87" s="93">
        <v>387.26100513572925</v>
      </c>
      <c r="S87" s="122" t="s">
        <v>1518</v>
      </c>
      <c r="T87" s="7"/>
      <c r="U87" s="7"/>
      <c r="V87" s="122" t="s">
        <v>1518</v>
      </c>
      <c r="W87" s="122" t="s">
        <v>1518</v>
      </c>
      <c r="X87" s="124"/>
      <c r="Y87" s="12"/>
      <c r="Z87" s="7"/>
      <c r="AA87" s="7">
        <v>1</v>
      </c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16">
        <v>45295</v>
      </c>
      <c r="AM87" s="4"/>
      <c r="AN87" s="4" t="s">
        <v>195</v>
      </c>
      <c r="AO87" s="4" t="s">
        <v>116</v>
      </c>
      <c r="AP87" s="4"/>
      <c r="AQ87" s="4"/>
      <c r="AR87" s="11">
        <v>50</v>
      </c>
      <c r="AS87" s="11">
        <v>30</v>
      </c>
      <c r="AT87" s="11"/>
      <c r="AU87" s="11"/>
    </row>
    <row r="88" spans="1:47" ht="15.75" x14ac:dyDescent="0.25">
      <c r="A88" s="112" t="s">
        <v>1896</v>
      </c>
      <c r="B88" s="6" t="s">
        <v>1128</v>
      </c>
      <c r="C88" s="9" t="s">
        <v>4</v>
      </c>
      <c r="D88" s="8" t="s">
        <v>21</v>
      </c>
      <c r="E88" s="9">
        <v>2</v>
      </c>
      <c r="F88" s="9">
        <v>2</v>
      </c>
      <c r="G88" s="9"/>
      <c r="H88" s="7">
        <v>6</v>
      </c>
      <c r="I88" s="7"/>
      <c r="J88" s="7"/>
      <c r="K88" s="7" t="s">
        <v>120</v>
      </c>
      <c r="L88" s="122"/>
      <c r="M88" s="122"/>
      <c r="N88" s="122"/>
      <c r="O88" s="96"/>
      <c r="P88" s="7"/>
      <c r="Q88" s="93">
        <v>8.1677811429548939</v>
      </c>
      <c r="R88" s="93">
        <v>387.26100513572925</v>
      </c>
      <c r="S88" s="122" t="s">
        <v>1518</v>
      </c>
      <c r="T88" s="7"/>
      <c r="U88" s="7"/>
      <c r="V88" s="122" t="s">
        <v>1518</v>
      </c>
      <c r="W88" s="122" t="s">
        <v>1518</v>
      </c>
      <c r="X88" s="124"/>
      <c r="Y88" s="12"/>
      <c r="Z88" s="7"/>
      <c r="AA88" s="7">
        <v>1</v>
      </c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16">
        <v>45295</v>
      </c>
      <c r="AM88" s="4"/>
      <c r="AN88" s="4" t="s">
        <v>195</v>
      </c>
      <c r="AO88" s="4" t="s">
        <v>116</v>
      </c>
      <c r="AP88" s="4"/>
      <c r="AQ88" s="4"/>
      <c r="AR88" s="11">
        <v>50</v>
      </c>
      <c r="AS88" s="11">
        <v>30</v>
      </c>
      <c r="AT88" s="11"/>
      <c r="AU88" s="11"/>
    </row>
    <row r="89" spans="1:47" ht="15.75" x14ac:dyDescent="0.25">
      <c r="A89" s="112" t="s">
        <v>1460</v>
      </c>
      <c r="B89" s="6" t="s">
        <v>1139</v>
      </c>
      <c r="C89" s="9" t="s">
        <v>4</v>
      </c>
      <c r="D89" s="8" t="s">
        <v>17</v>
      </c>
      <c r="E89" s="9">
        <v>32</v>
      </c>
      <c r="F89" s="9"/>
      <c r="G89" s="9"/>
      <c r="H89" s="12">
        <v>20</v>
      </c>
      <c r="I89" s="7"/>
      <c r="J89" s="7"/>
      <c r="K89" s="7" t="s">
        <v>120</v>
      </c>
      <c r="L89" s="122"/>
      <c r="M89" s="122"/>
      <c r="N89" s="122"/>
      <c r="O89" s="96"/>
      <c r="P89" s="14">
        <v>0.3</v>
      </c>
      <c r="Q89" s="93">
        <v>6.6543406448163935</v>
      </c>
      <c r="R89" s="93">
        <v>369.70909090909174</v>
      </c>
      <c r="S89" s="122" t="s">
        <v>1518</v>
      </c>
      <c r="T89" s="7"/>
      <c r="U89" s="7"/>
      <c r="V89" s="122"/>
      <c r="W89" s="122"/>
      <c r="X89" s="122" t="s">
        <v>1518</v>
      </c>
      <c r="Y89" s="7"/>
      <c r="Z89" s="7"/>
      <c r="AA89" s="7"/>
      <c r="AB89" s="7">
        <v>1</v>
      </c>
      <c r="AC89" s="7"/>
      <c r="AD89" s="7"/>
      <c r="AE89" s="7"/>
      <c r="AF89" s="7">
        <v>1</v>
      </c>
      <c r="AG89" s="7"/>
      <c r="AH89" s="7"/>
      <c r="AI89" s="7"/>
      <c r="AJ89" s="7"/>
      <c r="AK89" s="7"/>
      <c r="AL89" s="16">
        <v>45295</v>
      </c>
      <c r="AM89" s="4"/>
      <c r="AN89" s="11" t="s">
        <v>155</v>
      </c>
      <c r="AO89" s="4"/>
      <c r="AP89" s="4"/>
      <c r="AQ89" s="4"/>
      <c r="AR89" s="11">
        <v>600</v>
      </c>
      <c r="AS89" s="11"/>
      <c r="AT89" s="11"/>
      <c r="AU89" s="11"/>
    </row>
    <row r="90" spans="1:47" ht="15.75" x14ac:dyDescent="0.25">
      <c r="A90" s="112" t="s">
        <v>1459</v>
      </c>
      <c r="B90" s="6" t="s">
        <v>1139</v>
      </c>
      <c r="C90" s="9" t="s">
        <v>4</v>
      </c>
      <c r="D90" s="8" t="s">
        <v>17</v>
      </c>
      <c r="E90" s="9">
        <v>32</v>
      </c>
      <c r="F90" s="9"/>
      <c r="G90" s="9"/>
      <c r="H90" s="7">
        <v>20</v>
      </c>
      <c r="I90" s="7"/>
      <c r="J90" s="7"/>
      <c r="K90" s="7" t="s">
        <v>80</v>
      </c>
      <c r="L90" s="122"/>
      <c r="M90" s="122"/>
      <c r="N90" s="122"/>
      <c r="O90" s="96"/>
      <c r="P90" s="14">
        <v>0.3</v>
      </c>
      <c r="Q90" s="93">
        <v>13.308681289632787</v>
      </c>
      <c r="R90" s="93">
        <v>739.41818181818348</v>
      </c>
      <c r="S90" s="122" t="s">
        <v>1518</v>
      </c>
      <c r="T90" s="7"/>
      <c r="U90" s="7"/>
      <c r="V90" s="122"/>
      <c r="W90" s="122"/>
      <c r="X90" s="122" t="s">
        <v>1518</v>
      </c>
      <c r="Y90" s="7"/>
      <c r="Z90" s="7"/>
      <c r="AA90" s="7"/>
      <c r="AB90" s="7">
        <v>1</v>
      </c>
      <c r="AC90" s="7"/>
      <c r="AD90" s="7"/>
      <c r="AE90" s="7">
        <v>1</v>
      </c>
      <c r="AF90" s="7">
        <v>1</v>
      </c>
      <c r="AG90" s="7"/>
      <c r="AH90" s="7">
        <v>1</v>
      </c>
      <c r="AI90" s="7"/>
      <c r="AJ90" s="7"/>
      <c r="AK90" s="7"/>
      <c r="AL90" s="16">
        <v>45295</v>
      </c>
      <c r="AM90" s="4"/>
      <c r="AN90" s="11" t="s">
        <v>155</v>
      </c>
      <c r="AO90" s="4"/>
      <c r="AP90" s="4"/>
      <c r="AQ90" s="4"/>
      <c r="AR90" s="11">
        <v>600</v>
      </c>
      <c r="AS90" s="11"/>
      <c r="AT90" s="11"/>
      <c r="AU90" s="11"/>
    </row>
    <row r="91" spans="1:47" ht="15.75" x14ac:dyDescent="0.25">
      <c r="A91" s="112" t="s">
        <v>1458</v>
      </c>
      <c r="B91" s="6" t="s">
        <v>1139</v>
      </c>
      <c r="C91" s="9" t="s">
        <v>4</v>
      </c>
      <c r="D91" s="8" t="s">
        <v>17</v>
      </c>
      <c r="E91" s="9">
        <v>32</v>
      </c>
      <c r="F91" s="9"/>
      <c r="G91" s="9"/>
      <c r="H91" s="7">
        <v>20</v>
      </c>
      <c r="I91" s="7"/>
      <c r="J91" s="7"/>
      <c r="K91" s="7" t="s">
        <v>59</v>
      </c>
      <c r="L91" s="122"/>
      <c r="M91" s="122"/>
      <c r="N91" s="122"/>
      <c r="O91" s="96"/>
      <c r="P91" s="14">
        <v>0.3</v>
      </c>
      <c r="Q91" s="93">
        <v>19.963021934449181</v>
      </c>
      <c r="R91" s="93">
        <v>1109.1272727272753</v>
      </c>
      <c r="S91" s="122" t="s">
        <v>1518</v>
      </c>
      <c r="T91" s="7"/>
      <c r="U91" s="7"/>
      <c r="V91" s="122"/>
      <c r="W91" s="122"/>
      <c r="X91" s="122" t="s">
        <v>1518</v>
      </c>
      <c r="Y91" s="7"/>
      <c r="Z91" s="7"/>
      <c r="AA91" s="7"/>
      <c r="AB91" s="7">
        <v>1</v>
      </c>
      <c r="AC91" s="7"/>
      <c r="AD91" s="7"/>
      <c r="AE91" s="7">
        <v>1</v>
      </c>
      <c r="AF91" s="7">
        <v>1</v>
      </c>
      <c r="AG91" s="7"/>
      <c r="AH91" s="7">
        <v>1</v>
      </c>
      <c r="AI91" s="7"/>
      <c r="AJ91" s="7"/>
      <c r="AK91" s="7"/>
      <c r="AL91" s="16">
        <v>45295</v>
      </c>
      <c r="AM91" s="4"/>
      <c r="AN91" s="11" t="s">
        <v>155</v>
      </c>
      <c r="AO91" s="4"/>
      <c r="AP91" s="4"/>
      <c r="AQ91" s="4"/>
      <c r="AR91" s="11">
        <v>600</v>
      </c>
      <c r="AS91" s="11"/>
      <c r="AT91" s="11"/>
      <c r="AU91" s="11"/>
    </row>
    <row r="92" spans="1:47" ht="15.75" x14ac:dyDescent="0.25">
      <c r="A92" s="112" t="s">
        <v>196</v>
      </c>
      <c r="B92" s="6" t="s">
        <v>1141</v>
      </c>
      <c r="C92" s="8" t="s">
        <v>4</v>
      </c>
      <c r="D92" s="8" t="s">
        <v>17</v>
      </c>
      <c r="E92" s="9">
        <v>5</v>
      </c>
      <c r="F92" s="9"/>
      <c r="G92" s="9"/>
      <c r="H92" s="7"/>
      <c r="I92" s="7"/>
      <c r="J92" s="7"/>
      <c r="K92" s="7" t="s">
        <v>14</v>
      </c>
      <c r="L92" s="122"/>
      <c r="M92" s="122"/>
      <c r="N92" s="122"/>
      <c r="O92" s="96"/>
      <c r="P92" s="14">
        <v>0.3</v>
      </c>
      <c r="Q92" s="93">
        <v>4.2328333617106617</v>
      </c>
      <c r="R92" s="93">
        <v>462.13636363636289</v>
      </c>
      <c r="S92" s="122" t="s">
        <v>1518</v>
      </c>
      <c r="T92" s="7"/>
      <c r="U92" s="7"/>
      <c r="V92" s="122"/>
      <c r="W92" s="122"/>
      <c r="X92" s="122" t="s">
        <v>1518</v>
      </c>
      <c r="Y92" s="7"/>
      <c r="Z92" s="7">
        <v>1</v>
      </c>
      <c r="AA92" s="7"/>
      <c r="AB92" s="7">
        <v>1</v>
      </c>
      <c r="AC92" s="7"/>
      <c r="AD92" s="7"/>
      <c r="AE92" s="7"/>
      <c r="AF92" s="7"/>
      <c r="AG92" s="7"/>
      <c r="AH92" s="7"/>
      <c r="AI92" s="7"/>
      <c r="AJ92" s="7"/>
      <c r="AK92" s="7"/>
      <c r="AL92" s="16">
        <v>45295</v>
      </c>
      <c r="AM92" s="4"/>
      <c r="AN92" s="6" t="s">
        <v>1012</v>
      </c>
      <c r="AO92" s="4"/>
      <c r="AP92" s="4"/>
      <c r="AQ92" s="4"/>
      <c r="AR92" s="11">
        <v>700</v>
      </c>
      <c r="AS92" s="11"/>
      <c r="AT92" s="11"/>
      <c r="AU92" s="11"/>
    </row>
    <row r="93" spans="1:47" ht="15.75" x14ac:dyDescent="0.25">
      <c r="A93" s="112" t="s">
        <v>1144</v>
      </c>
      <c r="B93" s="6" t="s">
        <v>1145</v>
      </c>
      <c r="C93" s="8" t="s">
        <v>4</v>
      </c>
      <c r="D93" s="8" t="s">
        <v>17</v>
      </c>
      <c r="E93" s="9">
        <v>2</v>
      </c>
      <c r="F93" s="9"/>
      <c r="G93" s="9"/>
      <c r="H93" s="7"/>
      <c r="I93" s="7">
        <v>6</v>
      </c>
      <c r="J93" s="7"/>
      <c r="K93" s="7"/>
      <c r="L93" s="122"/>
      <c r="M93" s="122"/>
      <c r="N93" s="122"/>
      <c r="O93" s="96"/>
      <c r="P93" s="7"/>
      <c r="Q93" s="93">
        <v>1.15761493138794</v>
      </c>
      <c r="R93" s="93">
        <v>40.13289473684209</v>
      </c>
      <c r="S93" s="122" t="s">
        <v>1518</v>
      </c>
      <c r="T93" s="7"/>
      <c r="U93" s="7"/>
      <c r="V93" s="122"/>
      <c r="W93" s="122"/>
      <c r="X93" s="122"/>
      <c r="Y93" s="7"/>
      <c r="Z93" s="7"/>
      <c r="AA93" s="7">
        <v>1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16">
        <v>45295</v>
      </c>
      <c r="AM93" s="4"/>
      <c r="AN93" s="11" t="s">
        <v>198</v>
      </c>
      <c r="AO93" s="4"/>
      <c r="AP93" s="4"/>
      <c r="AQ93" s="4"/>
      <c r="AR93" s="11">
        <v>500</v>
      </c>
      <c r="AS93" s="11"/>
      <c r="AT93" s="11"/>
      <c r="AU93" s="11"/>
    </row>
    <row r="94" spans="1:47" ht="15.75" x14ac:dyDescent="0.25">
      <c r="A94" s="112" t="s">
        <v>1146</v>
      </c>
      <c r="B94" s="6" t="s">
        <v>1147</v>
      </c>
      <c r="C94" s="8" t="s">
        <v>4</v>
      </c>
      <c r="D94" s="8" t="s">
        <v>17</v>
      </c>
      <c r="E94" s="9">
        <v>2</v>
      </c>
      <c r="F94" s="9">
        <v>5</v>
      </c>
      <c r="G94" s="9"/>
      <c r="H94" s="7">
        <v>6</v>
      </c>
      <c r="I94" s="7"/>
      <c r="J94" s="7"/>
      <c r="K94" s="7" t="s">
        <v>120</v>
      </c>
      <c r="L94" s="122" t="s">
        <v>1518</v>
      </c>
      <c r="M94" s="122" t="s">
        <v>1518</v>
      </c>
      <c r="N94" s="122"/>
      <c r="O94" s="96"/>
      <c r="P94" s="14">
        <v>0.3</v>
      </c>
      <c r="Q94" s="93">
        <v>10.587643197589829</v>
      </c>
      <c r="R94" s="93">
        <v>132.58069374183199</v>
      </c>
      <c r="S94" s="122" t="s">
        <v>1518</v>
      </c>
      <c r="T94" s="7"/>
      <c r="U94" s="7"/>
      <c r="V94" s="122"/>
      <c r="W94" s="122"/>
      <c r="X94" s="122"/>
      <c r="Y94" s="7"/>
      <c r="Z94" s="7"/>
      <c r="AA94" s="7">
        <v>1</v>
      </c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16">
        <v>45295</v>
      </c>
      <c r="AM94" s="4"/>
      <c r="AN94" s="11" t="s">
        <v>198</v>
      </c>
      <c r="AO94" s="11" t="s">
        <v>991</v>
      </c>
      <c r="AP94" s="4"/>
      <c r="AQ94" s="4"/>
      <c r="AR94" s="11">
        <v>71</v>
      </c>
      <c r="AS94" s="11">
        <v>714</v>
      </c>
      <c r="AT94" s="11"/>
      <c r="AU94" s="11"/>
    </row>
    <row r="95" spans="1:47" ht="15.75" x14ac:dyDescent="0.25">
      <c r="A95" s="112" t="s">
        <v>199</v>
      </c>
      <c r="B95" s="6" t="s">
        <v>1440</v>
      </c>
      <c r="C95" s="8" t="s">
        <v>4</v>
      </c>
      <c r="D95" s="8" t="s">
        <v>64</v>
      </c>
      <c r="E95" s="9">
        <v>15</v>
      </c>
      <c r="F95" s="9"/>
      <c r="G95" s="9"/>
      <c r="H95" s="7"/>
      <c r="I95" s="7"/>
      <c r="J95" s="7"/>
      <c r="K95" s="7" t="s">
        <v>14</v>
      </c>
      <c r="L95" s="122"/>
      <c r="M95" s="122"/>
      <c r="N95" s="122"/>
      <c r="O95" s="96"/>
      <c r="P95" s="7"/>
      <c r="Q95" s="93">
        <v>7.5491503505291222</v>
      </c>
      <c r="R95" s="93">
        <v>60.653243847874926</v>
      </c>
      <c r="S95" s="122" t="s">
        <v>1518</v>
      </c>
      <c r="T95" s="7"/>
      <c r="U95" s="7"/>
      <c r="V95" s="122"/>
      <c r="W95" s="122"/>
      <c r="X95" s="122" t="s">
        <v>1518</v>
      </c>
      <c r="Y95" s="7" t="s">
        <v>7</v>
      </c>
      <c r="Z95" s="7">
        <v>1</v>
      </c>
      <c r="AA95" s="7"/>
      <c r="AB95" s="7">
        <v>1</v>
      </c>
      <c r="AC95" s="7"/>
      <c r="AD95" s="7"/>
      <c r="AE95" s="7"/>
      <c r="AF95" s="7"/>
      <c r="AG95" s="7"/>
      <c r="AH95" s="7"/>
      <c r="AI95" s="7">
        <v>1</v>
      </c>
      <c r="AJ95" s="7"/>
      <c r="AK95" s="7"/>
      <c r="AL95" s="16">
        <v>45295</v>
      </c>
      <c r="AM95" s="4"/>
      <c r="AN95" s="11" t="s">
        <v>131</v>
      </c>
      <c r="AO95" s="4"/>
      <c r="AP95" s="4"/>
      <c r="AQ95" s="4"/>
      <c r="AR95" s="11">
        <v>800</v>
      </c>
      <c r="AS95" s="11"/>
      <c r="AT95" s="11"/>
      <c r="AU95" s="11"/>
    </row>
    <row r="96" spans="1:47" ht="15.75" x14ac:dyDescent="0.25">
      <c r="A96" s="112" t="s">
        <v>1588</v>
      </c>
      <c r="B96" s="6" t="s">
        <v>1589</v>
      </c>
      <c r="C96" s="9" t="s">
        <v>4</v>
      </c>
      <c r="D96" s="8" t="s">
        <v>54</v>
      </c>
      <c r="E96" s="9">
        <v>15</v>
      </c>
      <c r="F96" s="9"/>
      <c r="G96" s="9"/>
      <c r="H96" s="7">
        <v>20</v>
      </c>
      <c r="I96" s="7"/>
      <c r="J96" s="7"/>
      <c r="K96" s="7" t="s">
        <v>80</v>
      </c>
      <c r="L96" s="122" t="s">
        <v>1518</v>
      </c>
      <c r="M96" s="122" t="s">
        <v>1518</v>
      </c>
      <c r="N96" s="122" t="s">
        <v>1518</v>
      </c>
      <c r="O96" s="149" t="s">
        <v>180</v>
      </c>
      <c r="P96" s="7"/>
      <c r="Q96" s="93">
        <v>2.957136781681764</v>
      </c>
      <c r="R96" s="93">
        <v>94.188854041013286</v>
      </c>
      <c r="S96" s="122" t="s">
        <v>1518</v>
      </c>
      <c r="T96" s="7"/>
      <c r="U96" s="7"/>
      <c r="V96" s="122" t="s">
        <v>1518</v>
      </c>
      <c r="W96" s="122"/>
      <c r="X96" s="122" t="s">
        <v>1518</v>
      </c>
      <c r="Y96" s="7"/>
      <c r="Z96" s="7"/>
      <c r="AA96" s="7"/>
      <c r="AB96" s="7"/>
      <c r="AC96" s="7">
        <v>3</v>
      </c>
      <c r="AD96" s="7"/>
      <c r="AE96" s="7">
        <v>3</v>
      </c>
      <c r="AF96" s="7"/>
      <c r="AG96" s="7"/>
      <c r="AH96" s="7"/>
      <c r="AI96" s="7"/>
      <c r="AJ96" s="7"/>
      <c r="AK96" s="7"/>
      <c r="AL96" s="16">
        <v>45295</v>
      </c>
      <c r="AM96" s="4"/>
      <c r="AN96" s="6" t="s">
        <v>990</v>
      </c>
      <c r="AO96" s="4"/>
      <c r="AP96" s="4"/>
      <c r="AQ96" s="4"/>
      <c r="AR96" s="11">
        <v>960</v>
      </c>
      <c r="AS96" s="11"/>
      <c r="AT96" s="11"/>
      <c r="AU96" s="11"/>
    </row>
    <row r="97" spans="1:47" ht="15.75" x14ac:dyDescent="0.25">
      <c r="A97" s="114" t="s">
        <v>1149</v>
      </c>
      <c r="B97" s="6" t="s">
        <v>1150</v>
      </c>
      <c r="C97" s="8" t="s">
        <v>4</v>
      </c>
      <c r="D97" s="8" t="s">
        <v>17</v>
      </c>
      <c r="E97" s="9">
        <v>1</v>
      </c>
      <c r="F97" s="9"/>
      <c r="G97" s="9"/>
      <c r="H97" s="7"/>
      <c r="I97" s="7"/>
      <c r="J97" s="7"/>
      <c r="K97" s="7"/>
      <c r="L97" s="122" t="s">
        <v>1518</v>
      </c>
      <c r="M97" s="122" t="s">
        <v>1518</v>
      </c>
      <c r="N97" s="122"/>
      <c r="O97" s="96"/>
      <c r="P97" s="7"/>
      <c r="Q97" s="93">
        <v>1.2413294051170814E-2</v>
      </c>
      <c r="R97" s="93">
        <v>33.331421934497818</v>
      </c>
      <c r="S97" s="122" t="s">
        <v>1518</v>
      </c>
      <c r="T97" s="7"/>
      <c r="U97" s="7"/>
      <c r="V97" s="122" t="s">
        <v>1518</v>
      </c>
      <c r="W97" s="122"/>
      <c r="X97" s="122" t="s">
        <v>1518</v>
      </c>
      <c r="Y97" s="7"/>
      <c r="Z97" s="7">
        <v>1</v>
      </c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16">
        <v>45295</v>
      </c>
      <c r="AM97" s="4"/>
      <c r="AN97" s="4" t="s">
        <v>151</v>
      </c>
      <c r="AO97" s="6" t="s">
        <v>300</v>
      </c>
      <c r="AP97" s="4"/>
      <c r="AQ97" s="4"/>
      <c r="AR97" s="11">
        <v>50</v>
      </c>
      <c r="AS97" s="11">
        <v>125</v>
      </c>
      <c r="AT97" s="11"/>
      <c r="AU97" s="11"/>
    </row>
    <row r="98" spans="1:47" ht="15.75" x14ac:dyDescent="0.25">
      <c r="A98" s="112" t="s">
        <v>1151</v>
      </c>
      <c r="B98" s="6" t="s">
        <v>1152</v>
      </c>
      <c r="C98" s="8" t="s">
        <v>4</v>
      </c>
      <c r="D98" s="8" t="s">
        <v>17</v>
      </c>
      <c r="E98" s="9" t="s">
        <v>962</v>
      </c>
      <c r="F98" s="9"/>
      <c r="G98" s="9"/>
      <c r="H98" s="7"/>
      <c r="I98" s="7"/>
      <c r="J98" s="7"/>
      <c r="K98" s="7"/>
      <c r="L98" s="122"/>
      <c r="M98" s="122"/>
      <c r="N98" s="122"/>
      <c r="O98" s="96"/>
      <c r="P98" s="7"/>
      <c r="Q98" s="93">
        <v>0.54862255127722548</v>
      </c>
      <c r="R98" s="93">
        <v>22.137822580645185</v>
      </c>
      <c r="S98" s="122" t="s">
        <v>1518</v>
      </c>
      <c r="T98" s="7"/>
      <c r="U98" s="7"/>
      <c r="V98" s="122" t="s">
        <v>1518</v>
      </c>
      <c r="W98" s="122"/>
      <c r="X98" s="122"/>
      <c r="Y98" s="7"/>
      <c r="Z98" s="7"/>
      <c r="AA98" s="7"/>
      <c r="AB98" s="7"/>
      <c r="AC98" s="7"/>
      <c r="AD98" s="7">
        <v>1</v>
      </c>
      <c r="AE98" s="7"/>
      <c r="AF98" s="7"/>
      <c r="AG98" s="7"/>
      <c r="AH98" s="7"/>
      <c r="AI98" s="7"/>
      <c r="AJ98" s="7">
        <v>1</v>
      </c>
      <c r="AK98" s="7"/>
      <c r="AL98" s="16">
        <v>45295</v>
      </c>
      <c r="AM98" s="4"/>
      <c r="AN98" s="4" t="s">
        <v>177</v>
      </c>
      <c r="AO98" s="4"/>
      <c r="AP98" s="4"/>
      <c r="AQ98" s="4"/>
      <c r="AR98" s="11">
        <v>450</v>
      </c>
      <c r="AS98" s="11"/>
      <c r="AT98" s="11"/>
      <c r="AU98" s="11"/>
    </row>
    <row r="99" spans="1:47" ht="15.75" x14ac:dyDescent="0.25">
      <c r="A99" s="112" t="s">
        <v>201</v>
      </c>
      <c r="B99" s="6" t="s">
        <v>1154</v>
      </c>
      <c r="C99" s="8" t="s">
        <v>4</v>
      </c>
      <c r="D99" s="8" t="s">
        <v>17</v>
      </c>
      <c r="E99" s="9">
        <v>34</v>
      </c>
      <c r="F99" s="9" t="s">
        <v>962</v>
      </c>
      <c r="G99" s="9"/>
      <c r="H99" s="7"/>
      <c r="I99" s="7"/>
      <c r="J99" s="7"/>
      <c r="K99" s="7"/>
      <c r="L99" s="122"/>
      <c r="M99" s="122"/>
      <c r="N99" s="122"/>
      <c r="O99" s="96"/>
      <c r="P99" s="7"/>
      <c r="Q99" s="93">
        <v>0.45503246007975701</v>
      </c>
      <c r="R99" s="93">
        <v>118.64233064516127</v>
      </c>
      <c r="S99" s="122" t="s">
        <v>1518</v>
      </c>
      <c r="T99" s="7"/>
      <c r="U99" s="7"/>
      <c r="V99" s="122" t="s">
        <v>1518</v>
      </c>
      <c r="W99" s="122"/>
      <c r="X99" s="122" t="s">
        <v>1518</v>
      </c>
      <c r="Y99" s="7"/>
      <c r="Z99" s="7"/>
      <c r="AA99" s="7"/>
      <c r="AB99" s="7"/>
      <c r="AC99" s="7"/>
      <c r="AD99" s="7">
        <v>1</v>
      </c>
      <c r="AE99" s="7"/>
      <c r="AF99" s="7"/>
      <c r="AG99" s="7"/>
      <c r="AH99" s="7"/>
      <c r="AI99" s="7"/>
      <c r="AJ99" s="7">
        <v>1</v>
      </c>
      <c r="AK99" s="7"/>
      <c r="AL99" s="16">
        <v>45295</v>
      </c>
      <c r="AM99" s="4"/>
      <c r="AN99" s="4" t="s">
        <v>178</v>
      </c>
      <c r="AO99" s="4" t="s">
        <v>177</v>
      </c>
      <c r="AP99" s="4"/>
      <c r="AQ99" s="4"/>
      <c r="AR99" s="11">
        <v>30</v>
      </c>
      <c r="AS99" s="11">
        <v>345</v>
      </c>
      <c r="AT99" s="11"/>
      <c r="AU99" s="11"/>
    </row>
    <row r="100" spans="1:47" ht="15.75" x14ac:dyDescent="0.25">
      <c r="A100" s="112" t="s">
        <v>946</v>
      </c>
      <c r="B100" s="6" t="s">
        <v>1155</v>
      </c>
      <c r="C100" s="8" t="s">
        <v>4</v>
      </c>
      <c r="D100" s="8" t="s">
        <v>13</v>
      </c>
      <c r="E100" s="9">
        <v>4</v>
      </c>
      <c r="F100" s="9"/>
      <c r="G100" s="9"/>
      <c r="H100" s="7"/>
      <c r="I100" s="7"/>
      <c r="J100" s="7"/>
      <c r="K100" s="7"/>
      <c r="L100" s="122"/>
      <c r="M100" s="122"/>
      <c r="N100" s="122"/>
      <c r="O100" s="96"/>
      <c r="P100" s="7"/>
      <c r="Q100" s="93">
        <v>4.5893212685087947E-2</v>
      </c>
      <c r="R100" s="93">
        <v>76.252499999999827</v>
      </c>
      <c r="S100" s="122" t="s">
        <v>1518</v>
      </c>
      <c r="T100" s="7"/>
      <c r="U100" s="7"/>
      <c r="V100" s="122" t="s">
        <v>1518</v>
      </c>
      <c r="W100" s="122"/>
      <c r="X100" s="122"/>
      <c r="Y100" s="7"/>
      <c r="Z100" s="7">
        <v>1</v>
      </c>
      <c r="AA100" s="7"/>
      <c r="AB100" s="7"/>
      <c r="AC100" s="7">
        <v>1</v>
      </c>
      <c r="AD100" s="7"/>
      <c r="AE100" s="7"/>
      <c r="AF100" s="7"/>
      <c r="AG100" s="7"/>
      <c r="AH100" s="7"/>
      <c r="AI100" s="7"/>
      <c r="AJ100" s="7"/>
      <c r="AK100" s="7"/>
      <c r="AL100" s="16">
        <v>45295</v>
      </c>
      <c r="AM100" s="4"/>
      <c r="AN100" s="4" t="s">
        <v>142</v>
      </c>
      <c r="AO100" s="4"/>
      <c r="AP100" s="4"/>
      <c r="AQ100" s="4"/>
      <c r="AR100" s="11">
        <v>480</v>
      </c>
      <c r="AS100" s="11"/>
      <c r="AT100" s="11"/>
      <c r="AU100" s="11"/>
    </row>
    <row r="101" spans="1:47" ht="15.75" x14ac:dyDescent="0.25">
      <c r="A101" s="112" t="s">
        <v>945</v>
      </c>
      <c r="B101" s="6" t="s">
        <v>1156</v>
      </c>
      <c r="C101" s="8" t="s">
        <v>4</v>
      </c>
      <c r="D101" s="8" t="s">
        <v>88</v>
      </c>
      <c r="E101" s="9">
        <v>4</v>
      </c>
      <c r="F101" s="9"/>
      <c r="G101" s="9"/>
      <c r="H101" s="7"/>
      <c r="I101" s="7"/>
      <c r="J101" s="7"/>
      <c r="K101" s="7"/>
      <c r="L101" s="122"/>
      <c r="M101" s="122"/>
      <c r="N101" s="122"/>
      <c r="O101" s="96"/>
      <c r="P101" s="7"/>
      <c r="Q101" s="93">
        <v>4.5893212685087947E-2</v>
      </c>
      <c r="R101" s="93">
        <v>76.252499999999827</v>
      </c>
      <c r="S101" s="122" t="s">
        <v>1518</v>
      </c>
      <c r="T101" s="7"/>
      <c r="U101" s="7"/>
      <c r="V101" s="122" t="s">
        <v>1518</v>
      </c>
      <c r="W101" s="122"/>
      <c r="X101" s="122"/>
      <c r="Y101" s="7"/>
      <c r="Z101" s="7">
        <v>1</v>
      </c>
      <c r="AA101" s="7"/>
      <c r="AB101" s="7"/>
      <c r="AC101" s="7">
        <v>1</v>
      </c>
      <c r="AD101" s="7"/>
      <c r="AE101" s="7"/>
      <c r="AF101" s="7"/>
      <c r="AG101" s="7"/>
      <c r="AH101" s="7"/>
      <c r="AI101" s="7"/>
      <c r="AJ101" s="7"/>
      <c r="AK101" s="7"/>
      <c r="AL101" s="16">
        <v>45295</v>
      </c>
      <c r="AM101" s="4"/>
      <c r="AN101" s="4" t="s">
        <v>142</v>
      </c>
      <c r="AO101" s="4"/>
      <c r="AP101" s="4"/>
      <c r="AQ101" s="4"/>
      <c r="AR101" s="11">
        <v>480</v>
      </c>
      <c r="AS101" s="11"/>
      <c r="AT101" s="11"/>
      <c r="AU101" s="11"/>
    </row>
    <row r="102" spans="1:47" ht="15.75" x14ac:dyDescent="0.25">
      <c r="A102" s="112" t="s">
        <v>1157</v>
      </c>
      <c r="B102" s="6" t="s">
        <v>1158</v>
      </c>
      <c r="C102" s="8" t="s">
        <v>4</v>
      </c>
      <c r="D102" s="8" t="s">
        <v>17</v>
      </c>
      <c r="E102" s="9">
        <v>4</v>
      </c>
      <c r="F102" s="9"/>
      <c r="G102" s="9"/>
      <c r="H102" s="7"/>
      <c r="I102" s="7"/>
      <c r="J102" s="7"/>
      <c r="K102" s="7"/>
      <c r="L102" s="122"/>
      <c r="M102" s="122"/>
      <c r="N102" s="122"/>
      <c r="O102" s="96"/>
      <c r="P102" s="7"/>
      <c r="Q102" s="93">
        <v>4.5893212685087947E-2</v>
      </c>
      <c r="R102" s="93">
        <v>76.252499999999827</v>
      </c>
      <c r="S102" s="122" t="s">
        <v>1518</v>
      </c>
      <c r="T102" s="7"/>
      <c r="U102" s="7"/>
      <c r="V102" s="122" t="s">
        <v>1518</v>
      </c>
      <c r="W102" s="122"/>
      <c r="X102" s="122"/>
      <c r="Y102" s="7"/>
      <c r="Z102" s="7">
        <v>1</v>
      </c>
      <c r="AA102" s="7"/>
      <c r="AB102" s="7"/>
      <c r="AC102" s="7">
        <v>1</v>
      </c>
      <c r="AD102" s="7"/>
      <c r="AE102" s="7"/>
      <c r="AF102" s="7"/>
      <c r="AG102" s="7"/>
      <c r="AH102" s="7"/>
      <c r="AI102" s="7"/>
      <c r="AJ102" s="7"/>
      <c r="AK102" s="7"/>
      <c r="AL102" s="16">
        <v>45295</v>
      </c>
      <c r="AM102" s="4"/>
      <c r="AN102" s="4" t="s">
        <v>142</v>
      </c>
      <c r="AO102" s="4"/>
      <c r="AP102" s="4"/>
      <c r="AQ102" s="4"/>
      <c r="AR102" s="11">
        <v>480</v>
      </c>
      <c r="AS102" s="11"/>
      <c r="AT102" s="11"/>
      <c r="AU102" s="11"/>
    </row>
    <row r="103" spans="1:47" ht="15.75" x14ac:dyDescent="0.25">
      <c r="A103" s="112" t="s">
        <v>1441</v>
      </c>
      <c r="B103" s="6" t="s">
        <v>1442</v>
      </c>
      <c r="C103" s="8" t="s">
        <v>4</v>
      </c>
      <c r="D103" s="8" t="s">
        <v>64</v>
      </c>
      <c r="E103" s="9">
        <v>4</v>
      </c>
      <c r="F103" s="9"/>
      <c r="G103" s="9"/>
      <c r="H103" s="7"/>
      <c r="I103" s="7"/>
      <c r="J103" s="7"/>
      <c r="K103" s="7"/>
      <c r="L103" s="122"/>
      <c r="M103" s="122"/>
      <c r="N103" s="122"/>
      <c r="O103" s="96"/>
      <c r="P103" s="7"/>
      <c r="Q103" s="93">
        <v>5.0687245008221716E-4</v>
      </c>
      <c r="R103" s="93">
        <v>28.888303448275934</v>
      </c>
      <c r="S103" s="122" t="s">
        <v>1518</v>
      </c>
      <c r="T103" s="7"/>
      <c r="U103" s="7"/>
      <c r="V103" s="122"/>
      <c r="W103" s="122"/>
      <c r="X103" s="122"/>
      <c r="Y103" s="7"/>
      <c r="Z103" s="7"/>
      <c r="AA103" s="7">
        <v>1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>
        <v>1</v>
      </c>
      <c r="AL103" s="16">
        <v>45295</v>
      </c>
      <c r="AM103" s="4"/>
      <c r="AN103" s="11" t="s">
        <v>126</v>
      </c>
      <c r="AO103" s="4"/>
      <c r="AP103" s="4"/>
      <c r="AQ103" s="4"/>
      <c r="AR103" s="11">
        <v>103</v>
      </c>
      <c r="AS103" s="11"/>
      <c r="AT103" s="11"/>
      <c r="AU103" s="11"/>
    </row>
    <row r="104" spans="1:47" ht="15.75" x14ac:dyDescent="0.25">
      <c r="A104" s="112" t="s">
        <v>202</v>
      </c>
      <c r="B104" s="6" t="s">
        <v>1161</v>
      </c>
      <c r="C104" s="8" t="s">
        <v>4</v>
      </c>
      <c r="D104" s="8" t="s">
        <v>54</v>
      </c>
      <c r="E104" s="9">
        <v>12</v>
      </c>
      <c r="F104" s="9"/>
      <c r="G104" s="9"/>
      <c r="H104" s="7"/>
      <c r="I104" s="7"/>
      <c r="J104" s="7"/>
      <c r="K104" s="7"/>
      <c r="L104" s="122"/>
      <c r="M104" s="122"/>
      <c r="N104" s="122"/>
      <c r="O104" s="96"/>
      <c r="P104" s="14">
        <v>0.3</v>
      </c>
      <c r="Q104" s="93">
        <v>25.652657731866491</v>
      </c>
      <c r="R104" s="93">
        <v>330.9570312499996</v>
      </c>
      <c r="S104" s="122" t="s">
        <v>1518</v>
      </c>
      <c r="T104" s="7"/>
      <c r="U104" s="7"/>
      <c r="V104" s="122"/>
      <c r="W104" s="122"/>
      <c r="X104" s="122"/>
      <c r="Y104" s="7"/>
      <c r="Z104" s="7">
        <v>1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16">
        <v>45295</v>
      </c>
      <c r="AM104" s="4"/>
      <c r="AN104" s="6" t="s">
        <v>999</v>
      </c>
      <c r="AO104" s="4"/>
      <c r="AP104" s="4"/>
      <c r="AQ104" s="4"/>
      <c r="AR104" s="11">
        <v>500</v>
      </c>
      <c r="AS104" s="11"/>
      <c r="AT104" s="11"/>
      <c r="AU104" s="11"/>
    </row>
    <row r="105" spans="1:47" ht="15.75" x14ac:dyDescent="0.25">
      <c r="A105" s="112" t="s">
        <v>204</v>
      </c>
      <c r="B105" s="6" t="s">
        <v>1162</v>
      </c>
      <c r="C105" s="8" t="s">
        <v>4</v>
      </c>
      <c r="D105" s="8" t="s">
        <v>29</v>
      </c>
      <c r="E105" s="9">
        <v>4</v>
      </c>
      <c r="F105" s="9"/>
      <c r="G105" s="9"/>
      <c r="H105" s="7"/>
      <c r="I105" s="7"/>
      <c r="J105" s="7"/>
      <c r="K105" s="7"/>
      <c r="L105" s="122"/>
      <c r="M105" s="122"/>
      <c r="N105" s="122"/>
      <c r="O105" s="96"/>
      <c r="P105" s="7"/>
      <c r="Q105" s="93">
        <v>0.39355336380053729</v>
      </c>
      <c r="R105" s="93">
        <v>0.32534399999999936</v>
      </c>
      <c r="S105" s="122" t="s">
        <v>1518</v>
      </c>
      <c r="T105" s="7"/>
      <c r="U105" s="7"/>
      <c r="V105" s="122" t="s">
        <v>1518</v>
      </c>
      <c r="W105" s="122"/>
      <c r="X105" s="122" t="s">
        <v>1518</v>
      </c>
      <c r="Y105" s="7"/>
      <c r="Z105" s="7">
        <v>1</v>
      </c>
      <c r="AA105" s="7"/>
      <c r="AB105" s="7">
        <v>1</v>
      </c>
      <c r="AC105" s="7"/>
      <c r="AD105" s="7"/>
      <c r="AE105" s="7"/>
      <c r="AF105" s="7">
        <v>1</v>
      </c>
      <c r="AG105" s="7"/>
      <c r="AH105" s="7"/>
      <c r="AI105" s="7"/>
      <c r="AJ105" s="7"/>
      <c r="AK105" s="7">
        <v>1</v>
      </c>
      <c r="AL105" s="16">
        <v>45295</v>
      </c>
      <c r="AM105" s="4"/>
      <c r="AN105" s="11" t="s">
        <v>205</v>
      </c>
      <c r="AO105" s="4"/>
      <c r="AP105" s="4"/>
      <c r="AQ105" s="4"/>
      <c r="AR105" s="11">
        <v>400</v>
      </c>
      <c r="AS105" s="11"/>
      <c r="AT105" s="11"/>
      <c r="AU105" s="11"/>
    </row>
    <row r="106" spans="1:47" ht="15.75" x14ac:dyDescent="0.25">
      <c r="A106" s="112" t="s">
        <v>206</v>
      </c>
      <c r="B106" s="6" t="s">
        <v>1164</v>
      </c>
      <c r="C106" s="9" t="s">
        <v>4</v>
      </c>
      <c r="D106" s="8" t="s">
        <v>29</v>
      </c>
      <c r="E106" s="9">
        <v>15</v>
      </c>
      <c r="F106" s="9"/>
      <c r="G106" s="9"/>
      <c r="H106" s="7">
        <v>20</v>
      </c>
      <c r="I106" s="7"/>
      <c r="J106" s="7"/>
      <c r="K106" s="7" t="s">
        <v>80</v>
      </c>
      <c r="L106" s="122" t="s">
        <v>1518</v>
      </c>
      <c r="M106" s="122" t="s">
        <v>1518</v>
      </c>
      <c r="N106" s="122" t="s">
        <v>1518</v>
      </c>
      <c r="O106" s="149" t="s">
        <v>180</v>
      </c>
      <c r="P106" s="7"/>
      <c r="Q106" s="93">
        <v>2.957136781681764</v>
      </c>
      <c r="R106" s="93">
        <v>94.188854041013286</v>
      </c>
      <c r="S106" s="122" t="s">
        <v>1518</v>
      </c>
      <c r="T106" s="7"/>
      <c r="U106" s="7"/>
      <c r="V106" s="122" t="s">
        <v>1518</v>
      </c>
      <c r="W106" s="122"/>
      <c r="X106" s="122" t="s">
        <v>1518</v>
      </c>
      <c r="Y106" s="7"/>
      <c r="Z106" s="7"/>
      <c r="AA106" s="7"/>
      <c r="AB106" s="7"/>
      <c r="AC106" s="7">
        <v>3</v>
      </c>
      <c r="AD106" s="7"/>
      <c r="AE106" s="7">
        <v>3</v>
      </c>
      <c r="AF106" s="7"/>
      <c r="AG106" s="7"/>
      <c r="AH106" s="7"/>
      <c r="AI106" s="7"/>
      <c r="AJ106" s="7"/>
      <c r="AK106" s="7"/>
      <c r="AL106" s="16">
        <v>45295</v>
      </c>
      <c r="AM106" s="4"/>
      <c r="AN106" s="6" t="s">
        <v>990</v>
      </c>
      <c r="AO106" s="4"/>
      <c r="AP106" s="4"/>
      <c r="AQ106" s="4"/>
      <c r="AR106" s="11">
        <v>960</v>
      </c>
      <c r="AS106" s="11"/>
      <c r="AT106" s="11"/>
      <c r="AU106" s="11"/>
    </row>
    <row r="107" spans="1:47" ht="15.75" x14ac:dyDescent="0.25">
      <c r="A107" s="112" t="s">
        <v>1640</v>
      </c>
      <c r="B107" s="6" t="s">
        <v>1642</v>
      </c>
      <c r="C107" s="8" t="s">
        <v>4</v>
      </c>
      <c r="D107" s="9"/>
      <c r="E107" s="9">
        <v>14</v>
      </c>
      <c r="F107" s="9"/>
      <c r="G107" s="9"/>
      <c r="H107" s="7">
        <v>20</v>
      </c>
      <c r="I107" s="7">
        <v>20</v>
      </c>
      <c r="J107" s="7"/>
      <c r="K107" s="7" t="s">
        <v>80</v>
      </c>
      <c r="L107" s="122"/>
      <c r="M107" s="122"/>
      <c r="N107" s="122"/>
      <c r="O107" s="96"/>
      <c r="P107" s="7"/>
      <c r="Q107" s="93">
        <v>8.2530898715917562</v>
      </c>
      <c r="R107" s="93">
        <v>769.78714285714273</v>
      </c>
      <c r="S107" s="122" t="s">
        <v>1518</v>
      </c>
      <c r="T107" s="7"/>
      <c r="U107" s="7"/>
      <c r="V107" s="122" t="s">
        <v>1518</v>
      </c>
      <c r="W107" s="122"/>
      <c r="X107" s="122"/>
      <c r="Y107" s="7"/>
      <c r="Z107" s="7"/>
      <c r="AA107" s="7"/>
      <c r="AB107" s="7">
        <v>1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16">
        <v>45295</v>
      </c>
      <c r="AM107" s="4"/>
      <c r="AN107" s="6" t="s">
        <v>1025</v>
      </c>
      <c r="AO107" s="4"/>
      <c r="AP107" s="4"/>
      <c r="AQ107" s="4"/>
      <c r="AR107" s="11">
        <v>10.6</v>
      </c>
      <c r="AS107" s="11"/>
      <c r="AT107" s="11"/>
      <c r="AU107" s="11"/>
    </row>
    <row r="108" spans="1:47" ht="15.75" x14ac:dyDescent="0.25">
      <c r="A108" s="112" t="s">
        <v>1641</v>
      </c>
      <c r="B108" s="6" t="s">
        <v>1642</v>
      </c>
      <c r="C108" s="8" t="s">
        <v>4</v>
      </c>
      <c r="D108" s="9"/>
      <c r="E108" s="9">
        <v>14</v>
      </c>
      <c r="F108" s="9"/>
      <c r="G108" s="9"/>
      <c r="H108" s="7">
        <v>6</v>
      </c>
      <c r="I108" s="7">
        <v>6</v>
      </c>
      <c r="J108" s="7"/>
      <c r="K108" s="7" t="s">
        <v>120</v>
      </c>
      <c r="L108" s="122"/>
      <c r="M108" s="122"/>
      <c r="N108" s="122"/>
      <c r="O108" s="96"/>
      <c r="P108" s="7"/>
      <c r="Q108" s="93">
        <v>8.2530898715917562</v>
      </c>
      <c r="R108" s="93">
        <v>769.78714285714273</v>
      </c>
      <c r="S108" s="122" t="s">
        <v>1518</v>
      </c>
      <c r="T108" s="7"/>
      <c r="U108" s="7"/>
      <c r="V108" s="122" t="s">
        <v>1518</v>
      </c>
      <c r="W108" s="122"/>
      <c r="X108" s="122"/>
      <c r="Y108" s="7"/>
      <c r="Z108" s="7"/>
      <c r="AA108" s="7"/>
      <c r="AB108" s="7">
        <v>1</v>
      </c>
      <c r="AC108" s="7"/>
      <c r="AD108" s="7"/>
      <c r="AE108" s="7"/>
      <c r="AF108" s="7"/>
      <c r="AG108" s="7"/>
      <c r="AH108" s="7"/>
      <c r="AI108" s="7"/>
      <c r="AJ108" s="7"/>
      <c r="AK108" s="7"/>
      <c r="AL108" s="16">
        <v>45295</v>
      </c>
      <c r="AM108" s="4"/>
      <c r="AN108" s="6" t="s">
        <v>1025</v>
      </c>
      <c r="AO108" s="4"/>
      <c r="AP108" s="4"/>
      <c r="AQ108" s="4"/>
      <c r="AR108" s="11">
        <v>10.6</v>
      </c>
      <c r="AS108" s="11"/>
      <c r="AT108" s="11"/>
      <c r="AU108" s="11"/>
    </row>
    <row r="109" spans="1:47" ht="15.75" x14ac:dyDescent="0.25">
      <c r="A109" s="112" t="s">
        <v>207</v>
      </c>
      <c r="B109" s="6" t="s">
        <v>1165</v>
      </c>
      <c r="C109" s="9" t="s">
        <v>4</v>
      </c>
      <c r="D109" s="9" t="s">
        <v>13</v>
      </c>
      <c r="E109" s="9">
        <v>4</v>
      </c>
      <c r="F109" s="9">
        <v>4</v>
      </c>
      <c r="G109" s="9"/>
      <c r="H109" s="7">
        <v>6</v>
      </c>
      <c r="I109" s="7"/>
      <c r="J109" s="7">
        <v>20</v>
      </c>
      <c r="K109" s="7" t="s">
        <v>14</v>
      </c>
      <c r="L109" s="122"/>
      <c r="M109" s="122"/>
      <c r="N109" s="122"/>
      <c r="O109" s="96"/>
      <c r="P109" s="7"/>
      <c r="Q109" s="93">
        <v>3.0372510994003705</v>
      </c>
      <c r="R109" s="93">
        <v>406.42916940789496</v>
      </c>
      <c r="S109" s="122" t="s">
        <v>1518</v>
      </c>
      <c r="T109" s="7"/>
      <c r="U109" s="7"/>
      <c r="V109" s="122" t="s">
        <v>1518</v>
      </c>
      <c r="W109" s="122"/>
      <c r="X109" s="122" t="s">
        <v>1518</v>
      </c>
      <c r="Y109" s="7" t="s">
        <v>7</v>
      </c>
      <c r="Z109" s="7">
        <v>1</v>
      </c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>
        <v>1</v>
      </c>
      <c r="AL109" s="16">
        <v>45295</v>
      </c>
      <c r="AM109" s="4"/>
      <c r="AN109" s="6" t="s">
        <v>1022</v>
      </c>
      <c r="AO109" s="6" t="s">
        <v>112</v>
      </c>
      <c r="AP109" s="4"/>
      <c r="AQ109" s="4"/>
      <c r="AR109" s="11">
        <v>350</v>
      </c>
      <c r="AS109" s="11">
        <v>160</v>
      </c>
      <c r="AT109" s="11"/>
      <c r="AU109" s="11"/>
    </row>
    <row r="110" spans="1:47" ht="24.75" x14ac:dyDescent="0.25">
      <c r="A110" s="112" t="s">
        <v>1168</v>
      </c>
      <c r="B110" s="6" t="s">
        <v>1169</v>
      </c>
      <c r="C110" s="8" t="s">
        <v>4</v>
      </c>
      <c r="D110" s="8" t="s">
        <v>13</v>
      </c>
      <c r="E110" s="9">
        <v>6</v>
      </c>
      <c r="F110" s="9"/>
      <c r="G110" s="9"/>
      <c r="H110" s="7"/>
      <c r="I110" s="7">
        <v>3</v>
      </c>
      <c r="J110" s="7"/>
      <c r="K110" s="7"/>
      <c r="L110" s="122" t="s">
        <v>1518</v>
      </c>
      <c r="M110" s="122" t="s">
        <v>1518</v>
      </c>
      <c r="N110" s="122" t="s">
        <v>1518</v>
      </c>
      <c r="O110" s="96" t="s">
        <v>1521</v>
      </c>
      <c r="P110" s="7"/>
      <c r="Q110" s="93">
        <v>1.0963567907586515E-2</v>
      </c>
      <c r="R110" s="93">
        <v>74.844761538461754</v>
      </c>
      <c r="S110" s="122" t="s">
        <v>1518</v>
      </c>
      <c r="T110" s="7"/>
      <c r="U110" s="7"/>
      <c r="V110" s="122" t="s">
        <v>1518</v>
      </c>
      <c r="W110" s="122"/>
      <c r="X110" s="122" t="s">
        <v>1518</v>
      </c>
      <c r="Y110" s="7"/>
      <c r="Z110" s="7">
        <v>1</v>
      </c>
      <c r="AA110" s="7"/>
      <c r="AB110" s="7">
        <v>1</v>
      </c>
      <c r="AC110" s="7">
        <v>1</v>
      </c>
      <c r="AD110" s="7"/>
      <c r="AE110" s="7"/>
      <c r="AF110" s="7">
        <v>1</v>
      </c>
      <c r="AG110" s="7">
        <v>1</v>
      </c>
      <c r="AH110" s="7"/>
      <c r="AI110" s="7"/>
      <c r="AJ110" s="7"/>
      <c r="AK110" s="7">
        <v>1</v>
      </c>
      <c r="AL110" s="16">
        <v>45295</v>
      </c>
      <c r="AM110" s="16"/>
      <c r="AN110" s="4" t="s">
        <v>161</v>
      </c>
      <c r="AO110" s="4"/>
      <c r="AP110" s="4"/>
      <c r="AQ110" s="4"/>
      <c r="AR110" s="11">
        <v>870</v>
      </c>
      <c r="AS110" s="11"/>
      <c r="AT110" s="11"/>
      <c r="AU110" s="11"/>
    </row>
    <row r="111" spans="1:47" ht="15.75" x14ac:dyDescent="0.25">
      <c r="A111" s="112" t="s">
        <v>208</v>
      </c>
      <c r="B111" s="6" t="s">
        <v>1170</v>
      </c>
      <c r="C111" s="8" t="s">
        <v>4</v>
      </c>
      <c r="D111" s="9" t="s">
        <v>26</v>
      </c>
      <c r="E111" s="9">
        <v>4</v>
      </c>
      <c r="F111" s="9">
        <v>4</v>
      </c>
      <c r="G111" s="9"/>
      <c r="H111" s="7"/>
      <c r="I111" s="7"/>
      <c r="J111" s="7"/>
      <c r="K111" s="7"/>
      <c r="L111" s="122" t="s">
        <v>1518</v>
      </c>
      <c r="M111" s="122" t="s">
        <v>1518</v>
      </c>
      <c r="N111" s="122"/>
      <c r="O111" s="96"/>
      <c r="P111" s="7"/>
      <c r="Q111" s="93">
        <v>3.3386464489884443E-3</v>
      </c>
      <c r="R111" s="93">
        <v>44.97838674947316</v>
      </c>
      <c r="S111" s="122" t="s">
        <v>1518</v>
      </c>
      <c r="T111" s="7"/>
      <c r="U111" s="7"/>
      <c r="V111" s="122"/>
      <c r="W111" s="122"/>
      <c r="X111" s="122"/>
      <c r="Y111" s="7"/>
      <c r="Z111" s="7"/>
      <c r="AA111" s="7"/>
      <c r="AB111" s="7"/>
      <c r="AC111" s="7"/>
      <c r="AD111" s="7">
        <v>1</v>
      </c>
      <c r="AE111" s="7"/>
      <c r="AF111" s="7"/>
      <c r="AG111" s="7"/>
      <c r="AH111" s="7"/>
      <c r="AI111" s="7"/>
      <c r="AJ111" s="7"/>
      <c r="AK111" s="7"/>
      <c r="AL111" s="16">
        <v>45295</v>
      </c>
      <c r="AM111" s="4"/>
      <c r="AN111" s="11" t="s">
        <v>126</v>
      </c>
      <c r="AO111" s="11" t="s">
        <v>209</v>
      </c>
      <c r="AP111" s="4"/>
      <c r="AQ111" s="4"/>
      <c r="AR111" s="11">
        <v>267</v>
      </c>
      <c r="AS111" s="11">
        <v>67</v>
      </c>
      <c r="AT111" s="11"/>
      <c r="AU111" s="11"/>
    </row>
    <row r="112" spans="1:47" ht="15.75" x14ac:dyDescent="0.25">
      <c r="A112" s="112" t="s">
        <v>1920</v>
      </c>
      <c r="B112" s="6" t="s">
        <v>1921</v>
      </c>
      <c r="C112" s="8" t="s">
        <v>4</v>
      </c>
      <c r="D112" s="8"/>
      <c r="E112" s="9">
        <v>1</v>
      </c>
      <c r="F112" s="9"/>
      <c r="G112" s="9"/>
      <c r="H112" s="7"/>
      <c r="I112" s="7"/>
      <c r="J112" s="7"/>
      <c r="K112" s="7"/>
      <c r="L112" s="122"/>
      <c r="M112" s="122"/>
      <c r="N112" s="122"/>
      <c r="O112" s="96"/>
      <c r="P112" s="7"/>
      <c r="Q112" s="93">
        <v>0.14315582950778333</v>
      </c>
      <c r="R112" s="93">
        <v>34.914148351648379</v>
      </c>
      <c r="S112" s="122" t="s">
        <v>1518</v>
      </c>
      <c r="T112" s="7"/>
      <c r="U112" s="7"/>
      <c r="V112" s="122" t="s">
        <v>1518</v>
      </c>
      <c r="W112" s="122"/>
      <c r="X112" s="122" t="s">
        <v>1518</v>
      </c>
      <c r="Y112" s="7"/>
      <c r="Z112" s="7"/>
      <c r="AA112" s="7">
        <v>1</v>
      </c>
      <c r="AB112" s="7">
        <v>1</v>
      </c>
      <c r="AC112" s="7"/>
      <c r="AD112" s="7">
        <v>1</v>
      </c>
      <c r="AE112" s="7">
        <v>1</v>
      </c>
      <c r="AF112" s="7">
        <v>1</v>
      </c>
      <c r="AG112" s="7">
        <v>1</v>
      </c>
      <c r="AH112" s="7">
        <v>1</v>
      </c>
      <c r="AI112" s="7"/>
      <c r="AJ112" s="7">
        <v>1</v>
      </c>
      <c r="AK112" s="7"/>
      <c r="AL112" s="16">
        <v>45295</v>
      </c>
      <c r="AM112" s="4"/>
      <c r="AN112" s="6" t="s">
        <v>1023</v>
      </c>
      <c r="AO112" s="4"/>
      <c r="AP112" s="4"/>
      <c r="AQ112" s="4"/>
      <c r="AR112" s="11">
        <v>50</v>
      </c>
      <c r="AS112" s="11"/>
      <c r="AT112" s="11"/>
      <c r="AU112" s="11"/>
    </row>
    <row r="113" spans="1:47" ht="15.75" x14ac:dyDescent="0.25">
      <c r="A113" s="112" t="s">
        <v>1499</v>
      </c>
      <c r="B113" s="6" t="s">
        <v>1176</v>
      </c>
      <c r="C113" s="8" t="s">
        <v>4</v>
      </c>
      <c r="D113" s="8" t="s">
        <v>232</v>
      </c>
      <c r="E113" s="9">
        <v>2</v>
      </c>
      <c r="F113" s="9"/>
      <c r="G113" s="9"/>
      <c r="H113" s="7">
        <v>6</v>
      </c>
      <c r="I113" s="7"/>
      <c r="J113" s="7"/>
      <c r="K113" s="7" t="s">
        <v>14</v>
      </c>
      <c r="L113" s="122"/>
      <c r="M113" s="122"/>
      <c r="N113" s="122"/>
      <c r="O113" s="96"/>
      <c r="P113" s="7"/>
      <c r="Q113" s="93">
        <v>3.495152312259183</v>
      </c>
      <c r="R113" s="93">
        <v>182.93661941489336</v>
      </c>
      <c r="S113" s="122" t="s">
        <v>1518</v>
      </c>
      <c r="T113" s="7"/>
      <c r="U113" s="7"/>
      <c r="V113" s="122"/>
      <c r="W113" s="122"/>
      <c r="X113" s="122" t="s">
        <v>1518</v>
      </c>
      <c r="Y113" s="7"/>
      <c r="Z113" s="7"/>
      <c r="AA113" s="7"/>
      <c r="AB113" s="7"/>
      <c r="AC113" s="7">
        <v>1</v>
      </c>
      <c r="AD113" s="7"/>
      <c r="AE113" s="7"/>
      <c r="AF113" s="7"/>
      <c r="AG113" s="7"/>
      <c r="AH113" s="7"/>
      <c r="AI113" s="7"/>
      <c r="AJ113" s="7"/>
      <c r="AK113" s="7"/>
      <c r="AL113" s="16">
        <v>45295</v>
      </c>
      <c r="AM113" s="4"/>
      <c r="AN113" s="11" t="s">
        <v>195</v>
      </c>
      <c r="AO113" s="11" t="s">
        <v>211</v>
      </c>
      <c r="AP113" s="4"/>
      <c r="AQ113" s="4"/>
      <c r="AR113" s="11">
        <v>22.5</v>
      </c>
      <c r="AS113" s="11">
        <v>22.5</v>
      </c>
      <c r="AT113" s="11"/>
      <c r="AU113" s="11"/>
    </row>
    <row r="114" spans="1:47" ht="15.75" x14ac:dyDescent="0.25">
      <c r="A114" s="112" t="s">
        <v>1483</v>
      </c>
      <c r="B114" s="6" t="s">
        <v>1176</v>
      </c>
      <c r="C114" s="8" t="s">
        <v>4</v>
      </c>
      <c r="D114" s="8" t="s">
        <v>232</v>
      </c>
      <c r="E114" s="9">
        <v>2</v>
      </c>
      <c r="F114" s="9"/>
      <c r="G114" s="9"/>
      <c r="H114" s="7">
        <v>6</v>
      </c>
      <c r="I114" s="7"/>
      <c r="J114" s="7"/>
      <c r="K114" s="7" t="s">
        <v>120</v>
      </c>
      <c r="L114" s="122"/>
      <c r="M114" s="122"/>
      <c r="N114" s="122"/>
      <c r="O114" s="96"/>
      <c r="P114" s="7"/>
      <c r="Q114" s="93">
        <v>4.6602030830122443</v>
      </c>
      <c r="R114" s="93">
        <v>243.91549255319114</v>
      </c>
      <c r="S114" s="122" t="s">
        <v>1518</v>
      </c>
      <c r="T114" s="7"/>
      <c r="U114" s="7"/>
      <c r="V114" s="122"/>
      <c r="W114" s="122"/>
      <c r="X114" s="122" t="s">
        <v>1518</v>
      </c>
      <c r="Y114" s="7"/>
      <c r="Z114" s="7"/>
      <c r="AA114" s="7"/>
      <c r="AB114" s="7"/>
      <c r="AC114" s="7">
        <v>1</v>
      </c>
      <c r="AD114" s="7"/>
      <c r="AE114" s="7"/>
      <c r="AF114" s="7"/>
      <c r="AG114" s="7"/>
      <c r="AH114" s="7"/>
      <c r="AI114" s="7"/>
      <c r="AJ114" s="7"/>
      <c r="AK114" s="7"/>
      <c r="AL114" s="16">
        <v>45295</v>
      </c>
      <c r="AM114" s="4"/>
      <c r="AN114" s="11" t="s">
        <v>195</v>
      </c>
      <c r="AO114" s="11" t="s">
        <v>211</v>
      </c>
      <c r="AP114" s="4"/>
      <c r="AQ114" s="4"/>
      <c r="AR114" s="11">
        <v>22.5</v>
      </c>
      <c r="AS114" s="11">
        <v>22.5</v>
      </c>
      <c r="AT114" s="11"/>
      <c r="AU114" s="11"/>
    </row>
    <row r="115" spans="1:47" ht="15.75" x14ac:dyDescent="0.25">
      <c r="A115" s="112" t="s">
        <v>1485</v>
      </c>
      <c r="B115" s="6" t="s">
        <v>1177</v>
      </c>
      <c r="C115" s="8" t="s">
        <v>4</v>
      </c>
      <c r="D115" s="8" t="s">
        <v>21</v>
      </c>
      <c r="E115" s="9">
        <v>2</v>
      </c>
      <c r="F115" s="9">
        <v>2</v>
      </c>
      <c r="G115" s="9">
        <v>2</v>
      </c>
      <c r="H115" s="7">
        <v>6</v>
      </c>
      <c r="I115" s="7"/>
      <c r="J115" s="7"/>
      <c r="K115" s="7" t="s">
        <v>120</v>
      </c>
      <c r="L115" s="122"/>
      <c r="M115" s="122"/>
      <c r="N115" s="122"/>
      <c r="O115" s="96"/>
      <c r="P115" s="7"/>
      <c r="Q115" s="93">
        <v>6.2345495090956806</v>
      </c>
      <c r="R115" s="93">
        <v>513.60257703594948</v>
      </c>
      <c r="S115" s="122" t="s">
        <v>1518</v>
      </c>
      <c r="T115" s="7"/>
      <c r="U115" s="7"/>
      <c r="V115" s="122" t="s">
        <v>1518</v>
      </c>
      <c r="W115" s="122"/>
      <c r="X115" s="122"/>
      <c r="Y115" s="7"/>
      <c r="Z115" s="7"/>
      <c r="AA115" s="7"/>
      <c r="AB115" s="7"/>
      <c r="AC115" s="7">
        <v>1</v>
      </c>
      <c r="AD115" s="7"/>
      <c r="AE115" s="7"/>
      <c r="AF115" s="7"/>
      <c r="AG115" s="7"/>
      <c r="AH115" s="7"/>
      <c r="AI115" s="7"/>
      <c r="AJ115" s="7"/>
      <c r="AK115" s="7"/>
      <c r="AL115" s="16">
        <v>45295</v>
      </c>
      <c r="AM115" s="4"/>
      <c r="AN115" s="11" t="s">
        <v>195</v>
      </c>
      <c r="AO115" s="11" t="s">
        <v>116</v>
      </c>
      <c r="AP115" s="4" t="s">
        <v>133</v>
      </c>
      <c r="AQ115" s="4"/>
      <c r="AR115" s="11">
        <v>30</v>
      </c>
      <c r="AS115" s="11">
        <v>10</v>
      </c>
      <c r="AT115" s="11">
        <v>1</v>
      </c>
      <c r="AU115" s="11"/>
    </row>
    <row r="116" spans="1:47" ht="15.75" x14ac:dyDescent="0.25">
      <c r="A116" s="112" t="s">
        <v>1484</v>
      </c>
      <c r="B116" s="6" t="s">
        <v>1177</v>
      </c>
      <c r="C116" s="8" t="s">
        <v>4</v>
      </c>
      <c r="D116" s="8" t="s">
        <v>21</v>
      </c>
      <c r="E116" s="9">
        <v>2</v>
      </c>
      <c r="F116" s="9">
        <v>2</v>
      </c>
      <c r="G116" s="9">
        <v>2</v>
      </c>
      <c r="H116" s="7">
        <v>6</v>
      </c>
      <c r="I116" s="7"/>
      <c r="J116" s="7"/>
      <c r="K116" s="7" t="s">
        <v>14</v>
      </c>
      <c r="L116" s="122"/>
      <c r="M116" s="122"/>
      <c r="N116" s="122"/>
      <c r="O116" s="96"/>
      <c r="P116" s="7"/>
      <c r="Q116" s="93">
        <v>5.1954579242464005</v>
      </c>
      <c r="R116" s="93">
        <v>428.00214752995788</v>
      </c>
      <c r="S116" s="122" t="s">
        <v>1518</v>
      </c>
      <c r="T116" s="7"/>
      <c r="U116" s="7"/>
      <c r="V116" s="122" t="s">
        <v>1518</v>
      </c>
      <c r="W116" s="122"/>
      <c r="X116" s="122"/>
      <c r="Y116" s="7"/>
      <c r="Z116" s="7"/>
      <c r="AA116" s="7"/>
      <c r="AB116" s="7"/>
      <c r="AC116" s="7">
        <v>1</v>
      </c>
      <c r="AD116" s="7"/>
      <c r="AE116" s="7"/>
      <c r="AF116" s="7"/>
      <c r="AG116" s="7"/>
      <c r="AH116" s="7"/>
      <c r="AI116" s="7"/>
      <c r="AJ116" s="7"/>
      <c r="AK116" s="7"/>
      <c r="AL116" s="16">
        <v>45295</v>
      </c>
      <c r="AM116" s="4"/>
      <c r="AN116" s="11" t="s">
        <v>195</v>
      </c>
      <c r="AO116" s="11" t="s">
        <v>116</v>
      </c>
      <c r="AP116" s="4" t="s">
        <v>133</v>
      </c>
      <c r="AQ116" s="4"/>
      <c r="AR116" s="11">
        <v>30</v>
      </c>
      <c r="AS116" s="11">
        <v>10</v>
      </c>
      <c r="AT116" s="11">
        <v>1</v>
      </c>
      <c r="AU116" s="11"/>
    </row>
    <row r="117" spans="1:47" ht="15.75" x14ac:dyDescent="0.25">
      <c r="A117" s="112" t="s">
        <v>1182</v>
      </c>
      <c r="B117" s="6" t="s">
        <v>1183</v>
      </c>
      <c r="C117" s="8" t="s">
        <v>4</v>
      </c>
      <c r="D117" s="8" t="s">
        <v>17</v>
      </c>
      <c r="E117" s="9">
        <v>4</v>
      </c>
      <c r="F117" s="9">
        <v>4</v>
      </c>
      <c r="G117" s="9"/>
      <c r="H117" s="7">
        <v>6</v>
      </c>
      <c r="I117" s="7"/>
      <c r="J117" s="7">
        <v>6</v>
      </c>
      <c r="K117" s="7" t="s">
        <v>14</v>
      </c>
      <c r="L117" s="122"/>
      <c r="M117" s="122"/>
      <c r="N117" s="122"/>
      <c r="O117" s="96"/>
      <c r="P117" s="7"/>
      <c r="Q117" s="93">
        <v>2.6944291739012294</v>
      </c>
      <c r="R117" s="93">
        <v>381.78506373355282</v>
      </c>
      <c r="S117" s="122" t="s">
        <v>1518</v>
      </c>
      <c r="T117" s="7"/>
      <c r="U117" s="7"/>
      <c r="V117" s="122" t="s">
        <v>1518</v>
      </c>
      <c r="W117" s="122"/>
      <c r="X117" s="122" t="s">
        <v>1518</v>
      </c>
      <c r="Y117" s="7" t="s">
        <v>7</v>
      </c>
      <c r="Z117" s="7">
        <v>1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>
        <v>1</v>
      </c>
      <c r="AL117" s="16">
        <v>45295</v>
      </c>
      <c r="AM117" s="4"/>
      <c r="AN117" s="6" t="s">
        <v>1022</v>
      </c>
      <c r="AO117" s="6" t="s">
        <v>112</v>
      </c>
      <c r="AP117" s="4"/>
      <c r="AQ117" s="4"/>
      <c r="AR117" s="11">
        <v>405</v>
      </c>
      <c r="AS117" s="11">
        <v>170</v>
      </c>
      <c r="AT117" s="11"/>
      <c r="AU117" s="11"/>
    </row>
    <row r="118" spans="1:47" ht="15.75" x14ac:dyDescent="0.25">
      <c r="A118" s="112" t="s">
        <v>1184</v>
      </c>
      <c r="B118" s="6" t="s">
        <v>1185</v>
      </c>
      <c r="C118" s="8" t="s">
        <v>4</v>
      </c>
      <c r="D118" s="8" t="s">
        <v>29</v>
      </c>
      <c r="E118" s="9">
        <v>2</v>
      </c>
      <c r="F118" s="9">
        <v>2</v>
      </c>
      <c r="G118" s="9"/>
      <c r="H118" s="7"/>
      <c r="I118" s="7">
        <v>20</v>
      </c>
      <c r="J118" s="7"/>
      <c r="K118" s="7"/>
      <c r="L118" s="122"/>
      <c r="M118" s="122"/>
      <c r="N118" s="122"/>
      <c r="O118" s="96"/>
      <c r="P118" s="14">
        <v>0.3</v>
      </c>
      <c r="Q118" s="93">
        <v>1.239852873217363</v>
      </c>
      <c r="R118" s="93">
        <v>669.93793185763934</v>
      </c>
      <c r="S118" s="122" t="s">
        <v>1518</v>
      </c>
      <c r="T118" s="7"/>
      <c r="U118" s="7"/>
      <c r="V118" s="122" t="s">
        <v>1518</v>
      </c>
      <c r="W118" s="122" t="s">
        <v>1518</v>
      </c>
      <c r="X118" s="122"/>
      <c r="Y118" s="7"/>
      <c r="Z118" s="7">
        <v>1</v>
      </c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16">
        <v>45295</v>
      </c>
      <c r="AM118" s="11" t="s">
        <v>1861</v>
      </c>
      <c r="AN118" s="11" t="s">
        <v>123</v>
      </c>
      <c r="AO118" s="106" t="s">
        <v>1009</v>
      </c>
      <c r="AP118" s="4"/>
      <c r="AQ118" s="4"/>
      <c r="AR118" s="11">
        <v>143</v>
      </c>
      <c r="AS118" s="11">
        <v>143</v>
      </c>
      <c r="AT118" s="11"/>
      <c r="AU118" s="11"/>
    </row>
    <row r="119" spans="1:47" ht="15.75" x14ac:dyDescent="0.25">
      <c r="A119" s="112" t="s">
        <v>1943</v>
      </c>
      <c r="B119" s="6" t="s">
        <v>1186</v>
      </c>
      <c r="C119" s="8" t="s">
        <v>4</v>
      </c>
      <c r="D119" s="8" t="s">
        <v>29</v>
      </c>
      <c r="E119" s="9">
        <v>2</v>
      </c>
      <c r="F119" s="9"/>
      <c r="G119" s="9"/>
      <c r="H119" s="7"/>
      <c r="I119" s="7">
        <v>20</v>
      </c>
      <c r="J119" s="7"/>
      <c r="K119" s="7"/>
      <c r="L119" s="122"/>
      <c r="M119" s="122"/>
      <c r="N119" s="122"/>
      <c r="O119" s="96"/>
      <c r="P119" s="7"/>
      <c r="Q119" s="93">
        <v>0.38427039868695306</v>
      </c>
      <c r="R119" s="93">
        <v>893.58398437500034</v>
      </c>
      <c r="S119" s="122" t="s">
        <v>1518</v>
      </c>
      <c r="T119" s="7"/>
      <c r="U119" s="7"/>
      <c r="V119" s="122" t="s">
        <v>1518</v>
      </c>
      <c r="W119" s="122" t="s">
        <v>1518</v>
      </c>
      <c r="X119" s="122"/>
      <c r="Y119" s="7"/>
      <c r="Z119" s="7">
        <v>1</v>
      </c>
      <c r="AA119" s="7"/>
      <c r="AB119" s="7"/>
      <c r="AC119" s="7"/>
      <c r="AD119" s="7"/>
      <c r="AE119" s="7">
        <v>1</v>
      </c>
      <c r="AF119" s="7"/>
      <c r="AG119" s="7"/>
      <c r="AH119" s="7"/>
      <c r="AI119" s="7"/>
      <c r="AJ119" s="7"/>
      <c r="AK119" s="7"/>
      <c r="AL119" s="16">
        <v>45295</v>
      </c>
      <c r="AM119" s="4"/>
      <c r="AN119" s="106" t="s">
        <v>1009</v>
      </c>
      <c r="AO119" s="11"/>
      <c r="AP119" s="4"/>
      <c r="AQ119" s="4"/>
      <c r="AR119" s="11">
        <v>500</v>
      </c>
      <c r="AS119" s="11"/>
      <c r="AT119" s="11"/>
      <c r="AU119" s="11"/>
    </row>
    <row r="120" spans="1:47" ht="15.75" x14ac:dyDescent="0.25">
      <c r="A120" s="112" t="s">
        <v>1944</v>
      </c>
      <c r="B120" s="6" t="s">
        <v>1186</v>
      </c>
      <c r="C120" s="8" t="s">
        <v>4</v>
      </c>
      <c r="D120" s="8" t="s">
        <v>29</v>
      </c>
      <c r="E120" s="9">
        <v>2</v>
      </c>
      <c r="F120" s="9"/>
      <c r="G120" s="9"/>
      <c r="H120" s="7"/>
      <c r="I120" s="7">
        <v>50</v>
      </c>
      <c r="J120" s="7"/>
      <c r="K120" s="7"/>
      <c r="L120" s="122"/>
      <c r="M120" s="122"/>
      <c r="N120" s="122"/>
      <c r="O120" s="96"/>
      <c r="P120" s="7"/>
      <c r="Q120" s="93">
        <v>0.51236053158260408</v>
      </c>
      <c r="R120" s="93">
        <v>1191.4453125000005</v>
      </c>
      <c r="S120" s="122" t="s">
        <v>1518</v>
      </c>
      <c r="T120" s="7"/>
      <c r="U120" s="7"/>
      <c r="V120" s="122" t="s">
        <v>1518</v>
      </c>
      <c r="W120" s="122" t="s">
        <v>1518</v>
      </c>
      <c r="X120" s="122"/>
      <c r="Y120" s="7"/>
      <c r="Z120" s="7">
        <v>1</v>
      </c>
      <c r="AA120" s="7"/>
      <c r="AB120" s="7"/>
      <c r="AC120" s="7"/>
      <c r="AD120" s="7"/>
      <c r="AE120" s="7">
        <v>1</v>
      </c>
      <c r="AF120" s="7"/>
      <c r="AG120" s="7"/>
      <c r="AH120" s="7"/>
      <c r="AI120" s="7"/>
      <c r="AJ120" s="7"/>
      <c r="AK120" s="7"/>
      <c r="AL120" s="16">
        <v>45295</v>
      </c>
      <c r="AM120" s="4"/>
      <c r="AN120" s="106" t="s">
        <v>1009</v>
      </c>
      <c r="AO120" s="11"/>
      <c r="AP120" s="4"/>
      <c r="AQ120" s="4"/>
      <c r="AR120" s="11">
        <v>500</v>
      </c>
      <c r="AS120" s="11"/>
      <c r="AT120" s="11"/>
      <c r="AU120" s="11"/>
    </row>
    <row r="121" spans="1:47" ht="15.75" x14ac:dyDescent="0.25">
      <c r="A121" s="112" t="s">
        <v>212</v>
      </c>
      <c r="B121" s="6" t="s">
        <v>1668</v>
      </c>
      <c r="C121" s="8" t="s">
        <v>4</v>
      </c>
      <c r="D121" s="8"/>
      <c r="E121" s="9">
        <v>2</v>
      </c>
      <c r="F121" s="9">
        <v>12</v>
      </c>
      <c r="G121" s="9"/>
      <c r="H121" s="7"/>
      <c r="I121" s="7"/>
      <c r="J121" s="7"/>
      <c r="K121" s="7" t="s">
        <v>14</v>
      </c>
      <c r="L121" s="122" t="s">
        <v>1518</v>
      </c>
      <c r="M121" s="122" t="s">
        <v>1518</v>
      </c>
      <c r="N121" s="122"/>
      <c r="O121" s="96" t="s">
        <v>213</v>
      </c>
      <c r="P121" s="14">
        <v>0.3</v>
      </c>
      <c r="Q121" s="93">
        <v>14.135274677878289</v>
      </c>
      <c r="R121" s="93">
        <v>188.80920698924706</v>
      </c>
      <c r="S121" s="122" t="s">
        <v>1518</v>
      </c>
      <c r="T121" s="7"/>
      <c r="U121" s="7"/>
      <c r="V121" s="122"/>
      <c r="W121" s="122"/>
      <c r="X121" s="122"/>
      <c r="Y121" s="7"/>
      <c r="Z121" s="7">
        <v>1</v>
      </c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16">
        <v>45295</v>
      </c>
      <c r="AM121" s="4"/>
      <c r="AN121" s="4" t="s">
        <v>214</v>
      </c>
      <c r="AO121" s="6" t="s">
        <v>999</v>
      </c>
      <c r="AP121" s="4"/>
      <c r="AQ121" s="4"/>
      <c r="AR121" s="11">
        <v>15</v>
      </c>
      <c r="AS121" s="11">
        <v>100</v>
      </c>
      <c r="AT121" s="11"/>
      <c r="AU121" s="11"/>
    </row>
    <row r="122" spans="1:47" ht="15.75" x14ac:dyDescent="0.25">
      <c r="A122" s="112" t="s">
        <v>1878</v>
      </c>
      <c r="B122" s="6" t="s">
        <v>1189</v>
      </c>
      <c r="C122" s="8" t="s">
        <v>4</v>
      </c>
      <c r="D122" s="8" t="s">
        <v>54</v>
      </c>
      <c r="E122" s="9">
        <v>2</v>
      </c>
      <c r="F122" s="9"/>
      <c r="G122" s="9"/>
      <c r="H122" s="7"/>
      <c r="I122" s="7">
        <v>50</v>
      </c>
      <c r="J122" s="7"/>
      <c r="K122" s="7"/>
      <c r="L122" s="122"/>
      <c r="M122" s="122"/>
      <c r="N122" s="122"/>
      <c r="O122" s="96"/>
      <c r="P122" s="14">
        <v>0.3</v>
      </c>
      <c r="Q122" s="93">
        <v>1.8451533392447528</v>
      </c>
      <c r="R122" s="93">
        <v>753.11111111111154</v>
      </c>
      <c r="S122" s="122" t="s">
        <v>1518</v>
      </c>
      <c r="T122" s="7"/>
      <c r="U122" s="7"/>
      <c r="V122" s="122"/>
      <c r="W122" s="122"/>
      <c r="X122" s="122"/>
      <c r="Y122" s="7"/>
      <c r="Z122" s="7">
        <v>1</v>
      </c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16">
        <v>45295</v>
      </c>
      <c r="AM122" s="4" t="s">
        <v>1860</v>
      </c>
      <c r="AN122" s="11" t="s">
        <v>123</v>
      </c>
      <c r="AO122" s="4"/>
      <c r="AP122" s="4"/>
      <c r="AQ122" s="4"/>
      <c r="AR122" s="11">
        <v>200</v>
      </c>
      <c r="AS122" s="11"/>
      <c r="AT122" s="11"/>
      <c r="AU122" s="11"/>
    </row>
    <row r="123" spans="1:47" ht="15.75" x14ac:dyDescent="0.25">
      <c r="A123" s="112" t="s">
        <v>1877</v>
      </c>
      <c r="B123" s="6" t="s">
        <v>1189</v>
      </c>
      <c r="C123" s="8" t="s">
        <v>4</v>
      </c>
      <c r="D123" s="8" t="s">
        <v>54</v>
      </c>
      <c r="E123" s="9">
        <v>2</v>
      </c>
      <c r="F123" s="9"/>
      <c r="G123" s="9"/>
      <c r="H123" s="7"/>
      <c r="I123" s="7">
        <v>20</v>
      </c>
      <c r="J123" s="7"/>
      <c r="K123" s="7"/>
      <c r="L123" s="122"/>
      <c r="M123" s="122"/>
      <c r="N123" s="122"/>
      <c r="O123" s="96"/>
      <c r="P123" s="14">
        <v>0.3</v>
      </c>
      <c r="Q123" s="93">
        <v>1.1532208370279704</v>
      </c>
      <c r="R123" s="93">
        <v>470.69444444444468</v>
      </c>
      <c r="S123" s="122" t="s">
        <v>1518</v>
      </c>
      <c r="T123" s="7"/>
      <c r="U123" s="7"/>
      <c r="V123" s="122"/>
      <c r="W123" s="122"/>
      <c r="X123" s="122"/>
      <c r="Y123" s="7"/>
      <c r="Z123" s="7">
        <v>1</v>
      </c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16">
        <v>45295</v>
      </c>
      <c r="AM123" s="4" t="s">
        <v>1860</v>
      </c>
      <c r="AN123" s="11" t="s">
        <v>123</v>
      </c>
      <c r="AO123" s="4"/>
      <c r="AP123" s="4"/>
      <c r="AQ123" s="4"/>
      <c r="AR123" s="11">
        <v>200</v>
      </c>
      <c r="AS123" s="11"/>
      <c r="AT123" s="11"/>
      <c r="AU123" s="11"/>
    </row>
    <row r="124" spans="1:47" ht="15.75" x14ac:dyDescent="0.25">
      <c r="A124" s="112" t="s">
        <v>1486</v>
      </c>
      <c r="B124" s="6" t="s">
        <v>1190</v>
      </c>
      <c r="C124" s="8" t="s">
        <v>4</v>
      </c>
      <c r="D124" s="8" t="s">
        <v>26</v>
      </c>
      <c r="E124" s="9">
        <v>14</v>
      </c>
      <c r="F124" s="9"/>
      <c r="G124" s="9"/>
      <c r="H124" s="7">
        <v>20</v>
      </c>
      <c r="I124" s="7">
        <v>20</v>
      </c>
      <c r="J124" s="7"/>
      <c r="K124" s="7" t="s">
        <v>80</v>
      </c>
      <c r="L124" s="122"/>
      <c r="M124" s="122"/>
      <c r="N124" s="122"/>
      <c r="O124" s="96"/>
      <c r="P124" s="7"/>
      <c r="Q124" s="93">
        <v>16.506179743183516</v>
      </c>
      <c r="R124" s="93">
        <v>1539.5742857142859</v>
      </c>
      <c r="S124" s="122" t="s">
        <v>1518</v>
      </c>
      <c r="T124" s="7"/>
      <c r="U124" s="7"/>
      <c r="V124" s="122" t="s">
        <v>1518</v>
      </c>
      <c r="W124" s="122"/>
      <c r="X124" s="122"/>
      <c r="Y124" s="7"/>
      <c r="Z124" s="7"/>
      <c r="AA124" s="7"/>
      <c r="AB124" s="7">
        <v>1</v>
      </c>
      <c r="AC124" s="7"/>
      <c r="AD124" s="7"/>
      <c r="AE124" s="7"/>
      <c r="AF124" s="7"/>
      <c r="AG124" s="7"/>
      <c r="AH124" s="7"/>
      <c r="AI124" s="7"/>
      <c r="AJ124" s="7"/>
      <c r="AK124" s="7"/>
      <c r="AL124" s="16">
        <v>45295</v>
      </c>
      <c r="AM124" s="4"/>
      <c r="AN124" s="6" t="s">
        <v>1025</v>
      </c>
      <c r="AO124" s="4"/>
      <c r="AP124" s="4"/>
      <c r="AQ124" s="4"/>
      <c r="AR124" s="11">
        <v>26.5</v>
      </c>
      <c r="AS124" s="11"/>
      <c r="AT124" s="11"/>
      <c r="AU124" s="11"/>
    </row>
    <row r="125" spans="1:47" ht="15.75" x14ac:dyDescent="0.25">
      <c r="A125" s="112" t="s">
        <v>1487</v>
      </c>
      <c r="B125" s="6" t="s">
        <v>1190</v>
      </c>
      <c r="C125" s="8" t="s">
        <v>4</v>
      </c>
      <c r="D125" s="8" t="s">
        <v>26</v>
      </c>
      <c r="E125" s="9">
        <v>14</v>
      </c>
      <c r="F125" s="9"/>
      <c r="G125" s="9"/>
      <c r="H125" s="7">
        <v>6</v>
      </c>
      <c r="I125" s="7">
        <v>6</v>
      </c>
      <c r="J125" s="7"/>
      <c r="K125" s="7" t="s">
        <v>120</v>
      </c>
      <c r="L125" s="122"/>
      <c r="M125" s="122"/>
      <c r="N125" s="122"/>
      <c r="O125" s="96"/>
      <c r="P125" s="7"/>
      <c r="Q125" s="93">
        <v>16.506179743183516</v>
      </c>
      <c r="R125" s="93">
        <v>1539.5742857142859</v>
      </c>
      <c r="S125" s="122" t="s">
        <v>1518</v>
      </c>
      <c r="T125" s="7"/>
      <c r="U125" s="7"/>
      <c r="V125" s="122" t="s">
        <v>1518</v>
      </c>
      <c r="W125" s="122"/>
      <c r="X125" s="122"/>
      <c r="Y125" s="7"/>
      <c r="Z125" s="7"/>
      <c r="AA125" s="7"/>
      <c r="AB125" s="7">
        <v>1</v>
      </c>
      <c r="AC125" s="7"/>
      <c r="AD125" s="7"/>
      <c r="AE125" s="7"/>
      <c r="AF125" s="7"/>
      <c r="AG125" s="7"/>
      <c r="AH125" s="7"/>
      <c r="AI125" s="7"/>
      <c r="AJ125" s="7"/>
      <c r="AK125" s="7"/>
      <c r="AL125" s="16">
        <v>45295</v>
      </c>
      <c r="AM125" s="4"/>
      <c r="AN125" s="6" t="s">
        <v>1025</v>
      </c>
      <c r="AO125" s="4"/>
      <c r="AP125" s="4"/>
      <c r="AQ125" s="4"/>
      <c r="AR125" s="11">
        <v>26.5</v>
      </c>
      <c r="AS125" s="11"/>
      <c r="AT125" s="11"/>
      <c r="AU125" s="11"/>
    </row>
    <row r="126" spans="1:47" ht="15.75" x14ac:dyDescent="0.25">
      <c r="A126" s="112" t="s">
        <v>1488</v>
      </c>
      <c r="B126" s="6" t="s">
        <v>1191</v>
      </c>
      <c r="C126" s="8" t="s">
        <v>4</v>
      </c>
      <c r="D126" s="9" t="s">
        <v>26</v>
      </c>
      <c r="E126" s="9">
        <v>14</v>
      </c>
      <c r="F126" s="9"/>
      <c r="G126" s="9"/>
      <c r="H126" s="7">
        <v>20</v>
      </c>
      <c r="I126" s="7">
        <v>20</v>
      </c>
      <c r="J126" s="7"/>
      <c r="K126" s="7" t="s">
        <v>80</v>
      </c>
      <c r="L126" s="122"/>
      <c r="M126" s="122"/>
      <c r="N126" s="122"/>
      <c r="O126" s="96"/>
      <c r="P126" s="7"/>
      <c r="Q126" s="93">
        <v>8.2530898715917562</v>
      </c>
      <c r="R126" s="93">
        <v>769.78714285714273</v>
      </c>
      <c r="S126" s="122" t="s">
        <v>1518</v>
      </c>
      <c r="T126" s="7"/>
      <c r="U126" s="7"/>
      <c r="V126" s="122" t="s">
        <v>1518</v>
      </c>
      <c r="W126" s="122"/>
      <c r="X126" s="122"/>
      <c r="Y126" s="7"/>
      <c r="Z126" s="7"/>
      <c r="AA126" s="7"/>
      <c r="AB126" s="7">
        <v>1</v>
      </c>
      <c r="AC126" s="7"/>
      <c r="AD126" s="7"/>
      <c r="AE126" s="7"/>
      <c r="AF126" s="7"/>
      <c r="AG126" s="7"/>
      <c r="AH126" s="7"/>
      <c r="AI126" s="7"/>
      <c r="AJ126" s="7"/>
      <c r="AK126" s="7"/>
      <c r="AL126" s="16">
        <v>45295</v>
      </c>
      <c r="AM126" s="4"/>
      <c r="AN126" s="6" t="s">
        <v>1025</v>
      </c>
      <c r="AO126" s="4"/>
      <c r="AP126" s="4"/>
      <c r="AQ126" s="4"/>
      <c r="AR126" s="11">
        <v>10.6</v>
      </c>
      <c r="AS126" s="11"/>
      <c r="AT126" s="11"/>
      <c r="AU126" s="11"/>
    </row>
    <row r="127" spans="1:47" ht="15.75" x14ac:dyDescent="0.25">
      <c r="A127" s="112" t="s">
        <v>1489</v>
      </c>
      <c r="B127" s="6" t="s">
        <v>1191</v>
      </c>
      <c r="C127" s="8" t="s">
        <v>4</v>
      </c>
      <c r="D127" s="9" t="s">
        <v>26</v>
      </c>
      <c r="E127" s="9">
        <v>14</v>
      </c>
      <c r="F127" s="9"/>
      <c r="G127" s="9"/>
      <c r="H127" s="7">
        <v>6</v>
      </c>
      <c r="I127" s="7">
        <v>6</v>
      </c>
      <c r="J127" s="7"/>
      <c r="K127" s="7" t="s">
        <v>120</v>
      </c>
      <c r="L127" s="122"/>
      <c r="M127" s="122"/>
      <c r="N127" s="122"/>
      <c r="O127" s="96"/>
      <c r="P127" s="7"/>
      <c r="Q127" s="93">
        <v>8.2530898715917562</v>
      </c>
      <c r="R127" s="93">
        <v>769.78714285714273</v>
      </c>
      <c r="S127" s="122" t="s">
        <v>1518</v>
      </c>
      <c r="T127" s="7"/>
      <c r="U127" s="7"/>
      <c r="V127" s="122" t="s">
        <v>1518</v>
      </c>
      <c r="W127" s="122"/>
      <c r="X127" s="122"/>
      <c r="Y127" s="7"/>
      <c r="Z127" s="7"/>
      <c r="AA127" s="7"/>
      <c r="AB127" s="7">
        <v>1</v>
      </c>
      <c r="AC127" s="7"/>
      <c r="AD127" s="7"/>
      <c r="AE127" s="7"/>
      <c r="AF127" s="7"/>
      <c r="AG127" s="7"/>
      <c r="AH127" s="7"/>
      <c r="AI127" s="7"/>
      <c r="AJ127" s="7"/>
      <c r="AK127" s="7"/>
      <c r="AL127" s="16">
        <v>45295</v>
      </c>
      <c r="AM127" s="4"/>
      <c r="AN127" s="6" t="s">
        <v>1025</v>
      </c>
      <c r="AO127" s="4"/>
      <c r="AP127" s="4"/>
      <c r="AQ127" s="4"/>
      <c r="AR127" s="11">
        <v>10.6</v>
      </c>
      <c r="AS127" s="11"/>
      <c r="AT127" s="11"/>
      <c r="AU127" s="11"/>
    </row>
    <row r="128" spans="1:47" ht="15.75" x14ac:dyDescent="0.25">
      <c r="A128" s="112" t="s">
        <v>2041</v>
      </c>
      <c r="B128" s="6" t="s">
        <v>2042</v>
      </c>
      <c r="C128" s="9" t="s">
        <v>4</v>
      </c>
      <c r="D128" s="9" t="s">
        <v>109</v>
      </c>
      <c r="E128" s="9">
        <v>2</v>
      </c>
      <c r="F128" s="9"/>
      <c r="G128" s="9"/>
      <c r="H128" s="7"/>
      <c r="I128" s="7">
        <v>6</v>
      </c>
      <c r="J128" s="7"/>
      <c r="K128" s="7"/>
      <c r="L128" s="122"/>
      <c r="M128" s="122"/>
      <c r="N128" s="122"/>
      <c r="O128" s="96"/>
      <c r="P128" s="7"/>
      <c r="Q128" s="93">
        <f t="shared" ref="Q128" si="4">+BM128</f>
        <v>0</v>
      </c>
      <c r="R128" s="93">
        <f t="shared" ref="R128" si="5">+BR128</f>
        <v>0</v>
      </c>
      <c r="S128" s="122" t="s">
        <v>1518</v>
      </c>
      <c r="T128" s="7"/>
      <c r="U128" s="7"/>
      <c r="V128" s="122"/>
      <c r="W128" s="122"/>
      <c r="X128" s="122"/>
      <c r="Y128" s="7"/>
      <c r="Z128" s="7">
        <v>1</v>
      </c>
      <c r="AA128" s="7"/>
      <c r="AB128" s="7"/>
      <c r="AC128" s="7">
        <v>1</v>
      </c>
      <c r="AD128" s="7"/>
      <c r="AE128" s="7"/>
      <c r="AF128" s="7"/>
      <c r="AG128" s="7"/>
      <c r="AH128" s="7"/>
      <c r="AI128" s="7"/>
      <c r="AJ128" s="7"/>
      <c r="AK128" s="7"/>
      <c r="AL128" s="16">
        <v>45295</v>
      </c>
      <c r="AM128" s="4"/>
      <c r="AN128" s="6" t="s">
        <v>1010</v>
      </c>
      <c r="AO128" s="4"/>
      <c r="AP128" s="4"/>
      <c r="AQ128" s="4"/>
      <c r="AR128" s="11">
        <v>50</v>
      </c>
      <c r="AS128" s="11"/>
      <c r="AT128" s="11"/>
      <c r="AU128" s="11"/>
    </row>
    <row r="129" spans="1:47" ht="15.75" x14ac:dyDescent="0.25">
      <c r="A129" s="112" t="s">
        <v>216</v>
      </c>
      <c r="B129" s="6" t="s">
        <v>1195</v>
      </c>
      <c r="C129" s="8" t="s">
        <v>4</v>
      </c>
      <c r="D129" s="9" t="s">
        <v>13</v>
      </c>
      <c r="E129" s="9">
        <v>4</v>
      </c>
      <c r="F129" s="9"/>
      <c r="G129" s="9"/>
      <c r="H129" s="7"/>
      <c r="I129" s="7"/>
      <c r="J129" s="7"/>
      <c r="K129" s="7"/>
      <c r="L129" s="122"/>
      <c r="M129" s="122"/>
      <c r="N129" s="122"/>
      <c r="O129" s="96"/>
      <c r="P129" s="7"/>
      <c r="Q129" s="93">
        <v>0.42816364513334831</v>
      </c>
      <c r="R129" s="93">
        <v>187.50614754098456</v>
      </c>
      <c r="S129" s="122" t="s">
        <v>1518</v>
      </c>
      <c r="T129" s="7"/>
      <c r="U129" s="7"/>
      <c r="V129" s="122" t="s">
        <v>1518</v>
      </c>
      <c r="W129" s="122"/>
      <c r="X129" s="122"/>
      <c r="Y129" s="7"/>
      <c r="Z129" s="7">
        <v>1</v>
      </c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16">
        <v>45295</v>
      </c>
      <c r="AM129" s="4"/>
      <c r="AN129" s="4" t="s">
        <v>215</v>
      </c>
      <c r="AO129" s="4"/>
      <c r="AP129" s="4"/>
      <c r="AQ129" s="4"/>
      <c r="AR129" s="11">
        <v>200</v>
      </c>
      <c r="AS129" s="11"/>
      <c r="AT129" s="11"/>
      <c r="AU129" s="11"/>
    </row>
    <row r="130" spans="1:47" ht="15.75" x14ac:dyDescent="0.25">
      <c r="A130" s="112" t="s">
        <v>217</v>
      </c>
      <c r="B130" s="6" t="s">
        <v>1196</v>
      </c>
      <c r="C130" s="8" t="s">
        <v>4</v>
      </c>
      <c r="D130" s="8" t="s">
        <v>64</v>
      </c>
      <c r="E130" s="9">
        <v>4</v>
      </c>
      <c r="F130" s="9"/>
      <c r="G130" s="9"/>
      <c r="H130" s="7"/>
      <c r="I130" s="7"/>
      <c r="J130" s="7"/>
      <c r="K130" s="7"/>
      <c r="L130" s="122"/>
      <c r="M130" s="122"/>
      <c r="N130" s="122"/>
      <c r="O130" s="96"/>
      <c r="P130" s="7"/>
      <c r="Q130" s="93">
        <v>0.42816364513334831</v>
      </c>
      <c r="R130" s="93">
        <v>187.50614754098456</v>
      </c>
      <c r="S130" s="122" t="s">
        <v>1518</v>
      </c>
      <c r="T130" s="7"/>
      <c r="U130" s="7"/>
      <c r="V130" s="122" t="s">
        <v>1518</v>
      </c>
      <c r="W130" s="122"/>
      <c r="X130" s="122"/>
      <c r="Y130" s="7"/>
      <c r="Z130" s="7">
        <v>1</v>
      </c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16">
        <v>45295</v>
      </c>
      <c r="AM130" s="4"/>
      <c r="AN130" s="4" t="s">
        <v>215</v>
      </c>
      <c r="AO130" s="4"/>
      <c r="AP130" s="4"/>
      <c r="AQ130" s="4"/>
      <c r="AR130" s="11">
        <v>200</v>
      </c>
      <c r="AS130" s="11"/>
      <c r="AT130" s="11"/>
      <c r="AU130" s="11"/>
    </row>
    <row r="131" spans="1:47" ht="15.75" x14ac:dyDescent="0.25">
      <c r="A131" s="112" t="s">
        <v>218</v>
      </c>
      <c r="B131" s="6" t="s">
        <v>1197</v>
      </c>
      <c r="C131" s="8" t="s">
        <v>4</v>
      </c>
      <c r="D131" s="7" t="s">
        <v>19</v>
      </c>
      <c r="E131" s="9">
        <v>1</v>
      </c>
      <c r="F131" s="9"/>
      <c r="G131" s="9"/>
      <c r="H131" s="7"/>
      <c r="I131" s="7"/>
      <c r="J131" s="7"/>
      <c r="K131" s="7"/>
      <c r="L131" s="122"/>
      <c r="M131" s="122"/>
      <c r="N131" s="122"/>
      <c r="O131" s="96"/>
      <c r="P131" s="7"/>
      <c r="Q131" s="93">
        <v>1.4351105541832885E-3</v>
      </c>
      <c r="R131" s="93">
        <v>104.81443298969072</v>
      </c>
      <c r="S131" s="122" t="s">
        <v>1518</v>
      </c>
      <c r="T131" s="7"/>
      <c r="U131" s="7"/>
      <c r="V131" s="122" t="s">
        <v>1518</v>
      </c>
      <c r="W131" s="122"/>
      <c r="X131" s="122" t="s">
        <v>1518</v>
      </c>
      <c r="Y131" s="7"/>
      <c r="Z131" s="7"/>
      <c r="AA131" s="7">
        <v>1</v>
      </c>
      <c r="AB131" s="7">
        <v>1</v>
      </c>
      <c r="AC131" s="7"/>
      <c r="AD131" s="7">
        <v>1</v>
      </c>
      <c r="AE131" s="7">
        <v>1</v>
      </c>
      <c r="AF131" s="7">
        <v>1</v>
      </c>
      <c r="AG131" s="7">
        <v>1</v>
      </c>
      <c r="AH131" s="7">
        <v>1</v>
      </c>
      <c r="AI131" s="7"/>
      <c r="AJ131" s="7">
        <v>1</v>
      </c>
      <c r="AK131" s="7"/>
      <c r="AL131" s="16">
        <v>45295</v>
      </c>
      <c r="AM131" s="4"/>
      <c r="AN131" s="13" t="s">
        <v>1026</v>
      </c>
      <c r="AO131" s="4"/>
      <c r="AP131" s="4"/>
      <c r="AQ131" s="4"/>
      <c r="AR131" s="11">
        <v>100</v>
      </c>
      <c r="AS131" s="11"/>
      <c r="AT131" s="11"/>
      <c r="AU131" s="11"/>
    </row>
    <row r="132" spans="1:47" ht="15.75" x14ac:dyDescent="0.25">
      <c r="A132" s="112" t="s">
        <v>219</v>
      </c>
      <c r="B132" s="6" t="s">
        <v>1200</v>
      </c>
      <c r="C132" s="8" t="s">
        <v>4</v>
      </c>
      <c r="D132" s="9" t="s">
        <v>17</v>
      </c>
      <c r="E132" s="9">
        <v>1</v>
      </c>
      <c r="F132" s="9"/>
      <c r="G132" s="9"/>
      <c r="H132" s="7"/>
      <c r="I132" s="7"/>
      <c r="J132" s="7"/>
      <c r="K132" s="7"/>
      <c r="L132" s="122"/>
      <c r="M132" s="122"/>
      <c r="N132" s="122"/>
      <c r="O132" s="96"/>
      <c r="P132" s="7"/>
      <c r="Q132" s="93">
        <v>0.96147165134955359</v>
      </c>
      <c r="R132" s="93">
        <v>67.680243750906783</v>
      </c>
      <c r="S132" s="122" t="s">
        <v>1518</v>
      </c>
      <c r="T132" s="7"/>
      <c r="U132" s="7"/>
      <c r="V132" s="122"/>
      <c r="W132" s="122"/>
      <c r="X132" s="122" t="s">
        <v>1518</v>
      </c>
      <c r="Y132" s="7"/>
      <c r="Z132" s="7">
        <v>1</v>
      </c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16">
        <v>45295</v>
      </c>
      <c r="AM132" s="4"/>
      <c r="AN132" s="6" t="s">
        <v>1027</v>
      </c>
      <c r="AO132" s="6" t="s">
        <v>300</v>
      </c>
      <c r="AP132" s="4"/>
      <c r="AQ132" s="4"/>
      <c r="AR132" s="11">
        <v>69</v>
      </c>
      <c r="AS132" s="11">
        <v>34.5</v>
      </c>
      <c r="AT132" s="11"/>
      <c r="AU132" s="11"/>
    </row>
    <row r="133" spans="1:47" ht="15.75" x14ac:dyDescent="0.25">
      <c r="A133" s="116" t="s">
        <v>220</v>
      </c>
      <c r="B133" s="6" t="s">
        <v>1201</v>
      </c>
      <c r="C133" s="54" t="s">
        <v>4</v>
      </c>
      <c r="D133" s="9" t="s">
        <v>13</v>
      </c>
      <c r="E133" s="9">
        <v>15</v>
      </c>
      <c r="F133" s="9"/>
      <c r="G133" s="9"/>
      <c r="H133" s="7">
        <v>20</v>
      </c>
      <c r="I133" s="50"/>
      <c r="J133" s="50"/>
      <c r="K133" s="7" t="s">
        <v>80</v>
      </c>
      <c r="L133" s="123" t="s">
        <v>1518</v>
      </c>
      <c r="M133" s="122" t="s">
        <v>1518</v>
      </c>
      <c r="N133" s="123" t="s">
        <v>1518</v>
      </c>
      <c r="O133" s="148" t="s">
        <v>180</v>
      </c>
      <c r="P133" s="50"/>
      <c r="Q133" s="93">
        <v>2.957136781681764</v>
      </c>
      <c r="R133" s="93">
        <v>94.188854041013286</v>
      </c>
      <c r="S133" s="123" t="s">
        <v>1518</v>
      </c>
      <c r="T133" s="50"/>
      <c r="U133" s="50"/>
      <c r="V133" s="123" t="s">
        <v>1518</v>
      </c>
      <c r="W133" s="123"/>
      <c r="X133" s="123" t="s">
        <v>1518</v>
      </c>
      <c r="Y133" s="50"/>
      <c r="Z133" s="50"/>
      <c r="AA133" s="50"/>
      <c r="AB133" s="50"/>
      <c r="AC133" s="50">
        <v>3</v>
      </c>
      <c r="AD133" s="50"/>
      <c r="AE133" s="50">
        <v>3</v>
      </c>
      <c r="AF133" s="50"/>
      <c r="AG133" s="50"/>
      <c r="AH133" s="50"/>
      <c r="AI133" s="50"/>
      <c r="AJ133" s="50"/>
      <c r="AK133" s="50"/>
      <c r="AL133" s="16">
        <v>45295</v>
      </c>
      <c r="AM133" s="4"/>
      <c r="AN133" s="6" t="s">
        <v>990</v>
      </c>
      <c r="AO133" s="51"/>
      <c r="AP133" s="51"/>
      <c r="AQ133" s="51"/>
      <c r="AR133" s="53">
        <v>960</v>
      </c>
      <c r="AS133" s="53"/>
      <c r="AT133" s="53"/>
      <c r="AU133" s="53"/>
    </row>
    <row r="134" spans="1:47" ht="15.75" x14ac:dyDescent="0.25">
      <c r="A134" s="112" t="s">
        <v>1202</v>
      </c>
      <c r="B134" s="6" t="s">
        <v>1964</v>
      </c>
      <c r="C134" s="9" t="s">
        <v>4</v>
      </c>
      <c r="D134" s="9" t="s">
        <v>13</v>
      </c>
      <c r="E134" s="9">
        <v>15</v>
      </c>
      <c r="F134" s="9"/>
      <c r="G134" s="9"/>
      <c r="H134" s="7"/>
      <c r="I134" s="7"/>
      <c r="J134" s="7"/>
      <c r="K134" s="7"/>
      <c r="L134" s="122"/>
      <c r="M134" s="122"/>
      <c r="N134" s="122"/>
      <c r="O134" s="96"/>
      <c r="P134" s="14"/>
      <c r="Q134" s="93">
        <v>8.0546301395273971</v>
      </c>
      <c r="R134" s="93">
        <v>254.17500000000004</v>
      </c>
      <c r="S134" s="122" t="s">
        <v>1518</v>
      </c>
      <c r="T134" s="7"/>
      <c r="U134" s="7"/>
      <c r="V134" s="122" t="s">
        <v>1518</v>
      </c>
      <c r="W134" s="122"/>
      <c r="X134" s="122" t="s">
        <v>1518</v>
      </c>
      <c r="Y134" s="7"/>
      <c r="Z134" s="7"/>
      <c r="AA134" s="7">
        <v>1</v>
      </c>
      <c r="AB134" s="7"/>
      <c r="AC134" s="7">
        <v>1</v>
      </c>
      <c r="AD134" s="7"/>
      <c r="AE134" s="7">
        <v>1</v>
      </c>
      <c r="AF134" s="7"/>
      <c r="AG134" s="7">
        <v>1</v>
      </c>
      <c r="AH134" s="7">
        <v>1</v>
      </c>
      <c r="AI134" s="7"/>
      <c r="AJ134" s="7"/>
      <c r="AK134" s="7"/>
      <c r="AL134" s="16">
        <v>45295</v>
      </c>
      <c r="AM134" s="4"/>
      <c r="AN134" s="6" t="s">
        <v>1008</v>
      </c>
      <c r="AO134" s="4"/>
      <c r="AP134" s="4"/>
      <c r="AQ134" s="4"/>
      <c r="AR134" s="11">
        <v>720</v>
      </c>
      <c r="AS134" s="11"/>
      <c r="AT134" s="11"/>
      <c r="AU134" s="11"/>
    </row>
    <row r="135" spans="1:47" ht="15.75" x14ac:dyDescent="0.25">
      <c r="A135" s="112" t="s">
        <v>221</v>
      </c>
      <c r="B135" s="6" t="s">
        <v>1205</v>
      </c>
      <c r="C135" s="8" t="s">
        <v>4</v>
      </c>
      <c r="D135" s="8" t="s">
        <v>29</v>
      </c>
      <c r="E135" s="9">
        <v>1</v>
      </c>
      <c r="F135" s="9"/>
      <c r="G135" s="9"/>
      <c r="H135" s="7"/>
      <c r="I135" s="7"/>
      <c r="J135" s="7"/>
      <c r="K135" s="7"/>
      <c r="L135" s="122"/>
      <c r="M135" s="122"/>
      <c r="N135" s="122"/>
      <c r="O135" s="96"/>
      <c r="P135" s="7"/>
      <c r="Q135" s="93">
        <v>0.10543701414231428</v>
      </c>
      <c r="R135" s="93">
        <v>69.828296703296587</v>
      </c>
      <c r="S135" s="122" t="s">
        <v>1518</v>
      </c>
      <c r="T135" s="7"/>
      <c r="U135" s="7"/>
      <c r="V135" s="122"/>
      <c r="W135" s="122"/>
      <c r="X135" s="122"/>
      <c r="Y135" s="7"/>
      <c r="Z135" s="7"/>
      <c r="AA135" s="7">
        <v>1</v>
      </c>
      <c r="AB135" s="7">
        <v>1</v>
      </c>
      <c r="AC135" s="7"/>
      <c r="AD135" s="7">
        <v>1</v>
      </c>
      <c r="AE135" s="7">
        <v>1</v>
      </c>
      <c r="AF135" s="7">
        <v>1</v>
      </c>
      <c r="AG135" s="7">
        <v>1</v>
      </c>
      <c r="AH135" s="7">
        <v>1</v>
      </c>
      <c r="AI135" s="7"/>
      <c r="AJ135" s="7">
        <v>1</v>
      </c>
      <c r="AK135" s="7"/>
      <c r="AL135" s="16">
        <v>45295</v>
      </c>
      <c r="AM135" s="4"/>
      <c r="AN135" s="6" t="s">
        <v>1028</v>
      </c>
      <c r="AO135" s="4"/>
      <c r="AP135" s="4"/>
      <c r="AQ135" s="4"/>
      <c r="AR135" s="11">
        <v>125</v>
      </c>
      <c r="AS135" s="11"/>
      <c r="AT135" s="11"/>
      <c r="AU135" s="11"/>
    </row>
    <row r="136" spans="1:47" ht="15.75" x14ac:dyDescent="0.25">
      <c r="A136" s="112" t="s">
        <v>1829</v>
      </c>
      <c r="B136" s="6" t="s">
        <v>1830</v>
      </c>
      <c r="C136" s="8" t="s">
        <v>4</v>
      </c>
      <c r="D136" s="8" t="s">
        <v>13</v>
      </c>
      <c r="E136" s="9" t="s">
        <v>962</v>
      </c>
      <c r="F136" s="9"/>
      <c r="G136" s="9"/>
      <c r="H136" s="7"/>
      <c r="I136" s="7"/>
      <c r="J136" s="7"/>
      <c r="K136" s="7"/>
      <c r="L136" s="122"/>
      <c r="M136" s="122"/>
      <c r="N136" s="122"/>
      <c r="O136" s="96"/>
      <c r="P136" s="7"/>
      <c r="Q136" s="93">
        <v>0.54862255127722548</v>
      </c>
      <c r="R136" s="93">
        <v>22.137822580645185</v>
      </c>
      <c r="S136" s="122" t="s">
        <v>1518</v>
      </c>
      <c r="T136" s="7"/>
      <c r="U136" s="7"/>
      <c r="V136" s="122"/>
      <c r="W136" s="122"/>
      <c r="X136" s="122"/>
      <c r="Y136" s="7"/>
      <c r="Z136" s="7"/>
      <c r="AA136" s="7"/>
      <c r="AB136" s="7"/>
      <c r="AC136" s="7"/>
      <c r="AD136" s="7">
        <v>1</v>
      </c>
      <c r="AE136" s="7"/>
      <c r="AF136" s="7"/>
      <c r="AG136" s="7"/>
      <c r="AH136" s="7"/>
      <c r="AI136" s="7"/>
      <c r="AJ136" s="7">
        <v>1</v>
      </c>
      <c r="AK136" s="7"/>
      <c r="AL136" s="16">
        <v>45295</v>
      </c>
      <c r="AM136" s="4"/>
      <c r="AN136" s="4" t="s">
        <v>177</v>
      </c>
      <c r="AO136" s="4"/>
      <c r="AP136" s="4"/>
      <c r="AQ136" s="4"/>
      <c r="AR136" s="11">
        <v>450</v>
      </c>
      <c r="AS136" s="11"/>
      <c r="AT136" s="11"/>
      <c r="AU136" s="11"/>
    </row>
    <row r="137" spans="1:47" ht="15.75" x14ac:dyDescent="0.25">
      <c r="A137" s="112" t="s">
        <v>223</v>
      </c>
      <c r="B137" s="6" t="s">
        <v>1208</v>
      </c>
      <c r="C137" s="8" t="s">
        <v>4</v>
      </c>
      <c r="D137" s="8" t="s">
        <v>29</v>
      </c>
      <c r="E137" s="9">
        <v>4</v>
      </c>
      <c r="F137" s="9"/>
      <c r="G137" s="9"/>
      <c r="H137" s="7"/>
      <c r="I137" s="7"/>
      <c r="J137" s="7"/>
      <c r="K137" s="7"/>
      <c r="L137" s="122" t="s">
        <v>1518</v>
      </c>
      <c r="M137" s="122" t="s">
        <v>1518</v>
      </c>
      <c r="N137" s="122"/>
      <c r="O137" s="96"/>
      <c r="P137" s="7"/>
      <c r="Q137" s="93">
        <v>0</v>
      </c>
      <c r="R137" s="93">
        <v>0</v>
      </c>
      <c r="S137" s="122" t="s">
        <v>1518</v>
      </c>
      <c r="T137" s="7"/>
      <c r="U137" s="7"/>
      <c r="V137" s="122" t="s">
        <v>1518</v>
      </c>
      <c r="W137" s="122" t="s">
        <v>1518</v>
      </c>
      <c r="X137" s="122" t="s">
        <v>1518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>
        <v>1</v>
      </c>
      <c r="AL137" s="16">
        <v>45295</v>
      </c>
      <c r="AM137" s="4"/>
      <c r="AN137" s="4" t="s">
        <v>224</v>
      </c>
      <c r="AO137" s="4"/>
      <c r="AP137" s="4"/>
      <c r="AQ137" s="4"/>
      <c r="AR137" s="11">
        <v>120</v>
      </c>
      <c r="AS137" s="11"/>
      <c r="AT137" s="11"/>
      <c r="AU137" s="11"/>
    </row>
    <row r="138" spans="1:47" ht="15.75" x14ac:dyDescent="0.25">
      <c r="A138" s="112" t="s">
        <v>225</v>
      </c>
      <c r="B138" s="6" t="s">
        <v>1669</v>
      </c>
      <c r="C138" s="8" t="s">
        <v>4</v>
      </c>
      <c r="D138" s="9" t="s">
        <v>186</v>
      </c>
      <c r="E138" s="9">
        <v>4</v>
      </c>
      <c r="F138" s="9">
        <v>4</v>
      </c>
      <c r="G138" s="9"/>
      <c r="H138" s="7">
        <v>6</v>
      </c>
      <c r="I138" s="7"/>
      <c r="J138" s="7"/>
      <c r="K138" s="7" t="s">
        <v>14</v>
      </c>
      <c r="L138" s="122" t="s">
        <v>1518</v>
      </c>
      <c r="M138" s="122" t="s">
        <v>1518</v>
      </c>
      <c r="N138" s="122"/>
      <c r="O138" s="96"/>
      <c r="P138" s="7"/>
      <c r="Q138" s="93">
        <v>0</v>
      </c>
      <c r="R138" s="93">
        <v>0</v>
      </c>
      <c r="S138" s="122" t="s">
        <v>1518</v>
      </c>
      <c r="T138" s="7"/>
      <c r="U138" s="7"/>
      <c r="V138" s="122"/>
      <c r="W138" s="122"/>
      <c r="X138" s="122" t="s">
        <v>1518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>
        <v>1</v>
      </c>
      <c r="AL138" s="16">
        <v>45295</v>
      </c>
      <c r="AM138" s="4"/>
      <c r="AN138" s="4" t="s">
        <v>224</v>
      </c>
      <c r="AO138" s="4" t="s">
        <v>215</v>
      </c>
      <c r="AP138" s="4"/>
      <c r="AQ138" s="4"/>
      <c r="AR138" s="11">
        <v>60</v>
      </c>
      <c r="AS138" s="11">
        <v>20</v>
      </c>
      <c r="AT138" s="11"/>
      <c r="AU138" s="11"/>
    </row>
    <row r="139" spans="1:47" ht="15.75" x14ac:dyDescent="0.25">
      <c r="A139" s="4" t="s">
        <v>1212</v>
      </c>
      <c r="B139" s="6" t="s">
        <v>1213</v>
      </c>
      <c r="C139" s="7" t="s">
        <v>4</v>
      </c>
      <c r="D139" s="7" t="s">
        <v>13</v>
      </c>
      <c r="E139" s="9">
        <v>9</v>
      </c>
      <c r="F139" s="9"/>
      <c r="G139" s="9"/>
      <c r="H139" s="7"/>
      <c r="I139" s="7"/>
      <c r="J139" s="7"/>
      <c r="K139" s="7"/>
      <c r="L139" s="122"/>
      <c r="M139" s="122"/>
      <c r="N139" s="122"/>
      <c r="O139" s="7"/>
      <c r="P139" s="7"/>
      <c r="Q139" s="93">
        <v>0</v>
      </c>
      <c r="R139" s="93">
        <v>0</v>
      </c>
      <c r="S139" s="7" t="s">
        <v>1518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16">
        <v>45295</v>
      </c>
      <c r="AM139" s="4"/>
      <c r="AN139" s="11" t="s">
        <v>228</v>
      </c>
      <c r="AO139" s="4"/>
      <c r="AP139" s="4"/>
      <c r="AQ139" s="4"/>
      <c r="AR139" s="4">
        <v>360</v>
      </c>
      <c r="AS139" s="4"/>
      <c r="AT139" s="4"/>
      <c r="AU139" s="4"/>
    </row>
    <row r="140" spans="1:47" ht="15.75" x14ac:dyDescent="0.25">
      <c r="A140" s="112" t="s">
        <v>226</v>
      </c>
      <c r="B140" s="6" t="s">
        <v>1216</v>
      </c>
      <c r="C140" s="8" t="s">
        <v>4</v>
      </c>
      <c r="D140" s="8" t="s">
        <v>88</v>
      </c>
      <c r="E140" s="9">
        <v>2</v>
      </c>
      <c r="F140" s="9"/>
      <c r="G140" s="9"/>
      <c r="H140" s="7"/>
      <c r="I140" s="7">
        <v>6</v>
      </c>
      <c r="J140" s="7"/>
      <c r="K140" s="7"/>
      <c r="L140" s="122"/>
      <c r="M140" s="122"/>
      <c r="N140" s="122"/>
      <c r="O140" s="96"/>
      <c r="P140" s="7"/>
      <c r="Q140" s="93">
        <v>0.29587704119930397</v>
      </c>
      <c r="R140" s="93">
        <v>143.11655405405398</v>
      </c>
      <c r="S140" s="122" t="s">
        <v>1518</v>
      </c>
      <c r="T140" s="7"/>
      <c r="U140" s="7"/>
      <c r="V140" s="122"/>
      <c r="W140" s="122"/>
      <c r="X140" s="122"/>
      <c r="Y140" s="7"/>
      <c r="Z140" s="7">
        <v>1</v>
      </c>
      <c r="AA140" s="7"/>
      <c r="AB140" s="7"/>
      <c r="AC140" s="7">
        <v>1</v>
      </c>
      <c r="AD140" s="7"/>
      <c r="AE140" s="7"/>
      <c r="AF140" s="7"/>
      <c r="AG140" s="7"/>
      <c r="AH140" s="7"/>
      <c r="AI140" s="7"/>
      <c r="AJ140" s="7"/>
      <c r="AK140" s="7"/>
      <c r="AL140" s="16">
        <v>45295</v>
      </c>
      <c r="AM140" s="4"/>
      <c r="AN140" s="6" t="s">
        <v>1010</v>
      </c>
      <c r="AO140" s="4"/>
      <c r="AP140" s="4"/>
      <c r="AQ140" s="4"/>
      <c r="AR140" s="11">
        <v>50</v>
      </c>
      <c r="AS140" s="11"/>
      <c r="AT140" s="11"/>
      <c r="AU140" s="11"/>
    </row>
    <row r="141" spans="1:47" ht="15.75" x14ac:dyDescent="0.25">
      <c r="A141" s="112" t="s">
        <v>1541</v>
      </c>
      <c r="B141" s="6" t="s">
        <v>1217</v>
      </c>
      <c r="C141" s="9" t="s">
        <v>4</v>
      </c>
      <c r="D141" s="9" t="s">
        <v>54</v>
      </c>
      <c r="E141" s="9">
        <v>9</v>
      </c>
      <c r="F141" s="9"/>
      <c r="G141" s="9"/>
      <c r="H141" s="7"/>
      <c r="I141" s="7"/>
      <c r="J141" s="7"/>
      <c r="K141" s="7"/>
      <c r="L141" s="122"/>
      <c r="M141" s="122"/>
      <c r="N141" s="122"/>
      <c r="O141" s="96"/>
      <c r="P141" s="14"/>
      <c r="Q141" s="93">
        <v>0.38650149716110876</v>
      </c>
      <c r="R141" s="93">
        <v>1661.2745098039234</v>
      </c>
      <c r="S141" s="122" t="s">
        <v>1518</v>
      </c>
      <c r="T141" s="7"/>
      <c r="U141" s="7"/>
      <c r="V141" s="122"/>
      <c r="W141" s="122"/>
      <c r="X141" s="122"/>
      <c r="Y141" s="7"/>
      <c r="Z141" s="7"/>
      <c r="AA141" s="7"/>
      <c r="AB141" s="7"/>
      <c r="AC141" s="7">
        <v>1</v>
      </c>
      <c r="AD141" s="7"/>
      <c r="AE141" s="7"/>
      <c r="AF141" s="7"/>
      <c r="AG141" s="7"/>
      <c r="AH141" s="7"/>
      <c r="AI141" s="7"/>
      <c r="AJ141" s="7"/>
      <c r="AK141" s="7"/>
      <c r="AL141" s="16">
        <v>45295</v>
      </c>
      <c r="AM141" s="4"/>
      <c r="AN141" s="11" t="s">
        <v>228</v>
      </c>
      <c r="AO141" s="11"/>
      <c r="AP141" s="6"/>
      <c r="AQ141" s="4"/>
      <c r="AR141" s="11">
        <v>360</v>
      </c>
      <c r="AS141" s="11"/>
      <c r="AT141" s="11"/>
      <c r="AU141" s="11"/>
    </row>
    <row r="142" spans="1:47" ht="15.75" x14ac:dyDescent="0.25">
      <c r="A142" s="112" t="s">
        <v>229</v>
      </c>
      <c r="B142" s="6" t="s">
        <v>1218</v>
      </c>
      <c r="C142" s="8" t="s">
        <v>4</v>
      </c>
      <c r="D142" s="9" t="s">
        <v>17</v>
      </c>
      <c r="E142" s="9">
        <v>15</v>
      </c>
      <c r="F142" s="9"/>
      <c r="G142" s="9"/>
      <c r="H142" s="7"/>
      <c r="I142" s="7"/>
      <c r="J142" s="7"/>
      <c r="K142" s="7" t="s">
        <v>14</v>
      </c>
      <c r="L142" s="122"/>
      <c r="M142" s="122"/>
      <c r="N142" s="122"/>
      <c r="O142" s="96"/>
      <c r="P142" s="7"/>
      <c r="Q142" s="93">
        <v>7.5491503505291222</v>
      </c>
      <c r="R142" s="93">
        <v>60.653243847874926</v>
      </c>
      <c r="S142" s="122" t="s">
        <v>1518</v>
      </c>
      <c r="T142" s="7"/>
      <c r="U142" s="7"/>
      <c r="V142" s="122"/>
      <c r="W142" s="122"/>
      <c r="X142" s="122" t="s">
        <v>1518</v>
      </c>
      <c r="Y142" s="7" t="s">
        <v>7</v>
      </c>
      <c r="Z142" s="7">
        <v>1</v>
      </c>
      <c r="AA142" s="7"/>
      <c r="AB142" s="7">
        <v>1</v>
      </c>
      <c r="AC142" s="7"/>
      <c r="AD142" s="7"/>
      <c r="AE142" s="7"/>
      <c r="AF142" s="7"/>
      <c r="AG142" s="7"/>
      <c r="AH142" s="7"/>
      <c r="AI142" s="7">
        <v>1</v>
      </c>
      <c r="AJ142" s="7"/>
      <c r="AK142" s="7"/>
      <c r="AL142" s="16">
        <v>45295</v>
      </c>
      <c r="AM142" s="4"/>
      <c r="AN142" s="11" t="s">
        <v>131</v>
      </c>
      <c r="AO142" s="4"/>
      <c r="AP142" s="4"/>
      <c r="AQ142" s="4"/>
      <c r="AR142" s="11">
        <v>800</v>
      </c>
      <c r="AS142" s="11"/>
      <c r="AT142" s="11"/>
      <c r="AU142" s="11"/>
    </row>
    <row r="143" spans="1:47" ht="15.75" x14ac:dyDescent="0.25">
      <c r="A143" s="112" t="s">
        <v>230</v>
      </c>
      <c r="B143" s="6" t="s">
        <v>1219</v>
      </c>
      <c r="C143" s="8" t="s">
        <v>4</v>
      </c>
      <c r="D143" s="9" t="s">
        <v>13</v>
      </c>
      <c r="E143" s="9">
        <v>5</v>
      </c>
      <c r="F143" s="9"/>
      <c r="G143" s="9"/>
      <c r="H143" s="7"/>
      <c r="I143" s="7"/>
      <c r="J143" s="7"/>
      <c r="K143" s="7"/>
      <c r="L143" s="122"/>
      <c r="M143" s="122"/>
      <c r="N143" s="122"/>
      <c r="O143" s="96"/>
      <c r="P143" s="7"/>
      <c r="Q143" s="93">
        <v>0.12819947377256399</v>
      </c>
      <c r="R143" s="93">
        <v>134.78977272727238</v>
      </c>
      <c r="S143" s="122" t="s">
        <v>1518</v>
      </c>
      <c r="T143" s="7"/>
      <c r="U143" s="7"/>
      <c r="V143" s="122"/>
      <c r="W143" s="122"/>
      <c r="X143" s="122" t="s">
        <v>1518</v>
      </c>
      <c r="Y143" s="7"/>
      <c r="Z143" s="7"/>
      <c r="AA143" s="7">
        <v>1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16">
        <v>45295</v>
      </c>
      <c r="AM143" s="4"/>
      <c r="AN143" s="6" t="s">
        <v>1017</v>
      </c>
      <c r="AO143" s="4"/>
      <c r="AP143" s="4"/>
      <c r="AQ143" s="4"/>
      <c r="AR143" s="11">
        <v>700</v>
      </c>
      <c r="AS143" s="11"/>
      <c r="AT143" s="11"/>
      <c r="AU143" s="11"/>
    </row>
    <row r="144" spans="1:47" ht="15.75" x14ac:dyDescent="0.25">
      <c r="A144" s="112" t="s">
        <v>231</v>
      </c>
      <c r="B144" s="6" t="s">
        <v>1684</v>
      </c>
      <c r="C144" s="8" t="s">
        <v>4</v>
      </c>
      <c r="D144" s="8" t="s">
        <v>232</v>
      </c>
      <c r="E144" s="9">
        <v>5</v>
      </c>
      <c r="F144" s="9"/>
      <c r="G144" s="9"/>
      <c r="H144" s="7"/>
      <c r="I144" s="7"/>
      <c r="J144" s="7"/>
      <c r="K144" s="7"/>
      <c r="L144" s="122"/>
      <c r="M144" s="122"/>
      <c r="N144" s="122"/>
      <c r="O144" s="96"/>
      <c r="P144" s="7"/>
      <c r="Q144" s="93">
        <v>0.13186231588035152</v>
      </c>
      <c r="R144" s="93">
        <v>138.64090909090874</v>
      </c>
      <c r="S144" s="122" t="s">
        <v>1518</v>
      </c>
      <c r="T144" s="7"/>
      <c r="U144" s="7"/>
      <c r="V144" s="122"/>
      <c r="W144" s="122"/>
      <c r="X144" s="122" t="s">
        <v>1518</v>
      </c>
      <c r="Y144" s="7"/>
      <c r="Z144" s="7"/>
      <c r="AA144" s="7">
        <v>1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16">
        <v>45295</v>
      </c>
      <c r="AM144" s="4"/>
      <c r="AN144" s="6" t="s">
        <v>1017</v>
      </c>
      <c r="AO144" s="4"/>
      <c r="AP144" s="4"/>
      <c r="AQ144" s="4"/>
      <c r="AR144" s="11">
        <v>900</v>
      </c>
      <c r="AS144" s="11"/>
      <c r="AT144" s="11"/>
      <c r="AU144" s="11"/>
    </row>
    <row r="145" spans="1:47" ht="15.75" x14ac:dyDescent="0.25">
      <c r="A145" s="112" t="s">
        <v>233</v>
      </c>
      <c r="B145" s="6" t="s">
        <v>1221</v>
      </c>
      <c r="C145" s="8" t="s">
        <v>4</v>
      </c>
      <c r="D145" s="8" t="s">
        <v>13</v>
      </c>
      <c r="E145" s="9">
        <v>3</v>
      </c>
      <c r="F145" s="9"/>
      <c r="G145" s="9"/>
      <c r="H145" s="7"/>
      <c r="I145" s="7"/>
      <c r="J145" s="7"/>
      <c r="K145" s="7"/>
      <c r="L145" s="122"/>
      <c r="M145" s="122"/>
      <c r="N145" s="122"/>
      <c r="O145" s="96"/>
      <c r="P145" s="7"/>
      <c r="Q145" s="93">
        <v>2.8008459820015257</v>
      </c>
      <c r="R145" s="93">
        <v>188.27777777777837</v>
      </c>
      <c r="S145" s="122" t="s">
        <v>1518</v>
      </c>
      <c r="T145" s="7"/>
      <c r="U145" s="7"/>
      <c r="V145" s="122"/>
      <c r="W145" s="122"/>
      <c r="X145" s="122" t="s">
        <v>1518</v>
      </c>
      <c r="Y145" s="7"/>
      <c r="Z145" s="7"/>
      <c r="AA145" s="7"/>
      <c r="AB145" s="7"/>
      <c r="AC145" s="7"/>
      <c r="AD145" s="7">
        <v>1</v>
      </c>
      <c r="AE145" s="7"/>
      <c r="AF145" s="7"/>
      <c r="AG145" s="7"/>
      <c r="AH145" s="7"/>
      <c r="AI145" s="7"/>
      <c r="AJ145" s="7"/>
      <c r="AK145" s="7"/>
      <c r="AL145" s="16">
        <v>45295</v>
      </c>
      <c r="AM145" s="4"/>
      <c r="AN145" s="11" t="s">
        <v>234</v>
      </c>
      <c r="AO145" s="4"/>
      <c r="AP145" s="4"/>
      <c r="AQ145" s="4"/>
      <c r="AR145" s="11">
        <v>400</v>
      </c>
      <c r="AS145" s="11"/>
      <c r="AT145" s="11"/>
      <c r="AU145" s="11"/>
    </row>
    <row r="146" spans="1:47" ht="15.75" x14ac:dyDescent="0.25">
      <c r="A146" s="114" t="s">
        <v>1614</v>
      </c>
      <c r="B146" s="6" t="s">
        <v>1615</v>
      </c>
      <c r="C146" s="8" t="s">
        <v>4</v>
      </c>
      <c r="D146" s="7" t="s">
        <v>26</v>
      </c>
      <c r="E146" s="9">
        <v>1</v>
      </c>
      <c r="F146" s="9"/>
      <c r="G146" s="9"/>
      <c r="H146" s="7"/>
      <c r="I146" s="7"/>
      <c r="J146" s="7"/>
      <c r="K146" s="7"/>
      <c r="L146" s="122" t="s">
        <v>1518</v>
      </c>
      <c r="M146" s="122" t="s">
        <v>1518</v>
      </c>
      <c r="N146" s="122"/>
      <c r="O146" s="96"/>
      <c r="P146" s="7"/>
      <c r="Q146" s="93">
        <v>1.2413294051170814E-2</v>
      </c>
      <c r="R146" s="93">
        <v>33.331421934497818</v>
      </c>
      <c r="S146" s="122" t="s">
        <v>1518</v>
      </c>
      <c r="T146" s="7"/>
      <c r="U146" s="7"/>
      <c r="V146" s="122" t="s">
        <v>1518</v>
      </c>
      <c r="W146" s="122"/>
      <c r="X146" s="122" t="s">
        <v>1518</v>
      </c>
      <c r="Y146" s="7"/>
      <c r="Z146" s="7">
        <v>1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16">
        <v>45295</v>
      </c>
      <c r="AM146" s="4"/>
      <c r="AN146" s="4" t="s">
        <v>151</v>
      </c>
      <c r="AO146" s="6" t="s">
        <v>300</v>
      </c>
      <c r="AP146" s="4"/>
      <c r="AQ146" s="4"/>
      <c r="AR146" s="11">
        <v>50</v>
      </c>
      <c r="AS146" s="11">
        <v>125</v>
      </c>
      <c r="AT146" s="11"/>
      <c r="AU146" s="11"/>
    </row>
    <row r="147" spans="1:47" ht="24.75" x14ac:dyDescent="0.25">
      <c r="A147" s="112" t="s">
        <v>1494</v>
      </c>
      <c r="B147" s="6" t="s">
        <v>1222</v>
      </c>
      <c r="C147" s="8" t="s">
        <v>4</v>
      </c>
      <c r="D147" s="9" t="s">
        <v>17</v>
      </c>
      <c r="E147" s="9">
        <v>2</v>
      </c>
      <c r="F147" s="9"/>
      <c r="G147" s="9"/>
      <c r="H147" s="7"/>
      <c r="I147" s="7">
        <v>3</v>
      </c>
      <c r="J147" s="7"/>
      <c r="K147" s="7"/>
      <c r="L147" s="122" t="s">
        <v>1518</v>
      </c>
      <c r="M147" s="122" t="s">
        <v>1518</v>
      </c>
      <c r="N147" s="122"/>
      <c r="O147" s="96" t="s">
        <v>1523</v>
      </c>
      <c r="P147" s="7"/>
      <c r="Q147" s="93">
        <v>6.219448262393918</v>
      </c>
      <c r="R147" s="93">
        <v>805.48415492957861</v>
      </c>
      <c r="S147" s="122" t="s">
        <v>1518</v>
      </c>
      <c r="T147" s="7"/>
      <c r="U147" s="7"/>
      <c r="V147" s="122"/>
      <c r="W147" s="122"/>
      <c r="X147" s="122"/>
      <c r="Y147" s="7"/>
      <c r="Z147" s="7"/>
      <c r="AA147" s="7"/>
      <c r="AB147" s="7"/>
      <c r="AC147" s="7">
        <v>1</v>
      </c>
      <c r="AD147" s="7"/>
      <c r="AE147" s="7"/>
      <c r="AF147" s="7"/>
      <c r="AG147" s="7"/>
      <c r="AH147" s="7"/>
      <c r="AI147" s="7"/>
      <c r="AJ147" s="7"/>
      <c r="AK147" s="7"/>
      <c r="AL147" s="16">
        <v>45295</v>
      </c>
      <c r="AM147" s="4"/>
      <c r="AN147" s="11" t="s">
        <v>193</v>
      </c>
      <c r="AO147" s="4"/>
      <c r="AP147" s="4"/>
      <c r="AQ147" s="4"/>
      <c r="AR147" s="11">
        <v>500</v>
      </c>
      <c r="AS147" s="11"/>
      <c r="AT147" s="11"/>
      <c r="AU147" s="11"/>
    </row>
    <row r="148" spans="1:47" ht="24.75" x14ac:dyDescent="0.25">
      <c r="A148" s="112" t="s">
        <v>1495</v>
      </c>
      <c r="B148" s="6" t="s">
        <v>1222</v>
      </c>
      <c r="C148" s="8" t="s">
        <v>4</v>
      </c>
      <c r="D148" s="9" t="s">
        <v>17</v>
      </c>
      <c r="E148" s="9">
        <v>2</v>
      </c>
      <c r="F148" s="9"/>
      <c r="G148" s="9"/>
      <c r="H148" s="7">
        <v>20</v>
      </c>
      <c r="I148" s="7">
        <v>20</v>
      </c>
      <c r="J148" s="7"/>
      <c r="K148" s="7" t="s">
        <v>14</v>
      </c>
      <c r="L148" s="122" t="s">
        <v>1518</v>
      </c>
      <c r="M148" s="122" t="s">
        <v>1518</v>
      </c>
      <c r="N148" s="122"/>
      <c r="O148" s="96" t="s">
        <v>1523</v>
      </c>
      <c r="P148" s="7"/>
      <c r="Q148" s="93">
        <v>6.219448262393918</v>
      </c>
      <c r="R148" s="93">
        <v>805.48415492957861</v>
      </c>
      <c r="S148" s="122" t="s">
        <v>1518</v>
      </c>
      <c r="T148" s="7"/>
      <c r="U148" s="7"/>
      <c r="V148" s="122"/>
      <c r="W148" s="122"/>
      <c r="X148" s="122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>
        <v>1</v>
      </c>
      <c r="AL148" s="16">
        <v>45295</v>
      </c>
      <c r="AM148" s="4"/>
      <c r="AN148" s="11" t="s">
        <v>193</v>
      </c>
      <c r="AO148" s="4"/>
      <c r="AP148" s="4"/>
      <c r="AQ148" s="4"/>
      <c r="AR148" s="11">
        <v>500</v>
      </c>
      <c r="AS148" s="11"/>
      <c r="AT148" s="11"/>
      <c r="AU148" s="11"/>
    </row>
    <row r="149" spans="1:47" ht="15.75" x14ac:dyDescent="0.25">
      <c r="A149" s="112" t="s">
        <v>1609</v>
      </c>
      <c r="B149" s="6" t="s">
        <v>1933</v>
      </c>
      <c r="C149" s="8" t="s">
        <v>4</v>
      </c>
      <c r="D149" s="8" t="s">
        <v>26</v>
      </c>
      <c r="E149" s="9">
        <v>6</v>
      </c>
      <c r="F149" s="9"/>
      <c r="G149" s="9"/>
      <c r="H149" s="7"/>
      <c r="I149" s="7">
        <v>3</v>
      </c>
      <c r="J149" s="7">
        <v>3</v>
      </c>
      <c r="K149" s="7"/>
      <c r="L149" s="122"/>
      <c r="M149" s="122"/>
      <c r="N149" s="122"/>
      <c r="O149" s="96"/>
      <c r="P149" s="7"/>
      <c r="Q149" s="93">
        <v>1.7338419741698434</v>
      </c>
      <c r="R149" s="93">
        <v>92.240927419354591</v>
      </c>
      <c r="S149" s="122" t="s">
        <v>1518</v>
      </c>
      <c r="T149" s="7"/>
      <c r="U149" s="7"/>
      <c r="V149" s="122" t="s">
        <v>1518</v>
      </c>
      <c r="W149" s="122"/>
      <c r="X149" s="122" t="s">
        <v>1518</v>
      </c>
      <c r="Y149" s="7" t="s">
        <v>7</v>
      </c>
      <c r="Z149" s="7"/>
      <c r="AA149" s="7"/>
      <c r="AB149" s="7"/>
      <c r="AC149" s="7"/>
      <c r="AD149" s="7">
        <v>1</v>
      </c>
      <c r="AE149" s="7"/>
      <c r="AF149" s="7"/>
      <c r="AG149" s="7"/>
      <c r="AH149" s="7"/>
      <c r="AI149" s="7"/>
      <c r="AJ149" s="7"/>
      <c r="AK149" s="7"/>
      <c r="AL149" s="16">
        <v>45295</v>
      </c>
      <c r="AM149" s="4"/>
      <c r="AN149" s="4" t="s">
        <v>249</v>
      </c>
      <c r="AO149" s="4"/>
      <c r="AP149" s="4"/>
      <c r="AQ149" s="4"/>
      <c r="AR149" s="11">
        <v>450</v>
      </c>
      <c r="AS149" s="11"/>
      <c r="AT149" s="11"/>
      <c r="AU149" s="11"/>
    </row>
    <row r="150" spans="1:47" ht="15.75" x14ac:dyDescent="0.25">
      <c r="A150" s="112" t="s">
        <v>236</v>
      </c>
      <c r="B150" s="6" t="s">
        <v>1226</v>
      </c>
      <c r="C150" s="8" t="s">
        <v>4</v>
      </c>
      <c r="D150" s="8" t="s">
        <v>21</v>
      </c>
      <c r="E150" s="9">
        <v>5</v>
      </c>
      <c r="F150" s="9">
        <v>12</v>
      </c>
      <c r="G150" s="9">
        <v>15</v>
      </c>
      <c r="H150" s="7"/>
      <c r="I150" s="7"/>
      <c r="J150" s="7"/>
      <c r="K150" s="7" t="s">
        <v>14</v>
      </c>
      <c r="L150" s="122"/>
      <c r="M150" s="122"/>
      <c r="N150" s="122"/>
      <c r="O150" s="96"/>
      <c r="P150" s="14">
        <v>0.3</v>
      </c>
      <c r="Q150" s="93">
        <v>19.150774478695432</v>
      </c>
      <c r="R150" s="93">
        <v>303.77213474025945</v>
      </c>
      <c r="S150" s="122" t="s">
        <v>1518</v>
      </c>
      <c r="T150" s="7"/>
      <c r="U150" s="7"/>
      <c r="V150" s="122"/>
      <c r="W150" s="122"/>
      <c r="X150" s="122" t="s">
        <v>1518</v>
      </c>
      <c r="Y150" s="7"/>
      <c r="Z150" s="7">
        <v>1</v>
      </c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16">
        <v>45295</v>
      </c>
      <c r="AM150" s="4"/>
      <c r="AN150" s="6" t="s">
        <v>1012</v>
      </c>
      <c r="AO150" s="6" t="s">
        <v>999</v>
      </c>
      <c r="AP150" s="6" t="s">
        <v>992</v>
      </c>
      <c r="AQ150" s="4"/>
      <c r="AR150" s="11">
        <v>70</v>
      </c>
      <c r="AS150" s="11">
        <v>120</v>
      </c>
      <c r="AT150" s="11">
        <v>240</v>
      </c>
      <c r="AU150" s="11"/>
    </row>
    <row r="151" spans="1:47" ht="15.75" x14ac:dyDescent="0.25">
      <c r="A151" s="112" t="s">
        <v>952</v>
      </c>
      <c r="B151" s="6" t="s">
        <v>1226</v>
      </c>
      <c r="C151" s="8" t="s">
        <v>4</v>
      </c>
      <c r="D151" s="8" t="s">
        <v>21</v>
      </c>
      <c r="E151" s="9">
        <v>5</v>
      </c>
      <c r="F151" s="9">
        <v>12</v>
      </c>
      <c r="G151" s="9">
        <v>15</v>
      </c>
      <c r="H151" s="7"/>
      <c r="I151" s="7"/>
      <c r="J151" s="7"/>
      <c r="K151" s="7" t="s">
        <v>120</v>
      </c>
      <c r="L151" s="122"/>
      <c r="M151" s="122"/>
      <c r="N151" s="122"/>
      <c r="O151" s="96"/>
      <c r="P151" s="14">
        <v>0.3</v>
      </c>
      <c r="Q151" s="93">
        <v>25.534365971593907</v>
      </c>
      <c r="R151" s="93">
        <v>405.02951298701265</v>
      </c>
      <c r="S151" s="122" t="s">
        <v>1518</v>
      </c>
      <c r="T151" s="7"/>
      <c r="U151" s="7"/>
      <c r="V151" s="122"/>
      <c r="W151" s="122"/>
      <c r="X151" s="122" t="s">
        <v>1518</v>
      </c>
      <c r="Y151" s="7"/>
      <c r="Z151" s="7">
        <v>1</v>
      </c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16">
        <v>45295</v>
      </c>
      <c r="AM151" s="4"/>
      <c r="AN151" s="6" t="s">
        <v>1012</v>
      </c>
      <c r="AO151" s="6" t="s">
        <v>999</v>
      </c>
      <c r="AP151" s="6" t="s">
        <v>992</v>
      </c>
      <c r="AQ151" s="4"/>
      <c r="AR151" s="11">
        <v>70</v>
      </c>
      <c r="AS151" s="11">
        <v>120</v>
      </c>
      <c r="AT151" s="11">
        <v>240</v>
      </c>
      <c r="AU151" s="11"/>
    </row>
    <row r="152" spans="1:47" ht="15.75" x14ac:dyDescent="0.25">
      <c r="A152" s="112" t="s">
        <v>237</v>
      </c>
      <c r="B152" s="6" t="s">
        <v>1445</v>
      </c>
      <c r="C152" s="8" t="s">
        <v>4</v>
      </c>
      <c r="D152" s="8" t="s">
        <v>21</v>
      </c>
      <c r="E152" s="9">
        <v>12</v>
      </c>
      <c r="F152" s="9">
        <v>15</v>
      </c>
      <c r="G152" s="9"/>
      <c r="H152" s="7">
        <v>6</v>
      </c>
      <c r="I152" s="7"/>
      <c r="J152" s="7"/>
      <c r="K152" s="7" t="s">
        <v>14</v>
      </c>
      <c r="L152" s="122"/>
      <c r="M152" s="122"/>
      <c r="N152" s="122"/>
      <c r="O152" s="96"/>
      <c r="P152" s="14">
        <v>0.3</v>
      </c>
      <c r="Q152" s="93">
        <v>16.552595829761422</v>
      </c>
      <c r="R152" s="93">
        <v>218.6711904761903</v>
      </c>
      <c r="S152" s="122" t="s">
        <v>1518</v>
      </c>
      <c r="T152" s="7"/>
      <c r="U152" s="7"/>
      <c r="V152" s="122"/>
      <c r="W152" s="122"/>
      <c r="X152" s="122" t="s">
        <v>1518</v>
      </c>
      <c r="Y152" s="7"/>
      <c r="Z152" s="7">
        <v>1</v>
      </c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16">
        <v>45295</v>
      </c>
      <c r="AM152" s="4"/>
      <c r="AN152" s="6" t="s">
        <v>999</v>
      </c>
      <c r="AO152" s="4" t="s">
        <v>143</v>
      </c>
      <c r="AP152" s="4"/>
      <c r="AQ152" s="4"/>
      <c r="AR152" s="53">
        <v>200</v>
      </c>
      <c r="AS152" s="53">
        <v>400</v>
      </c>
      <c r="AT152" s="11"/>
      <c r="AU152" s="11"/>
    </row>
    <row r="153" spans="1:47" ht="15.75" x14ac:dyDescent="0.25">
      <c r="A153" s="112" t="s">
        <v>238</v>
      </c>
      <c r="B153" s="6" t="s">
        <v>1445</v>
      </c>
      <c r="C153" s="8" t="s">
        <v>4</v>
      </c>
      <c r="D153" s="8" t="s">
        <v>21</v>
      </c>
      <c r="E153" s="9">
        <v>12</v>
      </c>
      <c r="F153" s="9">
        <v>15</v>
      </c>
      <c r="G153" s="9"/>
      <c r="H153" s="7">
        <v>6</v>
      </c>
      <c r="I153" s="7"/>
      <c r="J153" s="7"/>
      <c r="K153" s="7" t="s">
        <v>120</v>
      </c>
      <c r="L153" s="122"/>
      <c r="M153" s="122"/>
      <c r="N153" s="122"/>
      <c r="O153" s="96"/>
      <c r="P153" s="14">
        <v>0.3</v>
      </c>
      <c r="Q153" s="93">
        <v>24.82889374464213</v>
      </c>
      <c r="R153" s="93">
        <v>328.00678571428546</v>
      </c>
      <c r="S153" s="122" t="s">
        <v>1518</v>
      </c>
      <c r="T153" s="7"/>
      <c r="U153" s="7"/>
      <c r="V153" s="122"/>
      <c r="W153" s="122"/>
      <c r="X153" s="122" t="s">
        <v>1518</v>
      </c>
      <c r="Y153" s="7"/>
      <c r="Z153" s="7">
        <v>1</v>
      </c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16">
        <v>45295</v>
      </c>
      <c r="AM153" s="4"/>
      <c r="AN153" s="6" t="s">
        <v>999</v>
      </c>
      <c r="AO153" s="4" t="s">
        <v>143</v>
      </c>
      <c r="AP153" s="4"/>
      <c r="AQ153" s="4"/>
      <c r="AR153" s="53">
        <v>200</v>
      </c>
      <c r="AS153" s="53">
        <v>400</v>
      </c>
      <c r="AT153" s="11"/>
      <c r="AU153" s="11"/>
    </row>
    <row r="154" spans="1:47" ht="15.75" x14ac:dyDescent="0.25">
      <c r="A154" s="112" t="s">
        <v>239</v>
      </c>
      <c r="B154" s="6" t="s">
        <v>1227</v>
      </c>
      <c r="C154" s="8" t="s">
        <v>4</v>
      </c>
      <c r="D154" s="9" t="s">
        <v>26</v>
      </c>
      <c r="E154" s="9">
        <v>2</v>
      </c>
      <c r="F154" s="9"/>
      <c r="G154" s="9"/>
      <c r="H154" s="7"/>
      <c r="I154" s="7"/>
      <c r="J154" s="7"/>
      <c r="K154" s="7"/>
      <c r="L154" s="122"/>
      <c r="M154" s="122"/>
      <c r="N154" s="122"/>
      <c r="O154" s="96"/>
      <c r="P154" s="7"/>
      <c r="Q154" s="93">
        <v>0.22250226428322839</v>
      </c>
      <c r="R154" s="93">
        <v>2.2761940298507426</v>
      </c>
      <c r="S154" s="122" t="s">
        <v>1518</v>
      </c>
      <c r="T154" s="7"/>
      <c r="U154" s="7"/>
      <c r="V154" s="122"/>
      <c r="W154" s="122"/>
      <c r="X154" s="122"/>
      <c r="Y154" s="7"/>
      <c r="Z154" s="7">
        <v>1</v>
      </c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>
        <v>1</v>
      </c>
      <c r="AL154" s="16">
        <v>45295</v>
      </c>
      <c r="AM154" s="4"/>
      <c r="AN154" s="11" t="s">
        <v>185</v>
      </c>
      <c r="AO154" s="4"/>
      <c r="AP154" s="4"/>
      <c r="AQ154" s="4"/>
      <c r="AR154" s="11">
        <v>750</v>
      </c>
      <c r="AS154" s="11"/>
      <c r="AT154" s="11"/>
      <c r="AU154" s="11"/>
    </row>
    <row r="155" spans="1:47" ht="15.75" x14ac:dyDescent="0.25">
      <c r="A155" s="112" t="s">
        <v>240</v>
      </c>
      <c r="B155" s="6" t="s">
        <v>1229</v>
      </c>
      <c r="C155" s="8" t="s">
        <v>4</v>
      </c>
      <c r="D155" s="8" t="s">
        <v>21</v>
      </c>
      <c r="E155" s="9">
        <v>2</v>
      </c>
      <c r="F155" s="9"/>
      <c r="G155" s="9"/>
      <c r="H155" s="7"/>
      <c r="I155" s="7"/>
      <c r="J155" s="7"/>
      <c r="K155" s="7"/>
      <c r="L155" s="122"/>
      <c r="M155" s="122"/>
      <c r="N155" s="122"/>
      <c r="O155" s="96"/>
      <c r="P155" s="7"/>
      <c r="Q155" s="93">
        <v>0.9928607579084715</v>
      </c>
      <c r="R155" s="93">
        <v>1412.0840111333325</v>
      </c>
      <c r="S155" s="122" t="s">
        <v>1518</v>
      </c>
      <c r="T155" s="7"/>
      <c r="U155" s="7"/>
      <c r="V155" s="122" t="s">
        <v>1518</v>
      </c>
      <c r="W155" s="122"/>
      <c r="X155" s="122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16">
        <v>45295</v>
      </c>
      <c r="AM155" s="4" t="s">
        <v>1818</v>
      </c>
      <c r="AN155" s="11" t="s">
        <v>133</v>
      </c>
      <c r="AO155" s="6" t="s">
        <v>1007</v>
      </c>
      <c r="AP155" s="4"/>
      <c r="AQ155" s="4"/>
      <c r="AR155" s="11">
        <v>100</v>
      </c>
      <c r="AS155" s="11">
        <v>300</v>
      </c>
      <c r="AT155" s="11"/>
      <c r="AU155" s="11"/>
    </row>
    <row r="156" spans="1:47" ht="28.5" x14ac:dyDescent="0.25">
      <c r="A156" s="112" t="s">
        <v>241</v>
      </c>
      <c r="B156" s="6" t="s">
        <v>1230</v>
      </c>
      <c r="C156" s="8" t="s">
        <v>4</v>
      </c>
      <c r="D156" s="8" t="s">
        <v>21</v>
      </c>
      <c r="E156" s="9">
        <v>2</v>
      </c>
      <c r="F156" s="9">
        <v>2</v>
      </c>
      <c r="G156" s="9"/>
      <c r="H156" s="7"/>
      <c r="I156" s="7">
        <v>3</v>
      </c>
      <c r="J156" s="7"/>
      <c r="K156" s="7"/>
      <c r="L156" s="122"/>
      <c r="M156" s="122"/>
      <c r="N156" s="122"/>
      <c r="O156" s="96"/>
      <c r="P156" s="7"/>
      <c r="Q156" s="93">
        <v>1.1256197737051867</v>
      </c>
      <c r="R156" s="93">
        <v>1440.3261296666658</v>
      </c>
      <c r="S156" s="122" t="s">
        <v>1518</v>
      </c>
      <c r="T156" s="7"/>
      <c r="U156" s="7"/>
      <c r="V156" s="122" t="s">
        <v>1518</v>
      </c>
      <c r="W156" s="122"/>
      <c r="X156" s="122"/>
      <c r="Y156" s="7"/>
      <c r="Z156" s="7">
        <v>1</v>
      </c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16">
        <v>45295</v>
      </c>
      <c r="AM156" s="4"/>
      <c r="AN156" s="11" t="s">
        <v>133</v>
      </c>
      <c r="AO156" s="6" t="s">
        <v>1006</v>
      </c>
      <c r="AP156" s="6" t="s">
        <v>1007</v>
      </c>
      <c r="AQ156" s="4"/>
      <c r="AR156" s="11">
        <v>50</v>
      </c>
      <c r="AS156" s="79">
        <v>7.5</v>
      </c>
      <c r="AT156" s="11">
        <v>250</v>
      </c>
      <c r="AU156" s="11"/>
    </row>
    <row r="157" spans="1:47" ht="15.75" x14ac:dyDescent="0.25">
      <c r="A157" s="112" t="s">
        <v>242</v>
      </c>
      <c r="B157" s="6" t="s">
        <v>1231</v>
      </c>
      <c r="C157" s="8" t="s">
        <v>4</v>
      </c>
      <c r="D157" s="8" t="s">
        <v>21</v>
      </c>
      <c r="E157" s="9">
        <v>1</v>
      </c>
      <c r="F157" s="9">
        <v>2</v>
      </c>
      <c r="G157" s="9"/>
      <c r="H157" s="7"/>
      <c r="I157" s="7"/>
      <c r="J157" s="7"/>
      <c r="K157" s="7"/>
      <c r="L157" s="122"/>
      <c r="M157" s="122"/>
      <c r="N157" s="122"/>
      <c r="O157" s="96"/>
      <c r="P157" s="7"/>
      <c r="Q157" s="93">
        <v>1.9195127399820113</v>
      </c>
      <c r="R157" s="93">
        <v>1477.4666477892811</v>
      </c>
      <c r="S157" s="122" t="s">
        <v>1518</v>
      </c>
      <c r="T157" s="7"/>
      <c r="U157" s="7"/>
      <c r="V157" s="122" t="s">
        <v>1518</v>
      </c>
      <c r="W157" s="122"/>
      <c r="X157" s="122" t="s">
        <v>1518</v>
      </c>
      <c r="Y157" s="7"/>
      <c r="Z157" s="7">
        <v>1</v>
      </c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16">
        <v>45295</v>
      </c>
      <c r="AM157" s="4"/>
      <c r="AN157" s="6" t="s">
        <v>1027</v>
      </c>
      <c r="AO157" s="11" t="s">
        <v>133</v>
      </c>
      <c r="AP157" s="6" t="s">
        <v>1007</v>
      </c>
      <c r="AQ157" s="4"/>
      <c r="AR157" s="11">
        <v>64</v>
      </c>
      <c r="AS157" s="11">
        <v>8</v>
      </c>
      <c r="AT157" s="11">
        <v>24</v>
      </c>
      <c r="AU157" s="11"/>
    </row>
    <row r="158" spans="1:47" ht="15.75" x14ac:dyDescent="0.25">
      <c r="A158" s="112" t="s">
        <v>1619</v>
      </c>
      <c r="B158" s="6" t="s">
        <v>1620</v>
      </c>
      <c r="C158" s="8" t="s">
        <v>4</v>
      </c>
      <c r="D158" s="7" t="s">
        <v>26</v>
      </c>
      <c r="E158" s="9">
        <v>3</v>
      </c>
      <c r="F158" s="9"/>
      <c r="G158" s="9"/>
      <c r="H158" s="7"/>
      <c r="I158" s="7"/>
      <c r="J158" s="7"/>
      <c r="K158" s="7"/>
      <c r="L158" s="122"/>
      <c r="M158" s="122"/>
      <c r="N158" s="122"/>
      <c r="O158" s="96"/>
      <c r="P158" s="14">
        <v>0.3</v>
      </c>
      <c r="Q158" s="93">
        <v>27.886258785994524</v>
      </c>
      <c r="R158" s="93">
        <v>20.137994402985019</v>
      </c>
      <c r="S158" s="122" t="s">
        <v>1518</v>
      </c>
      <c r="T158" s="7"/>
      <c r="U158" s="7"/>
      <c r="V158" s="122"/>
      <c r="W158" s="122"/>
      <c r="X158" s="122"/>
      <c r="Y158" s="7"/>
      <c r="Z158" s="7">
        <v>1</v>
      </c>
      <c r="AA158" s="7"/>
      <c r="AB158" s="7">
        <v>1</v>
      </c>
      <c r="AC158" s="7">
        <v>1</v>
      </c>
      <c r="AD158" s="7">
        <v>1</v>
      </c>
      <c r="AE158" s="7">
        <v>1</v>
      </c>
      <c r="AF158" s="7">
        <v>1</v>
      </c>
      <c r="AG158" s="7"/>
      <c r="AH158" s="7"/>
      <c r="AI158" s="7">
        <v>1</v>
      </c>
      <c r="AJ158" s="7">
        <v>1</v>
      </c>
      <c r="AK158" s="7">
        <v>1</v>
      </c>
      <c r="AL158" s="16">
        <v>45295</v>
      </c>
      <c r="AM158" s="4"/>
      <c r="AN158" s="6" t="s">
        <v>1000</v>
      </c>
      <c r="AO158" s="4"/>
      <c r="AP158" s="4"/>
      <c r="AQ158" s="4"/>
      <c r="AR158" s="11">
        <v>455</v>
      </c>
      <c r="AS158" s="11"/>
      <c r="AT158" s="11"/>
      <c r="AU158" s="11"/>
    </row>
    <row r="159" spans="1:47" ht="15.75" x14ac:dyDescent="0.25">
      <c r="A159" s="112" t="s">
        <v>243</v>
      </c>
      <c r="B159" s="6" t="s">
        <v>1239</v>
      </c>
      <c r="C159" s="8" t="s">
        <v>4</v>
      </c>
      <c r="D159" s="9" t="s">
        <v>960</v>
      </c>
      <c r="E159" s="9">
        <v>3</v>
      </c>
      <c r="F159" s="9"/>
      <c r="G159" s="9"/>
      <c r="H159" s="7"/>
      <c r="I159" s="7"/>
      <c r="J159" s="7"/>
      <c r="K159" s="7"/>
      <c r="L159" s="122"/>
      <c r="M159" s="122"/>
      <c r="N159" s="122"/>
      <c r="O159" s="96"/>
      <c r="P159" s="7"/>
      <c r="Q159" s="93">
        <v>2.8008459820015257</v>
      </c>
      <c r="R159" s="93">
        <v>188.27777777777837</v>
      </c>
      <c r="S159" s="122" t="s">
        <v>1518</v>
      </c>
      <c r="T159" s="7"/>
      <c r="U159" s="7"/>
      <c r="V159" s="122"/>
      <c r="W159" s="122"/>
      <c r="X159" s="122" t="s">
        <v>1518</v>
      </c>
      <c r="Y159" s="7"/>
      <c r="Z159" s="7"/>
      <c r="AA159" s="7"/>
      <c r="AB159" s="7"/>
      <c r="AC159" s="7"/>
      <c r="AD159" s="7">
        <v>1</v>
      </c>
      <c r="AE159" s="7"/>
      <c r="AF159" s="7"/>
      <c r="AG159" s="7"/>
      <c r="AH159" s="7"/>
      <c r="AI159" s="7"/>
      <c r="AJ159" s="7"/>
      <c r="AK159" s="7"/>
      <c r="AL159" s="16">
        <v>45295</v>
      </c>
      <c r="AM159" s="4"/>
      <c r="AN159" s="11" t="s">
        <v>234</v>
      </c>
      <c r="AO159" s="4"/>
      <c r="AP159" s="4"/>
      <c r="AQ159" s="4"/>
      <c r="AR159" s="11">
        <v>400</v>
      </c>
      <c r="AS159" s="11"/>
      <c r="AT159" s="11"/>
      <c r="AU159" s="11"/>
    </row>
    <row r="160" spans="1:47" ht="24.75" x14ac:dyDescent="0.25">
      <c r="A160" s="112" t="s">
        <v>1246</v>
      </c>
      <c r="B160" s="6" t="s">
        <v>1247</v>
      </c>
      <c r="C160" s="8" t="s">
        <v>4</v>
      </c>
      <c r="D160" s="9" t="s">
        <v>26</v>
      </c>
      <c r="E160" s="9">
        <v>6</v>
      </c>
      <c r="F160" s="9"/>
      <c r="G160" s="9"/>
      <c r="H160" s="7"/>
      <c r="I160" s="7">
        <v>3</v>
      </c>
      <c r="J160" s="7"/>
      <c r="K160" s="7"/>
      <c r="L160" s="122" t="s">
        <v>1518</v>
      </c>
      <c r="M160" s="122" t="s">
        <v>1518</v>
      </c>
      <c r="N160" s="122" t="s">
        <v>1518</v>
      </c>
      <c r="O160" s="96" t="s">
        <v>1521</v>
      </c>
      <c r="P160" s="7"/>
      <c r="Q160" s="93">
        <v>1.0963567907586515E-2</v>
      </c>
      <c r="R160" s="93">
        <v>74.844761538461754</v>
      </c>
      <c r="S160" s="122" t="s">
        <v>1518</v>
      </c>
      <c r="T160" s="7"/>
      <c r="U160" s="7"/>
      <c r="V160" s="122" t="s">
        <v>1518</v>
      </c>
      <c r="W160" s="122"/>
      <c r="X160" s="122" t="s">
        <v>1518</v>
      </c>
      <c r="Y160" s="7"/>
      <c r="Z160" s="7">
        <v>1</v>
      </c>
      <c r="AA160" s="7"/>
      <c r="AB160" s="7">
        <v>1</v>
      </c>
      <c r="AC160" s="7">
        <v>1</v>
      </c>
      <c r="AD160" s="7"/>
      <c r="AE160" s="7"/>
      <c r="AF160" s="7">
        <v>1</v>
      </c>
      <c r="AG160" s="7">
        <v>1</v>
      </c>
      <c r="AH160" s="7"/>
      <c r="AI160" s="7"/>
      <c r="AJ160" s="7"/>
      <c r="AK160" s="7">
        <v>1</v>
      </c>
      <c r="AL160" s="16">
        <v>45295</v>
      </c>
      <c r="AM160" s="16"/>
      <c r="AN160" s="4" t="s">
        <v>161</v>
      </c>
      <c r="AO160" s="4"/>
      <c r="AP160" s="4"/>
      <c r="AQ160" s="4"/>
      <c r="AR160" s="11">
        <v>870</v>
      </c>
      <c r="AS160" s="11"/>
      <c r="AT160" s="11"/>
      <c r="AU160" s="11"/>
    </row>
    <row r="161" spans="1:47" ht="15.75" x14ac:dyDescent="0.25">
      <c r="A161" s="112" t="s">
        <v>1248</v>
      </c>
      <c r="B161" s="6" t="s">
        <v>2043</v>
      </c>
      <c r="C161" s="8" t="s">
        <v>4</v>
      </c>
      <c r="D161" s="9" t="s">
        <v>17</v>
      </c>
      <c r="E161" s="9">
        <v>4</v>
      </c>
      <c r="F161" s="9">
        <v>9</v>
      </c>
      <c r="G161" s="9"/>
      <c r="H161" s="7">
        <v>20</v>
      </c>
      <c r="I161" s="7"/>
      <c r="J161" s="7">
        <v>6</v>
      </c>
      <c r="K161" s="7" t="s">
        <v>120</v>
      </c>
      <c r="L161" s="122"/>
      <c r="M161" s="122"/>
      <c r="N161" s="122"/>
      <c r="O161" s="96"/>
      <c r="P161" s="7"/>
      <c r="Q161" s="93">
        <v>5.081107654708231</v>
      </c>
      <c r="R161" s="93">
        <v>767.80027519779912</v>
      </c>
      <c r="S161" s="122" t="s">
        <v>1518</v>
      </c>
      <c r="T161" s="7"/>
      <c r="U161" s="7"/>
      <c r="V161" s="122" t="s">
        <v>1518</v>
      </c>
      <c r="W161" s="122"/>
      <c r="X161" s="122" t="s">
        <v>1518</v>
      </c>
      <c r="Y161" s="7" t="s">
        <v>7</v>
      </c>
      <c r="Z161" s="7"/>
      <c r="AA161" s="7"/>
      <c r="AB161" s="7"/>
      <c r="AC161" s="7">
        <v>1</v>
      </c>
      <c r="AD161" s="7"/>
      <c r="AE161" s="7"/>
      <c r="AF161" s="7"/>
      <c r="AG161" s="7"/>
      <c r="AH161" s="7"/>
      <c r="AI161" s="7"/>
      <c r="AJ161" s="7"/>
      <c r="AK161" s="7"/>
      <c r="AL161" s="16">
        <v>45295</v>
      </c>
      <c r="AM161" s="16"/>
      <c r="AN161" s="4" t="s">
        <v>112</v>
      </c>
      <c r="AO161" s="4" t="s">
        <v>228</v>
      </c>
      <c r="AP161" s="4"/>
      <c r="AQ161" s="4"/>
      <c r="AR161" s="11">
        <v>160</v>
      </c>
      <c r="AS161" s="11">
        <v>240</v>
      </c>
      <c r="AT161" s="11"/>
      <c r="AU161" s="11"/>
    </row>
    <row r="162" spans="1:47" ht="15.75" x14ac:dyDescent="0.25">
      <c r="A162" s="112" t="s">
        <v>1466</v>
      </c>
      <c r="B162" s="6" t="s">
        <v>1249</v>
      </c>
      <c r="C162" s="9" t="s">
        <v>4</v>
      </c>
      <c r="D162" s="9" t="s">
        <v>13</v>
      </c>
      <c r="E162" s="9">
        <v>32</v>
      </c>
      <c r="F162" s="9"/>
      <c r="G162" s="9"/>
      <c r="H162" s="7">
        <v>20</v>
      </c>
      <c r="I162" s="7"/>
      <c r="J162" s="7"/>
      <c r="K162" s="7" t="s">
        <v>120</v>
      </c>
      <c r="L162" s="122"/>
      <c r="M162" s="122"/>
      <c r="N162" s="122"/>
      <c r="O162" s="96"/>
      <c r="P162" s="14">
        <v>0.3</v>
      </c>
      <c r="Q162" s="93">
        <v>6.6543406448163935</v>
      </c>
      <c r="R162" s="93">
        <v>369.70909090909174</v>
      </c>
      <c r="S162" s="122" t="s">
        <v>1518</v>
      </c>
      <c r="T162" s="7"/>
      <c r="U162" s="7"/>
      <c r="V162" s="122"/>
      <c r="W162" s="122"/>
      <c r="X162" s="122" t="s">
        <v>1518</v>
      </c>
      <c r="Y162" s="7"/>
      <c r="Z162" s="7"/>
      <c r="AA162" s="7"/>
      <c r="AB162" s="7">
        <v>1</v>
      </c>
      <c r="AC162" s="7"/>
      <c r="AD162" s="7"/>
      <c r="AE162" s="7"/>
      <c r="AF162" s="7">
        <v>1</v>
      </c>
      <c r="AG162" s="7"/>
      <c r="AH162" s="7"/>
      <c r="AI162" s="7"/>
      <c r="AJ162" s="7"/>
      <c r="AK162" s="7"/>
      <c r="AL162" s="16">
        <v>45295</v>
      </c>
      <c r="AM162" s="4"/>
      <c r="AN162" s="11" t="s">
        <v>155</v>
      </c>
      <c r="AO162" s="4"/>
      <c r="AP162" s="4"/>
      <c r="AQ162" s="4"/>
      <c r="AR162" s="11">
        <v>600</v>
      </c>
      <c r="AS162" s="11"/>
      <c r="AT162" s="11"/>
      <c r="AU162" s="11"/>
    </row>
    <row r="163" spans="1:47" ht="15.75" x14ac:dyDescent="0.25">
      <c r="A163" s="112" t="s">
        <v>1465</v>
      </c>
      <c r="B163" s="6" t="s">
        <v>1249</v>
      </c>
      <c r="C163" s="9" t="s">
        <v>4</v>
      </c>
      <c r="D163" s="9" t="s">
        <v>13</v>
      </c>
      <c r="E163" s="9">
        <v>32</v>
      </c>
      <c r="F163" s="9"/>
      <c r="G163" s="9"/>
      <c r="H163" s="7">
        <v>20</v>
      </c>
      <c r="I163" s="7"/>
      <c r="J163" s="7"/>
      <c r="K163" s="50" t="s">
        <v>80</v>
      </c>
      <c r="L163" s="122"/>
      <c r="M163" s="122"/>
      <c r="N163" s="122"/>
      <c r="O163" s="96"/>
      <c r="P163" s="14">
        <v>0.3</v>
      </c>
      <c r="Q163" s="93">
        <v>13.308681289632787</v>
      </c>
      <c r="R163" s="93">
        <v>739.41818181818348</v>
      </c>
      <c r="S163" s="122" t="s">
        <v>1518</v>
      </c>
      <c r="T163" s="7"/>
      <c r="U163" s="7"/>
      <c r="V163" s="122"/>
      <c r="W163" s="122"/>
      <c r="X163" s="122" t="s">
        <v>1518</v>
      </c>
      <c r="Y163" s="7"/>
      <c r="Z163" s="7"/>
      <c r="AA163" s="7"/>
      <c r="AB163" s="7">
        <v>1</v>
      </c>
      <c r="AC163" s="7"/>
      <c r="AD163" s="7"/>
      <c r="AE163" s="7">
        <v>1</v>
      </c>
      <c r="AF163" s="7">
        <v>1</v>
      </c>
      <c r="AG163" s="7"/>
      <c r="AH163" s="7">
        <v>1</v>
      </c>
      <c r="AI163" s="7"/>
      <c r="AJ163" s="7"/>
      <c r="AK163" s="7"/>
      <c r="AL163" s="16">
        <v>45295</v>
      </c>
      <c r="AM163" s="4"/>
      <c r="AN163" s="11" t="s">
        <v>155</v>
      </c>
      <c r="AO163" s="4"/>
      <c r="AP163" s="4"/>
      <c r="AQ163" s="4"/>
      <c r="AR163" s="11">
        <v>600</v>
      </c>
      <c r="AS163" s="11"/>
      <c r="AT163" s="11"/>
      <c r="AU163" s="11"/>
    </row>
    <row r="164" spans="1:47" ht="15.75" x14ac:dyDescent="0.25">
      <c r="A164" s="112" t="s">
        <v>1464</v>
      </c>
      <c r="B164" s="6" t="s">
        <v>1249</v>
      </c>
      <c r="C164" s="9" t="s">
        <v>4</v>
      </c>
      <c r="D164" s="9" t="s">
        <v>13</v>
      </c>
      <c r="E164" s="9">
        <v>32</v>
      </c>
      <c r="F164" s="9"/>
      <c r="G164" s="9"/>
      <c r="H164" s="7">
        <v>20</v>
      </c>
      <c r="I164" s="7"/>
      <c r="J164" s="7"/>
      <c r="K164" s="7" t="s">
        <v>59</v>
      </c>
      <c r="L164" s="122"/>
      <c r="M164" s="122"/>
      <c r="N164" s="122"/>
      <c r="O164" s="96"/>
      <c r="P164" s="14">
        <v>0.3</v>
      </c>
      <c r="Q164" s="93">
        <v>19.963021934449181</v>
      </c>
      <c r="R164" s="93">
        <v>1109.1272727272753</v>
      </c>
      <c r="S164" s="122" t="s">
        <v>1518</v>
      </c>
      <c r="T164" s="7"/>
      <c r="U164" s="7"/>
      <c r="V164" s="122"/>
      <c r="W164" s="122"/>
      <c r="X164" s="122" t="s">
        <v>1518</v>
      </c>
      <c r="Y164" s="7"/>
      <c r="Z164" s="7"/>
      <c r="AA164" s="7"/>
      <c r="AB164" s="7">
        <v>1</v>
      </c>
      <c r="AC164" s="7"/>
      <c r="AD164" s="7"/>
      <c r="AE164" s="7">
        <v>1</v>
      </c>
      <c r="AF164" s="7">
        <v>1</v>
      </c>
      <c r="AG164" s="7"/>
      <c r="AH164" s="7">
        <v>1</v>
      </c>
      <c r="AI164" s="7"/>
      <c r="AJ164" s="7"/>
      <c r="AK164" s="7"/>
      <c r="AL164" s="16">
        <v>45295</v>
      </c>
      <c r="AM164" s="4"/>
      <c r="AN164" s="11" t="s">
        <v>155</v>
      </c>
      <c r="AO164" s="4"/>
      <c r="AP164" s="4"/>
      <c r="AQ164" s="4"/>
      <c r="AR164" s="11">
        <v>600</v>
      </c>
      <c r="AS164" s="11"/>
      <c r="AT164" s="11"/>
      <c r="AU164" s="11"/>
    </row>
    <row r="165" spans="1:47" ht="15.75" x14ac:dyDescent="0.25">
      <c r="A165" s="112" t="s">
        <v>244</v>
      </c>
      <c r="B165" s="6" t="s">
        <v>1250</v>
      </c>
      <c r="C165" s="8" t="s">
        <v>4</v>
      </c>
      <c r="D165" s="8" t="s">
        <v>21</v>
      </c>
      <c r="E165" s="9">
        <v>27</v>
      </c>
      <c r="F165" s="9"/>
      <c r="G165" s="9"/>
      <c r="H165" s="7"/>
      <c r="I165" s="7"/>
      <c r="J165" s="7"/>
      <c r="K165" s="7"/>
      <c r="L165" s="122"/>
      <c r="M165" s="122"/>
      <c r="N165" s="122"/>
      <c r="O165" s="96"/>
      <c r="P165" s="14">
        <v>0.3</v>
      </c>
      <c r="Q165" s="93">
        <v>1.13974582830635</v>
      </c>
      <c r="R165" s="93">
        <v>187.50547735294077</v>
      </c>
      <c r="S165" s="122" t="s">
        <v>1518</v>
      </c>
      <c r="T165" s="7"/>
      <c r="U165" s="7"/>
      <c r="V165" s="122"/>
      <c r="W165" s="122"/>
      <c r="X165" s="122" t="s">
        <v>1518</v>
      </c>
      <c r="Y165" s="7"/>
      <c r="Z165" s="7"/>
      <c r="AA165" s="7"/>
      <c r="AB165" s="7"/>
      <c r="AC165" s="7">
        <v>1</v>
      </c>
      <c r="AD165" s="7"/>
      <c r="AE165" s="7"/>
      <c r="AF165" s="7"/>
      <c r="AG165" s="7"/>
      <c r="AH165" s="7"/>
      <c r="AI165" s="7"/>
      <c r="AJ165" s="7"/>
      <c r="AK165" s="7"/>
      <c r="AL165" s="16">
        <v>45295</v>
      </c>
      <c r="AM165" s="4"/>
      <c r="AN165" s="4" t="s">
        <v>159</v>
      </c>
      <c r="AO165" s="4" t="s">
        <v>211</v>
      </c>
      <c r="AP165" s="4"/>
      <c r="AQ165" s="4"/>
      <c r="AR165" s="11">
        <v>44</v>
      </c>
      <c r="AS165" s="11">
        <v>22</v>
      </c>
      <c r="AT165" s="11"/>
      <c r="AU165" s="11"/>
    </row>
    <row r="166" spans="1:47" ht="15.75" x14ac:dyDescent="0.25">
      <c r="A166" s="112" t="s">
        <v>245</v>
      </c>
      <c r="B166" s="6" t="s">
        <v>1251</v>
      </c>
      <c r="C166" s="8" t="s">
        <v>4</v>
      </c>
      <c r="D166" s="8" t="s">
        <v>13</v>
      </c>
      <c r="E166" s="9">
        <v>12</v>
      </c>
      <c r="F166" s="9"/>
      <c r="G166" s="9"/>
      <c r="H166" s="7"/>
      <c r="I166" s="7"/>
      <c r="J166" s="7"/>
      <c r="K166" s="7"/>
      <c r="L166" s="122"/>
      <c r="M166" s="122"/>
      <c r="N166" s="122"/>
      <c r="O166" s="96"/>
      <c r="P166" s="14">
        <v>0.3</v>
      </c>
      <c r="Q166" s="93">
        <v>17.101771821244327</v>
      </c>
      <c r="R166" s="93">
        <v>220.63802083333306</v>
      </c>
      <c r="S166" s="122" t="s">
        <v>1518</v>
      </c>
      <c r="T166" s="7"/>
      <c r="U166" s="7"/>
      <c r="V166" s="122"/>
      <c r="W166" s="122"/>
      <c r="X166" s="122"/>
      <c r="Y166" s="7"/>
      <c r="Z166" s="7">
        <v>1</v>
      </c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16">
        <v>45295</v>
      </c>
      <c r="AM166" s="4"/>
      <c r="AN166" s="6" t="s">
        <v>999</v>
      </c>
      <c r="AO166" s="4"/>
      <c r="AP166" s="4"/>
      <c r="AQ166" s="4"/>
      <c r="AR166" s="11">
        <v>500</v>
      </c>
      <c r="AS166" s="11"/>
      <c r="AT166" s="11"/>
      <c r="AU166" s="11"/>
    </row>
    <row r="167" spans="1:47" ht="15.75" x14ac:dyDescent="0.25">
      <c r="A167" s="112" t="s">
        <v>246</v>
      </c>
      <c r="B167" s="6" t="s">
        <v>1253</v>
      </c>
      <c r="C167" s="8" t="s">
        <v>4</v>
      </c>
      <c r="D167" s="8" t="s">
        <v>88</v>
      </c>
      <c r="E167" s="9">
        <v>5</v>
      </c>
      <c r="F167" s="9"/>
      <c r="G167" s="9"/>
      <c r="H167" s="7">
        <v>20</v>
      </c>
      <c r="I167" s="7"/>
      <c r="J167" s="7"/>
      <c r="K167" s="7" t="s">
        <v>14</v>
      </c>
      <c r="L167" s="122" t="s">
        <v>1518</v>
      </c>
      <c r="M167" s="122" t="s">
        <v>1518</v>
      </c>
      <c r="N167" s="122"/>
      <c r="O167" s="96"/>
      <c r="P167" s="14">
        <v>0.3</v>
      </c>
      <c r="Q167" s="93">
        <v>5.0762601731828667</v>
      </c>
      <c r="R167" s="93">
        <v>9.180135440180603</v>
      </c>
      <c r="S167" s="122" t="s">
        <v>1518</v>
      </c>
      <c r="T167" s="7"/>
      <c r="U167" s="7"/>
      <c r="V167" s="122" t="s">
        <v>1518</v>
      </c>
      <c r="W167" s="122"/>
      <c r="X167" s="122"/>
      <c r="Y167" s="7"/>
      <c r="Z167" s="7"/>
      <c r="AA167" s="7">
        <v>1</v>
      </c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16">
        <v>45295</v>
      </c>
      <c r="AM167" s="4"/>
      <c r="AN167" s="6" t="s">
        <v>991</v>
      </c>
      <c r="AO167" s="4"/>
      <c r="AP167" s="4"/>
      <c r="AQ167" s="4"/>
      <c r="AR167" s="11">
        <v>800</v>
      </c>
      <c r="AS167" s="11"/>
      <c r="AT167" s="11"/>
      <c r="AU167" s="11"/>
    </row>
    <row r="168" spans="1:47" ht="15.75" x14ac:dyDescent="0.25">
      <c r="A168" s="112" t="s">
        <v>1965</v>
      </c>
      <c r="B168" s="6" t="s">
        <v>1966</v>
      </c>
      <c r="C168" s="8" t="s">
        <v>4</v>
      </c>
      <c r="D168" s="8" t="s">
        <v>13</v>
      </c>
      <c r="E168" s="9">
        <v>6</v>
      </c>
      <c r="F168" s="9"/>
      <c r="G168" s="9"/>
      <c r="H168" s="7"/>
      <c r="I168" s="7">
        <v>3</v>
      </c>
      <c r="J168" s="7">
        <v>3</v>
      </c>
      <c r="K168" s="7"/>
      <c r="L168" s="122"/>
      <c r="M168" s="122"/>
      <c r="N168" s="122"/>
      <c r="O168" s="96"/>
      <c r="P168" s="14"/>
      <c r="Q168" s="93">
        <v>1.7338419741698434</v>
      </c>
      <c r="R168" s="93">
        <v>92.240927419354591</v>
      </c>
      <c r="S168" s="122" t="s">
        <v>1518</v>
      </c>
      <c r="T168" s="7"/>
      <c r="U168" s="7"/>
      <c r="V168" s="122" t="s">
        <v>1518</v>
      </c>
      <c r="W168" s="122"/>
      <c r="X168" s="122" t="s">
        <v>1518</v>
      </c>
      <c r="Y168" s="7" t="s">
        <v>7</v>
      </c>
      <c r="Z168" s="7"/>
      <c r="AA168" s="7"/>
      <c r="AB168" s="7"/>
      <c r="AC168" s="7">
        <v>1</v>
      </c>
      <c r="AD168" s="7"/>
      <c r="AE168" s="7"/>
      <c r="AF168" s="7"/>
      <c r="AG168" s="7"/>
      <c r="AH168" s="7"/>
      <c r="AI168" s="7"/>
      <c r="AJ168" s="7"/>
      <c r="AK168" s="7"/>
      <c r="AL168" s="16">
        <v>45295</v>
      </c>
      <c r="AM168" s="4"/>
      <c r="AN168" s="4" t="s">
        <v>249</v>
      </c>
      <c r="AO168" s="4"/>
      <c r="AP168" s="4"/>
      <c r="AQ168" s="4"/>
      <c r="AR168" s="11">
        <v>600</v>
      </c>
      <c r="AS168" s="11"/>
      <c r="AT168" s="11"/>
      <c r="AU168" s="11"/>
    </row>
    <row r="169" spans="1:47" ht="15.75" x14ac:dyDescent="0.25">
      <c r="A169" s="112" t="s">
        <v>247</v>
      </c>
      <c r="B169" s="6" t="s">
        <v>1967</v>
      </c>
      <c r="C169" s="8" t="s">
        <v>4</v>
      </c>
      <c r="D169" s="8" t="s">
        <v>26</v>
      </c>
      <c r="E169" s="9">
        <v>6</v>
      </c>
      <c r="F169" s="9"/>
      <c r="G169" s="9"/>
      <c r="H169" s="7"/>
      <c r="I169" s="7">
        <v>3</v>
      </c>
      <c r="J169" s="7">
        <v>3</v>
      </c>
      <c r="K169" s="7"/>
      <c r="L169" s="122"/>
      <c r="M169" s="122"/>
      <c r="N169" s="122"/>
      <c r="O169" s="96"/>
      <c r="P169" s="14"/>
      <c r="Q169" s="93">
        <v>1.7338419741698434</v>
      </c>
      <c r="R169" s="93">
        <v>92.240927419354591</v>
      </c>
      <c r="S169" s="122" t="s">
        <v>1518</v>
      </c>
      <c r="T169" s="7"/>
      <c r="U169" s="7"/>
      <c r="V169" s="122" t="s">
        <v>1518</v>
      </c>
      <c r="W169" s="122"/>
      <c r="X169" s="122" t="s">
        <v>1518</v>
      </c>
      <c r="Y169" s="7" t="s">
        <v>7</v>
      </c>
      <c r="Z169" s="7"/>
      <c r="AA169" s="7"/>
      <c r="AB169" s="7"/>
      <c r="AC169" s="7">
        <v>1</v>
      </c>
      <c r="AD169" s="7"/>
      <c r="AE169" s="7"/>
      <c r="AF169" s="7"/>
      <c r="AG169" s="7"/>
      <c r="AH169" s="7"/>
      <c r="AI169" s="7"/>
      <c r="AJ169" s="7"/>
      <c r="AK169" s="7">
        <v>1</v>
      </c>
      <c r="AL169" s="16">
        <v>45295</v>
      </c>
      <c r="AM169" s="4"/>
      <c r="AN169" s="4" t="s">
        <v>249</v>
      </c>
      <c r="AO169" s="4"/>
      <c r="AP169" s="4"/>
      <c r="AQ169" s="4"/>
      <c r="AR169" s="11">
        <v>450</v>
      </c>
      <c r="AS169" s="11"/>
      <c r="AT169" s="11"/>
      <c r="AU169" s="11"/>
    </row>
    <row r="170" spans="1:47" ht="15.75" x14ac:dyDescent="0.25">
      <c r="A170" s="112" t="s">
        <v>954</v>
      </c>
      <c r="B170" s="6" t="s">
        <v>1256</v>
      </c>
      <c r="C170" s="8" t="s">
        <v>4</v>
      </c>
      <c r="D170" s="8" t="s">
        <v>29</v>
      </c>
      <c r="E170" s="9">
        <v>4</v>
      </c>
      <c r="F170" s="9"/>
      <c r="G170" s="9"/>
      <c r="H170" s="7"/>
      <c r="I170" s="7"/>
      <c r="J170" s="7"/>
      <c r="K170" s="7"/>
      <c r="L170" s="122"/>
      <c r="M170" s="122"/>
      <c r="N170" s="122"/>
      <c r="O170" s="96"/>
      <c r="P170" s="7"/>
      <c r="Q170" s="93">
        <v>4.9210917483710401E-4</v>
      </c>
      <c r="R170" s="93">
        <v>28.04689655172421</v>
      </c>
      <c r="S170" s="122" t="s">
        <v>1518</v>
      </c>
      <c r="T170" s="7"/>
      <c r="U170" s="7"/>
      <c r="V170" s="122"/>
      <c r="W170" s="122"/>
      <c r="X170" s="122"/>
      <c r="Y170" s="7"/>
      <c r="Z170" s="7"/>
      <c r="AA170" s="7">
        <v>1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>
        <v>1</v>
      </c>
      <c r="AL170" s="16">
        <v>45295</v>
      </c>
      <c r="AM170" s="4" t="s">
        <v>1968</v>
      </c>
      <c r="AN170" s="11" t="s">
        <v>126</v>
      </c>
      <c r="AO170" s="4"/>
      <c r="AP170" s="4"/>
      <c r="AQ170" s="4"/>
      <c r="AR170" s="11">
        <v>100</v>
      </c>
      <c r="AS170" s="11"/>
      <c r="AT170" s="11"/>
      <c r="AU170" s="11"/>
    </row>
    <row r="171" spans="1:47" ht="15.75" x14ac:dyDescent="0.25">
      <c r="A171" s="112" t="s">
        <v>921</v>
      </c>
      <c r="B171" s="6" t="s">
        <v>1257</v>
      </c>
      <c r="C171" s="9" t="s">
        <v>4</v>
      </c>
      <c r="D171" s="9" t="s">
        <v>26</v>
      </c>
      <c r="E171" s="9">
        <v>15</v>
      </c>
      <c r="F171" s="9"/>
      <c r="G171" s="9"/>
      <c r="H171" s="7"/>
      <c r="I171" s="7"/>
      <c r="J171" s="7"/>
      <c r="K171" s="7"/>
      <c r="L171" s="122"/>
      <c r="M171" s="122"/>
      <c r="N171" s="122"/>
      <c r="O171" s="96"/>
      <c r="P171" s="14"/>
      <c r="Q171" s="93">
        <v>8.0546301395273971</v>
      </c>
      <c r="R171" s="93">
        <v>254.17500000000004</v>
      </c>
      <c r="S171" s="122" t="s">
        <v>1518</v>
      </c>
      <c r="T171" s="7"/>
      <c r="U171" s="7"/>
      <c r="V171" s="122" t="s">
        <v>1518</v>
      </c>
      <c r="W171" s="122"/>
      <c r="X171" s="122" t="s">
        <v>1518</v>
      </c>
      <c r="Y171" s="7"/>
      <c r="Z171" s="7"/>
      <c r="AA171" s="7">
        <v>1</v>
      </c>
      <c r="AB171" s="7"/>
      <c r="AC171" s="7">
        <v>1</v>
      </c>
      <c r="AD171" s="7"/>
      <c r="AE171" s="7">
        <v>1</v>
      </c>
      <c r="AF171" s="7"/>
      <c r="AG171" s="7">
        <v>1</v>
      </c>
      <c r="AH171" s="7">
        <v>1</v>
      </c>
      <c r="AI171" s="7"/>
      <c r="AJ171" s="7"/>
      <c r="AK171" s="7"/>
      <c r="AL171" s="16">
        <v>45295</v>
      </c>
      <c r="AM171" s="4"/>
      <c r="AN171" s="6" t="s">
        <v>1008</v>
      </c>
      <c r="AO171" s="4"/>
      <c r="AP171" s="4"/>
      <c r="AQ171" s="4"/>
      <c r="AR171" s="11">
        <v>720</v>
      </c>
      <c r="AS171" s="11"/>
      <c r="AT171" s="11"/>
      <c r="AU171" s="11"/>
    </row>
    <row r="172" spans="1:47" ht="15.75" x14ac:dyDescent="0.25">
      <c r="A172" s="112" t="s">
        <v>250</v>
      </c>
      <c r="B172" s="6" t="s">
        <v>1258</v>
      </c>
      <c r="C172" s="8" t="s">
        <v>4</v>
      </c>
      <c r="D172" s="9" t="s">
        <v>26</v>
      </c>
      <c r="E172" s="9">
        <v>4</v>
      </c>
      <c r="F172" s="9"/>
      <c r="G172" s="9"/>
      <c r="H172" s="7"/>
      <c r="I172" s="7"/>
      <c r="J172" s="7"/>
      <c r="K172" s="7"/>
      <c r="L172" s="122"/>
      <c r="M172" s="122"/>
      <c r="N172" s="122"/>
      <c r="O172" s="96"/>
      <c r="P172" s="7"/>
      <c r="Q172" s="93">
        <v>4.3980995489875947E-2</v>
      </c>
      <c r="R172" s="93">
        <v>73.075312499999839</v>
      </c>
      <c r="S172" s="122" t="s">
        <v>1518</v>
      </c>
      <c r="T172" s="7"/>
      <c r="U172" s="7"/>
      <c r="V172" s="122" t="s">
        <v>1518</v>
      </c>
      <c r="W172" s="122"/>
      <c r="X172" s="122"/>
      <c r="Y172" s="7"/>
      <c r="Z172" s="7">
        <v>1</v>
      </c>
      <c r="AA172" s="7"/>
      <c r="AB172" s="7"/>
      <c r="AC172" s="7">
        <v>1</v>
      </c>
      <c r="AD172" s="7"/>
      <c r="AE172" s="7"/>
      <c r="AF172" s="7"/>
      <c r="AG172" s="7"/>
      <c r="AH172" s="7"/>
      <c r="AI172" s="7"/>
      <c r="AJ172" s="7"/>
      <c r="AK172" s="7"/>
      <c r="AL172" s="16">
        <v>45295</v>
      </c>
      <c r="AM172" s="4"/>
      <c r="AN172" s="11" t="s">
        <v>142</v>
      </c>
      <c r="AO172" s="4"/>
      <c r="AP172" s="4"/>
      <c r="AQ172" s="4"/>
      <c r="AR172" s="11">
        <v>230</v>
      </c>
      <c r="AS172" s="11"/>
      <c r="AT172" s="11"/>
      <c r="AU172" s="11"/>
    </row>
    <row r="173" spans="1:47" ht="15.75" x14ac:dyDescent="0.25">
      <c r="A173" s="112" t="s">
        <v>251</v>
      </c>
      <c r="B173" s="6" t="s">
        <v>1259</v>
      </c>
      <c r="C173" s="8" t="s">
        <v>4</v>
      </c>
      <c r="D173" s="7" t="s">
        <v>19</v>
      </c>
      <c r="E173" s="9">
        <v>3</v>
      </c>
      <c r="F173" s="9">
        <v>15</v>
      </c>
      <c r="G173" s="9"/>
      <c r="H173" s="7">
        <v>6</v>
      </c>
      <c r="I173" s="7"/>
      <c r="J173" s="7"/>
      <c r="K173" s="7" t="s">
        <v>120</v>
      </c>
      <c r="L173" s="122"/>
      <c r="M173" s="122"/>
      <c r="N173" s="122"/>
      <c r="O173" s="96"/>
      <c r="P173" s="14">
        <v>0.3</v>
      </c>
      <c r="Q173" s="93">
        <v>29.424386229964021</v>
      </c>
      <c r="R173" s="93">
        <v>131.36891257995734</v>
      </c>
      <c r="S173" s="122" t="s">
        <v>1518</v>
      </c>
      <c r="T173" s="7"/>
      <c r="U173" s="7"/>
      <c r="V173" s="122"/>
      <c r="W173" s="122"/>
      <c r="X173" s="122" t="s">
        <v>1518</v>
      </c>
      <c r="Y173" s="7"/>
      <c r="Z173" s="7">
        <v>1</v>
      </c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16">
        <v>45295</v>
      </c>
      <c r="AM173" s="4"/>
      <c r="AN173" s="6" t="s">
        <v>1000</v>
      </c>
      <c r="AO173" s="4" t="s">
        <v>143</v>
      </c>
      <c r="AP173" s="4"/>
      <c r="AQ173" s="4"/>
      <c r="AR173" s="11">
        <v>300</v>
      </c>
      <c r="AS173" s="11">
        <v>60</v>
      </c>
      <c r="AT173" s="11"/>
      <c r="AU173" s="11"/>
    </row>
    <row r="174" spans="1:47" ht="15.75" x14ac:dyDescent="0.25">
      <c r="A174" s="112" t="s">
        <v>252</v>
      </c>
      <c r="B174" s="6" t="s">
        <v>1260</v>
      </c>
      <c r="C174" s="8" t="s">
        <v>4</v>
      </c>
      <c r="D174" s="8" t="s">
        <v>64</v>
      </c>
      <c r="E174" s="9">
        <v>4</v>
      </c>
      <c r="F174" s="9">
        <v>4</v>
      </c>
      <c r="G174" s="9"/>
      <c r="H174" s="7"/>
      <c r="I174" s="7"/>
      <c r="J174" s="7"/>
      <c r="K174" s="7"/>
      <c r="L174" s="122"/>
      <c r="M174" s="122"/>
      <c r="N174" s="122"/>
      <c r="O174" s="96"/>
      <c r="P174" s="7"/>
      <c r="Q174" s="93">
        <v>2.1973804877698231</v>
      </c>
      <c r="R174" s="93">
        <v>25.395674839999941</v>
      </c>
      <c r="S174" s="122" t="s">
        <v>1518</v>
      </c>
      <c r="T174" s="7"/>
      <c r="U174" s="7"/>
      <c r="V174" s="122" t="s">
        <v>1518</v>
      </c>
      <c r="W174" s="122"/>
      <c r="X174" s="122"/>
      <c r="Y174" s="7"/>
      <c r="Z174" s="7">
        <v>1</v>
      </c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>
        <v>1</v>
      </c>
      <c r="AL174" s="16">
        <v>45295</v>
      </c>
      <c r="AM174" s="4"/>
      <c r="AN174" s="11" t="s">
        <v>142</v>
      </c>
      <c r="AO174" s="11" t="s">
        <v>157</v>
      </c>
      <c r="AP174" s="4"/>
      <c r="AQ174" s="4"/>
      <c r="AR174" s="11">
        <v>29.8</v>
      </c>
      <c r="AS174" s="11">
        <v>363</v>
      </c>
      <c r="AT174" s="11"/>
      <c r="AU174" s="11"/>
    </row>
    <row r="175" spans="1:47" ht="15.75" x14ac:dyDescent="0.25">
      <c r="A175" s="112" t="s">
        <v>253</v>
      </c>
      <c r="B175" s="6" t="s">
        <v>1261</v>
      </c>
      <c r="C175" s="8" t="s">
        <v>4</v>
      </c>
      <c r="D175" s="8" t="s">
        <v>13</v>
      </c>
      <c r="E175" s="9">
        <v>1</v>
      </c>
      <c r="F175" s="9"/>
      <c r="G175" s="9"/>
      <c r="H175" s="7"/>
      <c r="I175" s="7"/>
      <c r="J175" s="7"/>
      <c r="K175" s="7"/>
      <c r="L175" s="122"/>
      <c r="M175" s="122"/>
      <c r="N175" s="122"/>
      <c r="O175" s="96"/>
      <c r="P175" s="7"/>
      <c r="Q175" s="93">
        <v>0.20930595906075114</v>
      </c>
      <c r="R175" s="93">
        <v>29.272254714612789</v>
      </c>
      <c r="S175" s="122" t="s">
        <v>1518</v>
      </c>
      <c r="T175" s="7"/>
      <c r="U175" s="7"/>
      <c r="V175" s="122"/>
      <c r="W175" s="122"/>
      <c r="X175" s="122"/>
      <c r="Y175" s="7"/>
      <c r="Z175" s="7">
        <v>1</v>
      </c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16">
        <v>45295</v>
      </c>
      <c r="AM175" s="4"/>
      <c r="AN175" s="6" t="s">
        <v>1030</v>
      </c>
      <c r="AO175" s="6" t="s">
        <v>300</v>
      </c>
      <c r="AP175" s="4"/>
      <c r="AQ175" s="4"/>
      <c r="AR175" s="11">
        <v>240</v>
      </c>
      <c r="AS175" s="11">
        <v>60</v>
      </c>
      <c r="AT175" s="11"/>
      <c r="AU175" s="11"/>
    </row>
    <row r="176" spans="1:47" ht="15.75" x14ac:dyDescent="0.25">
      <c r="A176" s="112" t="s">
        <v>254</v>
      </c>
      <c r="B176" s="6" t="s">
        <v>1262</v>
      </c>
      <c r="C176" s="8" t="s">
        <v>4</v>
      </c>
      <c r="D176" s="8" t="s">
        <v>54</v>
      </c>
      <c r="E176" s="9">
        <v>1</v>
      </c>
      <c r="F176" s="9"/>
      <c r="G176" s="9"/>
      <c r="H176" s="7"/>
      <c r="I176" s="7"/>
      <c r="J176" s="7"/>
      <c r="K176" s="7"/>
      <c r="L176" s="122"/>
      <c r="M176" s="122"/>
      <c r="N176" s="122"/>
      <c r="O176" s="96"/>
      <c r="P176" s="7"/>
      <c r="Q176" s="93">
        <v>0.20930595906075114</v>
      </c>
      <c r="R176" s="93">
        <v>29.272254714612789</v>
      </c>
      <c r="S176" s="122" t="s">
        <v>1518</v>
      </c>
      <c r="T176" s="7"/>
      <c r="U176" s="7"/>
      <c r="V176" s="122"/>
      <c r="W176" s="122"/>
      <c r="X176" s="122"/>
      <c r="Y176" s="7"/>
      <c r="Z176" s="7">
        <v>1</v>
      </c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16">
        <v>45295</v>
      </c>
      <c r="AM176" s="4"/>
      <c r="AN176" s="6" t="s">
        <v>1030</v>
      </c>
      <c r="AO176" s="6" t="s">
        <v>300</v>
      </c>
      <c r="AP176" s="4"/>
      <c r="AQ176" s="4"/>
      <c r="AR176" s="11">
        <v>240</v>
      </c>
      <c r="AS176" s="11">
        <v>60</v>
      </c>
      <c r="AT176" s="11"/>
      <c r="AU176" s="11"/>
    </row>
    <row r="177" spans="1:47" ht="15.75" x14ac:dyDescent="0.25">
      <c r="A177" s="112" t="s">
        <v>1671</v>
      </c>
      <c r="B177" s="6" t="s">
        <v>1634</v>
      </c>
      <c r="C177" s="9" t="s">
        <v>4</v>
      </c>
      <c r="D177" s="7" t="s">
        <v>17</v>
      </c>
      <c r="E177" s="9">
        <v>15</v>
      </c>
      <c r="F177" s="9"/>
      <c r="G177" s="9"/>
      <c r="H177" s="7"/>
      <c r="I177" s="7"/>
      <c r="J177" s="7"/>
      <c r="K177" s="7"/>
      <c r="L177" s="122"/>
      <c r="M177" s="122"/>
      <c r="N177" s="122"/>
      <c r="O177" s="96"/>
      <c r="P177" s="14"/>
      <c r="Q177" s="93">
        <v>8.0546301395273971</v>
      </c>
      <c r="R177" s="93">
        <v>254.17500000000004</v>
      </c>
      <c r="S177" s="122" t="s">
        <v>1518</v>
      </c>
      <c r="T177" s="7"/>
      <c r="U177" s="7"/>
      <c r="V177" s="122" t="s">
        <v>1518</v>
      </c>
      <c r="W177" s="122"/>
      <c r="X177" s="122" t="s">
        <v>1518</v>
      </c>
      <c r="Y177" s="7"/>
      <c r="Z177" s="7"/>
      <c r="AA177" s="7">
        <v>1</v>
      </c>
      <c r="AB177" s="7"/>
      <c r="AC177" s="7">
        <v>1</v>
      </c>
      <c r="AD177" s="7"/>
      <c r="AE177" s="7">
        <v>1</v>
      </c>
      <c r="AF177" s="7"/>
      <c r="AG177" s="7">
        <v>1</v>
      </c>
      <c r="AH177" s="7">
        <v>1</v>
      </c>
      <c r="AI177" s="7"/>
      <c r="AJ177" s="7"/>
      <c r="AK177" s="7"/>
      <c r="AL177" s="16">
        <v>45295</v>
      </c>
      <c r="AM177" s="4"/>
      <c r="AN177" s="6" t="s">
        <v>1008</v>
      </c>
      <c r="AO177" s="4"/>
      <c r="AP177" s="4"/>
      <c r="AQ177" s="4"/>
      <c r="AR177" s="11">
        <v>720</v>
      </c>
      <c r="AS177" s="11"/>
      <c r="AT177" s="11"/>
      <c r="AU177" s="11"/>
    </row>
    <row r="178" spans="1:47" ht="15.75" x14ac:dyDescent="0.25">
      <c r="A178" s="112" t="s">
        <v>1267</v>
      </c>
      <c r="B178" s="6" t="s">
        <v>1672</v>
      </c>
      <c r="C178" s="8" t="s">
        <v>4</v>
      </c>
      <c r="D178" s="9" t="s">
        <v>1685</v>
      </c>
      <c r="E178" s="9">
        <v>4</v>
      </c>
      <c r="F178" s="9"/>
      <c r="G178" s="9"/>
      <c r="H178" s="7"/>
      <c r="I178" s="7"/>
      <c r="J178" s="7"/>
      <c r="K178" s="7"/>
      <c r="L178" s="122"/>
      <c r="M178" s="122"/>
      <c r="N178" s="122"/>
      <c r="O178" s="96"/>
      <c r="P178" s="7"/>
      <c r="Q178" s="93">
        <v>2.2543230734764514</v>
      </c>
      <c r="R178" s="93">
        <v>0.15250499999999939</v>
      </c>
      <c r="S178" s="122" t="s">
        <v>1518</v>
      </c>
      <c r="T178" s="7"/>
      <c r="U178" s="7"/>
      <c r="V178" s="122" t="s">
        <v>1518</v>
      </c>
      <c r="W178" s="122"/>
      <c r="X178" s="122"/>
      <c r="Y178" s="7"/>
      <c r="Z178" s="7">
        <v>1</v>
      </c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>
        <v>1</v>
      </c>
      <c r="AL178" s="16">
        <v>45295</v>
      </c>
      <c r="AM178" s="4"/>
      <c r="AN178" s="4" t="s">
        <v>157</v>
      </c>
      <c r="AO178" s="4"/>
      <c r="AP178" s="4"/>
      <c r="AQ178" s="4"/>
      <c r="AR178" s="11">
        <v>500</v>
      </c>
      <c r="AS178" s="11"/>
      <c r="AT178" s="11"/>
      <c r="AU178" s="11"/>
    </row>
    <row r="179" spans="1:47" ht="15.75" x14ac:dyDescent="0.25">
      <c r="A179" s="112" t="s">
        <v>1268</v>
      </c>
      <c r="B179" s="6" t="s">
        <v>1269</v>
      </c>
      <c r="C179" s="8" t="s">
        <v>4</v>
      </c>
      <c r="D179" s="9" t="s">
        <v>1535</v>
      </c>
      <c r="E179" s="9">
        <v>4</v>
      </c>
      <c r="F179" s="9"/>
      <c r="G179" s="9"/>
      <c r="H179" s="7"/>
      <c r="I179" s="7"/>
      <c r="J179" s="7"/>
      <c r="K179" s="7"/>
      <c r="L179" s="122"/>
      <c r="M179" s="122"/>
      <c r="N179" s="122"/>
      <c r="O179" s="96"/>
      <c r="P179" s="7"/>
      <c r="Q179" s="93">
        <v>0.39355336380053729</v>
      </c>
      <c r="R179" s="93">
        <v>0.32534399999999936</v>
      </c>
      <c r="S179" s="122" t="s">
        <v>1518</v>
      </c>
      <c r="T179" s="7"/>
      <c r="U179" s="7"/>
      <c r="V179" s="122" t="s">
        <v>1518</v>
      </c>
      <c r="W179" s="122"/>
      <c r="X179" s="122" t="s">
        <v>1518</v>
      </c>
      <c r="Y179" s="7"/>
      <c r="Z179" s="7">
        <v>1</v>
      </c>
      <c r="AA179" s="7"/>
      <c r="AB179" s="7">
        <v>1</v>
      </c>
      <c r="AC179" s="7"/>
      <c r="AD179" s="7"/>
      <c r="AE179" s="7"/>
      <c r="AF179" s="7">
        <v>1</v>
      </c>
      <c r="AG179" s="7"/>
      <c r="AH179" s="7"/>
      <c r="AI179" s="7"/>
      <c r="AJ179" s="7"/>
      <c r="AK179" s="7">
        <v>1</v>
      </c>
      <c r="AL179" s="16">
        <v>45295</v>
      </c>
      <c r="AM179" s="4"/>
      <c r="AN179" s="4" t="s">
        <v>205</v>
      </c>
      <c r="AO179" s="4"/>
      <c r="AP179" s="4"/>
      <c r="AQ179" s="4"/>
      <c r="AR179" s="11">
        <v>400</v>
      </c>
      <c r="AS179" s="11"/>
      <c r="AT179" s="11"/>
      <c r="AU179" s="11"/>
    </row>
    <row r="180" spans="1:47" ht="15.75" x14ac:dyDescent="0.25">
      <c r="A180" s="112" t="s">
        <v>1268</v>
      </c>
      <c r="B180" s="6" t="s">
        <v>1269</v>
      </c>
      <c r="C180" s="8" t="s">
        <v>4</v>
      </c>
      <c r="D180" s="8" t="s">
        <v>54</v>
      </c>
      <c r="E180" s="9">
        <v>4</v>
      </c>
      <c r="F180" s="9"/>
      <c r="G180" s="9"/>
      <c r="H180" s="7"/>
      <c r="I180" s="7"/>
      <c r="J180" s="7"/>
      <c r="K180" s="7"/>
      <c r="L180" s="122"/>
      <c r="M180" s="122"/>
      <c r="N180" s="122"/>
      <c r="O180" s="96"/>
      <c r="P180" s="7"/>
      <c r="Q180" s="93">
        <v>0.39355336380053729</v>
      </c>
      <c r="R180" s="93">
        <v>0.32534399999999936</v>
      </c>
      <c r="S180" s="122" t="s">
        <v>1518</v>
      </c>
      <c r="T180" s="7"/>
      <c r="U180" s="7"/>
      <c r="V180" s="122" t="s">
        <v>1518</v>
      </c>
      <c r="W180" s="122"/>
      <c r="X180" s="122" t="s">
        <v>1518</v>
      </c>
      <c r="Y180" s="7"/>
      <c r="Z180" s="7">
        <v>1</v>
      </c>
      <c r="AA180" s="7"/>
      <c r="AB180" s="7">
        <v>1</v>
      </c>
      <c r="AC180" s="7"/>
      <c r="AD180" s="7"/>
      <c r="AE180" s="7"/>
      <c r="AF180" s="7">
        <v>1</v>
      </c>
      <c r="AG180" s="7"/>
      <c r="AH180" s="7"/>
      <c r="AI180" s="7"/>
      <c r="AJ180" s="7"/>
      <c r="AK180" s="7">
        <v>1</v>
      </c>
      <c r="AL180" s="16">
        <v>45295</v>
      </c>
      <c r="AM180" s="4"/>
      <c r="AN180" s="4" t="s">
        <v>205</v>
      </c>
      <c r="AO180" s="4"/>
      <c r="AP180" s="4"/>
      <c r="AQ180" s="4"/>
      <c r="AR180" s="11">
        <v>400</v>
      </c>
      <c r="AS180" s="11"/>
      <c r="AT180" s="11"/>
      <c r="AU180" s="11"/>
    </row>
    <row r="181" spans="1:47" ht="15.75" x14ac:dyDescent="0.25">
      <c r="A181" s="112" t="s">
        <v>1270</v>
      </c>
      <c r="B181" s="6" t="s">
        <v>1271</v>
      </c>
      <c r="C181" s="8" t="s">
        <v>4</v>
      </c>
      <c r="D181" s="8" t="s">
        <v>13</v>
      </c>
      <c r="E181" s="9">
        <v>4</v>
      </c>
      <c r="F181" s="9"/>
      <c r="G181" s="9"/>
      <c r="H181" s="7"/>
      <c r="I181" s="7"/>
      <c r="J181" s="7"/>
      <c r="K181" s="7"/>
      <c r="L181" s="122"/>
      <c r="M181" s="122"/>
      <c r="N181" s="122"/>
      <c r="O181" s="96"/>
      <c r="P181" s="7"/>
      <c r="Q181" s="93">
        <v>0.39355336380053729</v>
      </c>
      <c r="R181" s="93">
        <v>0.32534399999999936</v>
      </c>
      <c r="S181" s="122" t="s">
        <v>1518</v>
      </c>
      <c r="T181" s="7"/>
      <c r="U181" s="7"/>
      <c r="V181" s="122" t="s">
        <v>1518</v>
      </c>
      <c r="W181" s="122"/>
      <c r="X181" s="122" t="s">
        <v>1518</v>
      </c>
      <c r="Y181" s="7"/>
      <c r="Z181" s="7">
        <v>1</v>
      </c>
      <c r="AA181" s="7"/>
      <c r="AB181" s="7">
        <v>1</v>
      </c>
      <c r="AC181" s="7"/>
      <c r="AD181" s="7"/>
      <c r="AE181" s="7"/>
      <c r="AF181" s="7">
        <v>1</v>
      </c>
      <c r="AG181" s="7"/>
      <c r="AH181" s="7"/>
      <c r="AI181" s="7"/>
      <c r="AJ181" s="7"/>
      <c r="AK181" s="7">
        <v>1</v>
      </c>
      <c r="AL181" s="16">
        <v>45295</v>
      </c>
      <c r="AM181" s="4"/>
      <c r="AN181" s="4" t="s">
        <v>205</v>
      </c>
      <c r="AO181" s="4"/>
      <c r="AP181" s="4"/>
      <c r="AQ181" s="4"/>
      <c r="AR181" s="11">
        <v>400</v>
      </c>
      <c r="AS181" s="11"/>
      <c r="AT181" s="11"/>
      <c r="AU181" s="11"/>
    </row>
    <row r="182" spans="1:47" ht="15.75" x14ac:dyDescent="0.25">
      <c r="A182" s="112" t="s">
        <v>255</v>
      </c>
      <c r="B182" s="6" t="s">
        <v>1272</v>
      </c>
      <c r="C182" s="8" t="s">
        <v>4</v>
      </c>
      <c r="D182" s="8" t="s">
        <v>26</v>
      </c>
      <c r="E182" s="9">
        <v>4</v>
      </c>
      <c r="F182" s="9"/>
      <c r="G182" s="9"/>
      <c r="H182" s="7"/>
      <c r="I182" s="7"/>
      <c r="J182" s="7"/>
      <c r="K182" s="7"/>
      <c r="L182" s="122"/>
      <c r="M182" s="122"/>
      <c r="N182" s="122"/>
      <c r="O182" s="96"/>
      <c r="P182" s="7"/>
      <c r="Q182" s="93">
        <v>0.39355336380053729</v>
      </c>
      <c r="R182" s="93">
        <v>0.32534399999999936</v>
      </c>
      <c r="S182" s="122" t="s">
        <v>1518</v>
      </c>
      <c r="T182" s="7"/>
      <c r="U182" s="7"/>
      <c r="V182" s="122" t="s">
        <v>1518</v>
      </c>
      <c r="W182" s="122"/>
      <c r="X182" s="122" t="s">
        <v>1518</v>
      </c>
      <c r="Y182" s="7"/>
      <c r="Z182" s="7">
        <v>1</v>
      </c>
      <c r="AA182" s="7"/>
      <c r="AB182" s="7">
        <v>1</v>
      </c>
      <c r="AC182" s="7"/>
      <c r="AD182" s="7"/>
      <c r="AE182" s="7"/>
      <c r="AF182" s="7">
        <v>1</v>
      </c>
      <c r="AG182" s="7"/>
      <c r="AH182" s="7"/>
      <c r="AI182" s="7"/>
      <c r="AJ182" s="7"/>
      <c r="AK182" s="7">
        <v>1</v>
      </c>
      <c r="AL182" s="16">
        <v>45295</v>
      </c>
      <c r="AM182" s="4"/>
      <c r="AN182" s="4" t="s">
        <v>205</v>
      </c>
      <c r="AO182" s="4"/>
      <c r="AP182" s="4"/>
      <c r="AQ182" s="4"/>
      <c r="AR182" s="11">
        <v>400</v>
      </c>
      <c r="AS182" s="11"/>
      <c r="AT182" s="11"/>
      <c r="AU182" s="11"/>
    </row>
    <row r="183" spans="1:47" ht="15.75" x14ac:dyDescent="0.25">
      <c r="A183" s="112" t="s">
        <v>1701</v>
      </c>
      <c r="B183" s="6" t="s">
        <v>1266</v>
      </c>
      <c r="C183" s="8" t="s">
        <v>4</v>
      </c>
      <c r="D183" s="8" t="s">
        <v>54</v>
      </c>
      <c r="E183" s="9">
        <v>4</v>
      </c>
      <c r="F183" s="9">
        <v>4</v>
      </c>
      <c r="G183" s="9"/>
      <c r="H183" s="7">
        <v>6</v>
      </c>
      <c r="I183" s="7"/>
      <c r="J183" s="7">
        <v>6</v>
      </c>
      <c r="K183" s="7" t="s">
        <v>14</v>
      </c>
      <c r="L183" s="122"/>
      <c r="M183" s="122"/>
      <c r="N183" s="122"/>
      <c r="O183" s="96"/>
      <c r="P183" s="7"/>
      <c r="Q183" s="93">
        <v>2.693644807163043</v>
      </c>
      <c r="R183" s="93">
        <v>378.47549342105282</v>
      </c>
      <c r="S183" s="122" t="s">
        <v>1518</v>
      </c>
      <c r="T183" s="7"/>
      <c r="U183" s="7"/>
      <c r="V183" s="122" t="s">
        <v>1518</v>
      </c>
      <c r="W183" s="122"/>
      <c r="X183" s="122" t="s">
        <v>1518</v>
      </c>
      <c r="Y183" s="7" t="s">
        <v>7</v>
      </c>
      <c r="Z183" s="7">
        <v>1</v>
      </c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>
        <v>1</v>
      </c>
      <c r="AL183" s="16">
        <v>45295</v>
      </c>
      <c r="AM183" s="4"/>
      <c r="AN183" s="6" t="s">
        <v>1022</v>
      </c>
      <c r="AO183" s="6" t="s">
        <v>112</v>
      </c>
      <c r="AP183" s="4"/>
      <c r="AQ183" s="4"/>
      <c r="AR183" s="11">
        <v>400</v>
      </c>
      <c r="AS183" s="11">
        <v>170</v>
      </c>
      <c r="AT183" s="11"/>
      <c r="AU183" s="11"/>
    </row>
    <row r="184" spans="1:47" ht="15.75" x14ac:dyDescent="0.25">
      <c r="A184" s="112" t="s">
        <v>1276</v>
      </c>
      <c r="B184" s="6" t="s">
        <v>1277</v>
      </c>
      <c r="C184" s="8" t="s">
        <v>4</v>
      </c>
      <c r="D184" s="9" t="s">
        <v>26</v>
      </c>
      <c r="E184" s="9">
        <v>5</v>
      </c>
      <c r="F184" s="9"/>
      <c r="G184" s="9"/>
      <c r="H184" s="7"/>
      <c r="I184" s="7"/>
      <c r="J184" s="7"/>
      <c r="K184" s="7"/>
      <c r="L184" s="122"/>
      <c r="M184" s="122"/>
      <c r="N184" s="122"/>
      <c r="O184" s="96"/>
      <c r="P184" s="7"/>
      <c r="Q184" s="93">
        <v>2.9479888141859618</v>
      </c>
      <c r="R184" s="93">
        <v>1.8827777777777825</v>
      </c>
      <c r="S184" s="122" t="s">
        <v>1518</v>
      </c>
      <c r="T184" s="7"/>
      <c r="U184" s="7"/>
      <c r="V184" s="122" t="s">
        <v>1518</v>
      </c>
      <c r="W184" s="122"/>
      <c r="X184" s="122" t="s">
        <v>1518</v>
      </c>
      <c r="Y184" s="7"/>
      <c r="Z184" s="7"/>
      <c r="AA184" s="7">
        <v>1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16">
        <v>45295</v>
      </c>
      <c r="AM184" s="4"/>
      <c r="AN184" s="4" t="s">
        <v>163</v>
      </c>
      <c r="AO184" s="4"/>
      <c r="AP184" s="6"/>
      <c r="AQ184" s="4"/>
      <c r="AR184" s="11">
        <v>160</v>
      </c>
      <c r="AS184" s="11"/>
      <c r="AT184" s="11"/>
      <c r="AU184" s="11"/>
    </row>
    <row r="185" spans="1:47" ht="15.75" x14ac:dyDescent="0.25">
      <c r="A185" s="112" t="s">
        <v>2047</v>
      </c>
      <c r="B185" s="6" t="s">
        <v>2048</v>
      </c>
      <c r="C185" s="9" t="s">
        <v>4</v>
      </c>
      <c r="D185" s="9" t="s">
        <v>109</v>
      </c>
      <c r="E185" s="9">
        <v>27</v>
      </c>
      <c r="F185" s="9"/>
      <c r="G185" s="9"/>
      <c r="H185" s="7"/>
      <c r="I185" s="7"/>
      <c r="J185" s="7"/>
      <c r="K185" s="7"/>
      <c r="L185" s="122"/>
      <c r="M185" s="122"/>
      <c r="N185" s="122"/>
      <c r="O185" s="96"/>
      <c r="P185" s="7"/>
      <c r="Q185" s="93">
        <f t="shared" ref="Q185" si="6">+BM185</f>
        <v>0</v>
      </c>
      <c r="R185" s="93">
        <f t="shared" ref="R185" si="7">+BR185</f>
        <v>0</v>
      </c>
      <c r="S185" s="122" t="s">
        <v>1518</v>
      </c>
      <c r="T185" s="7"/>
      <c r="U185" s="7"/>
      <c r="V185" s="122" t="s">
        <v>1518</v>
      </c>
      <c r="W185" s="122"/>
      <c r="X185" s="122"/>
      <c r="Y185" s="7"/>
      <c r="Z185" s="7"/>
      <c r="AA185" s="7"/>
      <c r="AB185" s="7"/>
      <c r="AC185" s="7">
        <v>1</v>
      </c>
      <c r="AD185" s="7"/>
      <c r="AE185" s="7"/>
      <c r="AF185" s="7"/>
      <c r="AG185" s="7"/>
      <c r="AH185" s="7"/>
      <c r="AI185" s="7"/>
      <c r="AJ185" s="7"/>
      <c r="AK185" s="7"/>
      <c r="AL185" s="16">
        <v>45295</v>
      </c>
      <c r="AM185" s="4"/>
      <c r="AN185" s="11" t="s">
        <v>989</v>
      </c>
      <c r="AO185" s="4"/>
      <c r="AP185" s="4"/>
      <c r="AQ185" s="4"/>
      <c r="AR185" s="11">
        <v>100</v>
      </c>
      <c r="AS185" s="11"/>
      <c r="AT185" s="11"/>
      <c r="AU185" s="11"/>
    </row>
    <row r="186" spans="1:47" ht="15.75" x14ac:dyDescent="0.25">
      <c r="A186" s="112" t="s">
        <v>924</v>
      </c>
      <c r="B186" s="6" t="s">
        <v>1280</v>
      </c>
      <c r="C186" s="8" t="s">
        <v>4</v>
      </c>
      <c r="D186" s="8" t="s">
        <v>21</v>
      </c>
      <c r="E186" s="9">
        <v>5</v>
      </c>
      <c r="F186" s="9">
        <v>15</v>
      </c>
      <c r="G186" s="9"/>
      <c r="H186" s="7"/>
      <c r="I186" s="7"/>
      <c r="J186" s="7"/>
      <c r="K186" s="7"/>
      <c r="L186" s="122"/>
      <c r="M186" s="122"/>
      <c r="N186" s="122"/>
      <c r="O186" s="96"/>
      <c r="P186" s="7"/>
      <c r="Q186" s="93">
        <v>0.23315293144346194</v>
      </c>
      <c r="R186" s="93">
        <v>107.63926136363615</v>
      </c>
      <c r="S186" s="122" t="s">
        <v>1518</v>
      </c>
      <c r="T186" s="7"/>
      <c r="U186" s="7"/>
      <c r="V186" s="122"/>
      <c r="W186" s="122"/>
      <c r="X186" s="122" t="s">
        <v>1518</v>
      </c>
      <c r="Y186" s="7"/>
      <c r="Z186" s="7"/>
      <c r="AA186" s="7">
        <v>1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16">
        <v>45295</v>
      </c>
      <c r="AM186" s="4"/>
      <c r="AN186" s="6" t="s">
        <v>1017</v>
      </c>
      <c r="AO186" s="6" t="s">
        <v>1015</v>
      </c>
      <c r="AP186" s="4"/>
      <c r="AQ186" s="4"/>
      <c r="AR186" s="11">
        <v>350</v>
      </c>
      <c r="AS186" s="11">
        <v>150</v>
      </c>
      <c r="AT186" s="11"/>
      <c r="AU186" s="11"/>
    </row>
    <row r="187" spans="1:47" ht="28.5" x14ac:dyDescent="0.25">
      <c r="A187" s="112" t="s">
        <v>1281</v>
      </c>
      <c r="B187" s="6" t="s">
        <v>1282</v>
      </c>
      <c r="C187" s="8" t="s">
        <v>4</v>
      </c>
      <c r="D187" s="8" t="s">
        <v>1700</v>
      </c>
      <c r="E187" s="9">
        <v>5</v>
      </c>
      <c r="F187" s="9"/>
      <c r="G187" s="9"/>
      <c r="H187" s="7"/>
      <c r="I187" s="7"/>
      <c r="J187" s="7"/>
      <c r="K187" s="7"/>
      <c r="L187" s="122"/>
      <c r="M187" s="122"/>
      <c r="N187" s="122"/>
      <c r="O187" s="96"/>
      <c r="P187" s="7"/>
      <c r="Q187" s="93">
        <v>0.12819947377256399</v>
      </c>
      <c r="R187" s="93">
        <v>134.78977272727238</v>
      </c>
      <c r="S187" s="122" t="s">
        <v>1518</v>
      </c>
      <c r="T187" s="7"/>
      <c r="U187" s="7"/>
      <c r="V187" s="122"/>
      <c r="W187" s="122"/>
      <c r="X187" s="122" t="s">
        <v>1518</v>
      </c>
      <c r="Y187" s="7"/>
      <c r="Z187" s="7"/>
      <c r="AA187" s="7">
        <v>1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16">
        <v>45295</v>
      </c>
      <c r="AM187" s="4"/>
      <c r="AN187" s="6" t="s">
        <v>1017</v>
      </c>
      <c r="AO187" s="4"/>
      <c r="AP187" s="4"/>
      <c r="AQ187" s="4"/>
      <c r="AR187" s="11">
        <v>700</v>
      </c>
      <c r="AS187" s="11"/>
      <c r="AT187" s="11"/>
      <c r="AU187" s="11"/>
    </row>
    <row r="188" spans="1:47" ht="15.75" x14ac:dyDescent="0.25">
      <c r="A188" s="112" t="s">
        <v>1283</v>
      </c>
      <c r="B188" s="6" t="s">
        <v>1284</v>
      </c>
      <c r="C188" s="8" t="s">
        <v>4</v>
      </c>
      <c r="D188" s="8" t="s">
        <v>54</v>
      </c>
      <c r="E188" s="9">
        <v>5</v>
      </c>
      <c r="F188" s="9"/>
      <c r="G188" s="9"/>
      <c r="H188" s="7"/>
      <c r="I188" s="7"/>
      <c r="J188" s="7"/>
      <c r="K188" s="7"/>
      <c r="L188" s="122"/>
      <c r="M188" s="122"/>
      <c r="N188" s="122"/>
      <c r="O188" s="96"/>
      <c r="P188" s="7"/>
      <c r="Q188" s="93">
        <v>0.12819947377256399</v>
      </c>
      <c r="R188" s="93">
        <v>134.78977272727238</v>
      </c>
      <c r="S188" s="122" t="s">
        <v>1518</v>
      </c>
      <c r="T188" s="7"/>
      <c r="U188" s="7"/>
      <c r="V188" s="122"/>
      <c r="W188" s="122"/>
      <c r="X188" s="122" t="s">
        <v>1518</v>
      </c>
      <c r="Y188" s="7"/>
      <c r="Z188" s="7"/>
      <c r="AA188" s="7">
        <v>1</v>
      </c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16">
        <v>45295</v>
      </c>
      <c r="AM188" s="4"/>
      <c r="AN188" s="6" t="s">
        <v>1017</v>
      </c>
      <c r="AO188" s="4"/>
      <c r="AP188" s="4"/>
      <c r="AQ188" s="4"/>
      <c r="AR188" s="11">
        <v>700</v>
      </c>
      <c r="AS188" s="11"/>
      <c r="AT188" s="11"/>
      <c r="AU188" s="11"/>
    </row>
    <row r="189" spans="1:47" ht="15.75" x14ac:dyDescent="0.25">
      <c r="A189" s="112" t="s">
        <v>256</v>
      </c>
      <c r="B189" s="6" t="s">
        <v>1288</v>
      </c>
      <c r="C189" s="8" t="s">
        <v>4</v>
      </c>
      <c r="D189" s="9" t="s">
        <v>26</v>
      </c>
      <c r="E189" s="9">
        <v>5</v>
      </c>
      <c r="F189" s="9">
        <v>34</v>
      </c>
      <c r="G189" s="9"/>
      <c r="H189" s="7"/>
      <c r="I189" s="7"/>
      <c r="J189" s="7"/>
      <c r="K189" s="7" t="s">
        <v>14</v>
      </c>
      <c r="L189" s="122"/>
      <c r="M189" s="122"/>
      <c r="N189" s="122"/>
      <c r="O189" s="96"/>
      <c r="P189" s="14">
        <v>0.3</v>
      </c>
      <c r="Q189" s="93">
        <v>3.5567438848573989</v>
      </c>
      <c r="R189" s="93">
        <v>486.23347402597341</v>
      </c>
      <c r="S189" s="122" t="s">
        <v>1518</v>
      </c>
      <c r="T189" s="7"/>
      <c r="U189" s="7"/>
      <c r="V189" s="122"/>
      <c r="W189" s="122"/>
      <c r="X189" s="122" t="s">
        <v>1518</v>
      </c>
      <c r="Y189" s="7"/>
      <c r="Z189" s="7"/>
      <c r="AA189" s="7"/>
      <c r="AB189" s="7">
        <v>1</v>
      </c>
      <c r="AC189" s="7"/>
      <c r="AD189" s="7"/>
      <c r="AE189" s="7"/>
      <c r="AF189" s="7"/>
      <c r="AG189" s="7"/>
      <c r="AH189" s="7"/>
      <c r="AI189" s="7"/>
      <c r="AJ189" s="7"/>
      <c r="AK189" s="7"/>
      <c r="AL189" s="16">
        <v>45295</v>
      </c>
      <c r="AM189" s="4"/>
      <c r="AN189" s="6" t="s">
        <v>1012</v>
      </c>
      <c r="AO189" s="4" t="s">
        <v>178</v>
      </c>
      <c r="AP189" s="4"/>
      <c r="AQ189" s="4"/>
      <c r="AR189" s="11">
        <v>233</v>
      </c>
      <c r="AS189" s="11">
        <v>60</v>
      </c>
      <c r="AT189" s="11"/>
      <c r="AU189" s="11"/>
    </row>
    <row r="190" spans="1:47" ht="15.75" x14ac:dyDescent="0.25">
      <c r="A190" s="112" t="s">
        <v>257</v>
      </c>
      <c r="B190" s="6" t="s">
        <v>1292</v>
      </c>
      <c r="C190" s="8" t="s">
        <v>4</v>
      </c>
      <c r="D190" s="8" t="s">
        <v>13</v>
      </c>
      <c r="E190" s="9">
        <v>12</v>
      </c>
      <c r="F190" s="9">
        <v>15</v>
      </c>
      <c r="G190" s="9"/>
      <c r="H190" s="7">
        <v>6</v>
      </c>
      <c r="I190" s="7"/>
      <c r="J190" s="7"/>
      <c r="K190" s="7" t="s">
        <v>14</v>
      </c>
      <c r="L190" s="122"/>
      <c r="M190" s="122"/>
      <c r="N190" s="122"/>
      <c r="O190" s="96"/>
      <c r="P190" s="14">
        <v>0.3</v>
      </c>
      <c r="Q190" s="93">
        <v>16.552595829761422</v>
      </c>
      <c r="R190" s="93">
        <v>218.6711904761903</v>
      </c>
      <c r="S190" s="122" t="s">
        <v>1518</v>
      </c>
      <c r="T190" s="7"/>
      <c r="U190" s="7"/>
      <c r="V190" s="122"/>
      <c r="W190" s="122"/>
      <c r="X190" s="122" t="s">
        <v>1518</v>
      </c>
      <c r="Y190" s="7"/>
      <c r="Z190" s="7">
        <v>1</v>
      </c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16">
        <v>45295</v>
      </c>
      <c r="AM190" s="4"/>
      <c r="AN190" s="6" t="s">
        <v>999</v>
      </c>
      <c r="AO190" s="4" t="s">
        <v>143</v>
      </c>
      <c r="AP190" s="4"/>
      <c r="AQ190" s="4"/>
      <c r="AR190" s="53">
        <v>200</v>
      </c>
      <c r="AS190" s="53">
        <v>400</v>
      </c>
      <c r="AT190" s="11"/>
      <c r="AU190" s="11"/>
    </row>
    <row r="191" spans="1:47" ht="15.75" x14ac:dyDescent="0.25">
      <c r="A191" s="112" t="s">
        <v>258</v>
      </c>
      <c r="B191" s="6" t="s">
        <v>1292</v>
      </c>
      <c r="C191" s="8" t="s">
        <v>4</v>
      </c>
      <c r="D191" s="8" t="s">
        <v>13</v>
      </c>
      <c r="E191" s="9">
        <v>12</v>
      </c>
      <c r="F191" s="9">
        <v>15</v>
      </c>
      <c r="G191" s="9"/>
      <c r="H191" s="7">
        <v>6</v>
      </c>
      <c r="I191" s="7"/>
      <c r="J191" s="7"/>
      <c r="K191" s="7" t="s">
        <v>120</v>
      </c>
      <c r="L191" s="122"/>
      <c r="M191" s="122"/>
      <c r="N191" s="122"/>
      <c r="O191" s="96"/>
      <c r="P191" s="14">
        <v>0.3</v>
      </c>
      <c r="Q191" s="93">
        <v>24.82889374464213</v>
      </c>
      <c r="R191" s="93">
        <v>328.00678571428546</v>
      </c>
      <c r="S191" s="122" t="s">
        <v>1518</v>
      </c>
      <c r="T191" s="7"/>
      <c r="U191" s="7"/>
      <c r="V191" s="122"/>
      <c r="W191" s="122"/>
      <c r="X191" s="122" t="s">
        <v>1518</v>
      </c>
      <c r="Y191" s="7"/>
      <c r="Z191" s="7">
        <v>1</v>
      </c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16">
        <v>45295</v>
      </c>
      <c r="AM191" s="4"/>
      <c r="AN191" s="6" t="s">
        <v>999</v>
      </c>
      <c r="AO191" s="4" t="s">
        <v>143</v>
      </c>
      <c r="AP191" s="4"/>
      <c r="AQ191" s="4"/>
      <c r="AR191" s="53">
        <v>200</v>
      </c>
      <c r="AS191" s="53">
        <v>400</v>
      </c>
      <c r="AT191" s="11"/>
      <c r="AU191" s="11"/>
    </row>
    <row r="192" spans="1:47" ht="15.75" x14ac:dyDescent="0.25">
      <c r="A192" s="112" t="s">
        <v>1490</v>
      </c>
      <c r="B192" s="6" t="s">
        <v>1293</v>
      </c>
      <c r="C192" s="8" t="s">
        <v>4</v>
      </c>
      <c r="D192" s="9" t="s">
        <v>17</v>
      </c>
      <c r="E192" s="9">
        <v>14</v>
      </c>
      <c r="F192" s="9"/>
      <c r="G192" s="9"/>
      <c r="H192" s="7">
        <v>20</v>
      </c>
      <c r="I192" s="7">
        <v>20</v>
      </c>
      <c r="J192" s="7"/>
      <c r="K192" s="7" t="s">
        <v>80</v>
      </c>
      <c r="L192" s="122"/>
      <c r="M192" s="122"/>
      <c r="N192" s="122"/>
      <c r="O192" s="96"/>
      <c r="P192" s="7"/>
      <c r="Q192" s="93">
        <v>8.2530898715917562</v>
      </c>
      <c r="R192" s="93">
        <v>769.78714285714273</v>
      </c>
      <c r="S192" s="122" t="s">
        <v>1518</v>
      </c>
      <c r="T192" s="7"/>
      <c r="U192" s="7"/>
      <c r="V192" s="122" t="s">
        <v>1518</v>
      </c>
      <c r="W192" s="122"/>
      <c r="X192" s="122"/>
      <c r="Y192" s="7"/>
      <c r="Z192" s="7"/>
      <c r="AA192" s="7"/>
      <c r="AB192" s="7">
        <v>1</v>
      </c>
      <c r="AC192" s="7"/>
      <c r="AD192" s="7"/>
      <c r="AE192" s="7"/>
      <c r="AF192" s="7"/>
      <c r="AG192" s="7"/>
      <c r="AH192" s="7"/>
      <c r="AI192" s="7"/>
      <c r="AJ192" s="7"/>
      <c r="AK192" s="7"/>
      <c r="AL192" s="16">
        <v>45295</v>
      </c>
      <c r="AM192" s="4"/>
      <c r="AN192" s="6" t="s">
        <v>1025</v>
      </c>
      <c r="AO192" s="4"/>
      <c r="AP192" s="4"/>
      <c r="AQ192" s="4"/>
      <c r="AR192" s="11">
        <v>10.6</v>
      </c>
      <c r="AS192" s="11"/>
      <c r="AT192" s="11"/>
      <c r="AU192" s="11"/>
    </row>
    <row r="193" spans="1:47" ht="15.75" x14ac:dyDescent="0.25">
      <c r="A193" s="112" t="s">
        <v>1491</v>
      </c>
      <c r="B193" s="6" t="s">
        <v>1293</v>
      </c>
      <c r="C193" s="8" t="s">
        <v>4</v>
      </c>
      <c r="D193" s="9" t="s">
        <v>17</v>
      </c>
      <c r="E193" s="9">
        <v>14</v>
      </c>
      <c r="F193" s="9"/>
      <c r="G193" s="9"/>
      <c r="H193" s="7">
        <v>6</v>
      </c>
      <c r="I193" s="7">
        <v>6</v>
      </c>
      <c r="J193" s="7"/>
      <c r="K193" s="7" t="s">
        <v>120</v>
      </c>
      <c r="L193" s="122"/>
      <c r="M193" s="122"/>
      <c r="N193" s="122"/>
      <c r="O193" s="96"/>
      <c r="P193" s="7"/>
      <c r="Q193" s="93">
        <v>8.2530898715917562</v>
      </c>
      <c r="R193" s="93">
        <v>769.78714285714273</v>
      </c>
      <c r="S193" s="122" t="s">
        <v>1518</v>
      </c>
      <c r="T193" s="7"/>
      <c r="U193" s="7"/>
      <c r="V193" s="122" t="s">
        <v>1518</v>
      </c>
      <c r="W193" s="122"/>
      <c r="X193" s="122"/>
      <c r="Y193" s="7"/>
      <c r="Z193" s="7"/>
      <c r="AA193" s="7"/>
      <c r="AB193" s="7">
        <v>1</v>
      </c>
      <c r="AC193" s="7"/>
      <c r="AD193" s="7"/>
      <c r="AE193" s="7"/>
      <c r="AF193" s="7"/>
      <c r="AG193" s="7"/>
      <c r="AH193" s="7"/>
      <c r="AI193" s="7"/>
      <c r="AJ193" s="7"/>
      <c r="AK193" s="7"/>
      <c r="AL193" s="16">
        <v>45295</v>
      </c>
      <c r="AM193" s="4"/>
      <c r="AN193" s="6" t="s">
        <v>1025</v>
      </c>
      <c r="AO193" s="4"/>
      <c r="AP193" s="4"/>
      <c r="AQ193" s="4"/>
      <c r="AR193" s="11">
        <v>10.6</v>
      </c>
      <c r="AS193" s="11"/>
      <c r="AT193" s="11"/>
      <c r="AU193" s="11"/>
    </row>
    <row r="194" spans="1:47" ht="15.75" x14ac:dyDescent="0.25">
      <c r="A194" s="112" t="s">
        <v>259</v>
      </c>
      <c r="B194" s="6" t="s">
        <v>1294</v>
      </c>
      <c r="C194" s="8" t="s">
        <v>4</v>
      </c>
      <c r="D194" s="8" t="s">
        <v>29</v>
      </c>
      <c r="E194" s="9">
        <v>4</v>
      </c>
      <c r="F194" s="9">
        <v>12</v>
      </c>
      <c r="G194" s="9"/>
      <c r="H194" s="7"/>
      <c r="I194" s="7"/>
      <c r="J194" s="7"/>
      <c r="K194" s="7"/>
      <c r="L194" s="122"/>
      <c r="M194" s="122"/>
      <c r="N194" s="122"/>
      <c r="O194" s="96"/>
      <c r="P194" s="14">
        <v>0.3</v>
      </c>
      <c r="Q194" s="93">
        <v>9.1745733654138863</v>
      </c>
      <c r="R194" s="93">
        <v>382.32156250000003</v>
      </c>
      <c r="S194" s="122" t="s">
        <v>1518</v>
      </c>
      <c r="T194" s="7"/>
      <c r="U194" s="7"/>
      <c r="V194" s="122"/>
      <c r="W194" s="122"/>
      <c r="X194" s="122" t="s">
        <v>1518</v>
      </c>
      <c r="Y194" s="7"/>
      <c r="Z194" s="7">
        <v>1</v>
      </c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16">
        <v>45295</v>
      </c>
      <c r="AM194" s="4"/>
      <c r="AN194" s="6" t="s">
        <v>1022</v>
      </c>
      <c r="AO194" s="11" t="s">
        <v>999</v>
      </c>
      <c r="AP194" s="11"/>
      <c r="AQ194" s="4"/>
      <c r="AR194" s="11">
        <v>500</v>
      </c>
      <c r="AS194" s="11">
        <v>33.299999999999997</v>
      </c>
      <c r="AT194" s="11"/>
      <c r="AU194" s="11"/>
    </row>
    <row r="195" spans="1:47" ht="24.75" x14ac:dyDescent="0.25">
      <c r="A195" s="112" t="s">
        <v>260</v>
      </c>
      <c r="B195" s="6" t="s">
        <v>1295</v>
      </c>
      <c r="C195" s="8" t="s">
        <v>4</v>
      </c>
      <c r="D195" s="8" t="s">
        <v>13</v>
      </c>
      <c r="E195" s="9">
        <v>2</v>
      </c>
      <c r="F195" s="9"/>
      <c r="G195" s="9"/>
      <c r="H195" s="7"/>
      <c r="I195" s="7">
        <v>3</v>
      </c>
      <c r="J195" s="7"/>
      <c r="K195" s="7" t="s">
        <v>14</v>
      </c>
      <c r="L195" s="122"/>
      <c r="M195" s="122"/>
      <c r="N195" s="122"/>
      <c r="O195" s="96" t="s">
        <v>1608</v>
      </c>
      <c r="P195" s="7"/>
      <c r="Q195" s="93">
        <v>1.5223772272282301</v>
      </c>
      <c r="R195" s="93">
        <v>282.41666666666691</v>
      </c>
      <c r="S195" s="122" t="s">
        <v>1518</v>
      </c>
      <c r="T195" s="7"/>
      <c r="U195" s="7"/>
      <c r="V195" s="122"/>
      <c r="W195" s="122"/>
      <c r="X195" s="122"/>
      <c r="Y195" s="7"/>
      <c r="Z195" s="7">
        <v>1</v>
      </c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16">
        <v>45295</v>
      </c>
      <c r="AM195" s="4"/>
      <c r="AN195" s="11" t="s">
        <v>261</v>
      </c>
      <c r="AO195" s="4"/>
      <c r="AP195" s="4"/>
      <c r="AQ195" s="4"/>
      <c r="AR195" s="11">
        <v>800</v>
      </c>
      <c r="AS195" s="11"/>
      <c r="AT195" s="11"/>
      <c r="AU195" s="11"/>
    </row>
    <row r="196" spans="1:47" ht="15.75" x14ac:dyDescent="0.25">
      <c r="A196" s="112" t="s">
        <v>1838</v>
      </c>
      <c r="B196" s="6" t="s">
        <v>1840</v>
      </c>
      <c r="C196" s="8" t="s">
        <v>4</v>
      </c>
      <c r="D196" s="8" t="s">
        <v>29</v>
      </c>
      <c r="E196" s="9">
        <v>2</v>
      </c>
      <c r="F196" s="9"/>
      <c r="G196" s="9"/>
      <c r="H196" s="7">
        <v>6</v>
      </c>
      <c r="I196" s="7"/>
      <c r="J196" s="7"/>
      <c r="K196" s="7" t="s">
        <v>14</v>
      </c>
      <c r="L196" s="122"/>
      <c r="M196" s="122"/>
      <c r="N196" s="122"/>
      <c r="O196" s="96"/>
      <c r="P196" s="7"/>
      <c r="Q196" s="93">
        <v>3.495152312259183</v>
      </c>
      <c r="R196" s="93">
        <v>182.93661941489336</v>
      </c>
      <c r="S196" s="122" t="s">
        <v>1518</v>
      </c>
      <c r="T196" s="7"/>
      <c r="U196" s="7"/>
      <c r="V196" s="122"/>
      <c r="W196" s="122"/>
      <c r="X196" s="122" t="s">
        <v>1518</v>
      </c>
      <c r="Y196" s="7"/>
      <c r="Z196" s="7"/>
      <c r="AA196" s="7"/>
      <c r="AB196" s="7"/>
      <c r="AC196" s="7">
        <v>1</v>
      </c>
      <c r="AD196" s="7"/>
      <c r="AE196" s="7"/>
      <c r="AF196" s="7"/>
      <c r="AG196" s="7"/>
      <c r="AH196" s="7"/>
      <c r="AI196" s="7"/>
      <c r="AJ196" s="7"/>
      <c r="AK196" s="7"/>
      <c r="AL196" s="16">
        <v>45295</v>
      </c>
      <c r="AM196" s="4"/>
      <c r="AN196" s="11" t="s">
        <v>195</v>
      </c>
      <c r="AO196" s="11" t="s">
        <v>211</v>
      </c>
      <c r="AP196" s="4"/>
      <c r="AQ196" s="4"/>
      <c r="AR196" s="11">
        <v>22.5</v>
      </c>
      <c r="AS196" s="11">
        <v>22.5</v>
      </c>
      <c r="AT196" s="11"/>
      <c r="AU196" s="11"/>
    </row>
    <row r="197" spans="1:47" ht="15.75" x14ac:dyDescent="0.25">
      <c r="A197" s="112" t="s">
        <v>1839</v>
      </c>
      <c r="B197" s="6" t="s">
        <v>1840</v>
      </c>
      <c r="C197" s="8" t="s">
        <v>4</v>
      </c>
      <c r="D197" s="8" t="s">
        <v>29</v>
      </c>
      <c r="E197" s="9">
        <v>2</v>
      </c>
      <c r="F197" s="9"/>
      <c r="G197" s="9"/>
      <c r="H197" s="7">
        <v>6</v>
      </c>
      <c r="I197" s="7"/>
      <c r="J197" s="7"/>
      <c r="K197" s="7" t="s">
        <v>120</v>
      </c>
      <c r="L197" s="122"/>
      <c r="M197" s="122"/>
      <c r="N197" s="122"/>
      <c r="O197" s="96"/>
      <c r="P197" s="7"/>
      <c r="Q197" s="93">
        <v>4.6602030830122443</v>
      </c>
      <c r="R197" s="93">
        <v>243.91549255319114</v>
      </c>
      <c r="S197" s="122" t="s">
        <v>1518</v>
      </c>
      <c r="T197" s="7"/>
      <c r="U197" s="7"/>
      <c r="V197" s="122"/>
      <c r="W197" s="122"/>
      <c r="X197" s="122" t="s">
        <v>1518</v>
      </c>
      <c r="Y197" s="7"/>
      <c r="Z197" s="7"/>
      <c r="AA197" s="7"/>
      <c r="AB197" s="7"/>
      <c r="AC197" s="7">
        <v>1</v>
      </c>
      <c r="AD197" s="7"/>
      <c r="AE197" s="7"/>
      <c r="AF197" s="7"/>
      <c r="AG197" s="7"/>
      <c r="AH197" s="7"/>
      <c r="AI197" s="7"/>
      <c r="AJ197" s="7"/>
      <c r="AK197" s="7"/>
      <c r="AL197" s="16">
        <v>45295</v>
      </c>
      <c r="AM197" s="4"/>
      <c r="AN197" s="11" t="s">
        <v>195</v>
      </c>
      <c r="AO197" s="11" t="s">
        <v>211</v>
      </c>
      <c r="AP197" s="4"/>
      <c r="AQ197" s="4"/>
      <c r="AR197" s="11">
        <v>22.5</v>
      </c>
      <c r="AS197" s="11">
        <v>22.5</v>
      </c>
      <c r="AT197" s="11"/>
      <c r="AU197" s="11"/>
    </row>
    <row r="198" spans="1:47" ht="15.75" x14ac:dyDescent="0.25">
      <c r="A198" s="112" t="s">
        <v>1527</v>
      </c>
      <c r="B198" s="6" t="s">
        <v>1299</v>
      </c>
      <c r="C198" s="8" t="s">
        <v>4</v>
      </c>
      <c r="D198" s="8" t="s">
        <v>54</v>
      </c>
      <c r="E198" s="9">
        <v>12</v>
      </c>
      <c r="F198" s="9">
        <v>15</v>
      </c>
      <c r="G198" s="9"/>
      <c r="H198" s="7">
        <v>6</v>
      </c>
      <c r="I198" s="7"/>
      <c r="J198" s="7"/>
      <c r="K198" s="7" t="s">
        <v>14</v>
      </c>
      <c r="L198" s="122"/>
      <c r="M198" s="122"/>
      <c r="N198" s="122"/>
      <c r="O198" s="96"/>
      <c r="P198" s="14">
        <v>0.3</v>
      </c>
      <c r="Q198" s="93">
        <v>16.552595829761422</v>
      </c>
      <c r="R198" s="93">
        <v>218.6711904761903</v>
      </c>
      <c r="S198" s="122" t="s">
        <v>1518</v>
      </c>
      <c r="T198" s="7"/>
      <c r="U198" s="7"/>
      <c r="V198" s="122"/>
      <c r="W198" s="122"/>
      <c r="X198" s="122" t="s">
        <v>1518</v>
      </c>
      <c r="Y198" s="7"/>
      <c r="Z198" s="7">
        <v>1</v>
      </c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16">
        <v>45295</v>
      </c>
      <c r="AM198" s="4"/>
      <c r="AN198" s="6" t="s">
        <v>999</v>
      </c>
      <c r="AO198" s="4" t="s">
        <v>143</v>
      </c>
      <c r="AP198" s="4"/>
      <c r="AQ198" s="4"/>
      <c r="AR198" s="53">
        <v>200</v>
      </c>
      <c r="AS198" s="53">
        <v>400</v>
      </c>
      <c r="AT198" s="11"/>
      <c r="AU198" s="11"/>
    </row>
    <row r="199" spans="1:47" ht="15.75" x14ac:dyDescent="0.25">
      <c r="A199" s="112" t="s">
        <v>1528</v>
      </c>
      <c r="B199" s="6" t="s">
        <v>1299</v>
      </c>
      <c r="C199" s="8" t="s">
        <v>4</v>
      </c>
      <c r="D199" s="8" t="s">
        <v>54</v>
      </c>
      <c r="E199" s="9">
        <v>12</v>
      </c>
      <c r="F199" s="9">
        <v>15</v>
      </c>
      <c r="G199" s="9"/>
      <c r="H199" s="7">
        <v>6</v>
      </c>
      <c r="I199" s="7"/>
      <c r="J199" s="7"/>
      <c r="K199" s="7" t="s">
        <v>120</v>
      </c>
      <c r="L199" s="122"/>
      <c r="M199" s="122"/>
      <c r="N199" s="122"/>
      <c r="O199" s="96"/>
      <c r="P199" s="14">
        <v>0.3</v>
      </c>
      <c r="Q199" s="93">
        <v>24.82889374464213</v>
      </c>
      <c r="R199" s="93">
        <v>328.00678571428546</v>
      </c>
      <c r="S199" s="122" t="s">
        <v>1518</v>
      </c>
      <c r="T199" s="7"/>
      <c r="U199" s="7"/>
      <c r="V199" s="122"/>
      <c r="W199" s="122"/>
      <c r="X199" s="122" t="s">
        <v>1518</v>
      </c>
      <c r="Y199" s="7"/>
      <c r="Z199" s="7">
        <v>1</v>
      </c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16">
        <v>45295</v>
      </c>
      <c r="AM199" s="4"/>
      <c r="AN199" s="6" t="s">
        <v>999</v>
      </c>
      <c r="AO199" s="4" t="s">
        <v>143</v>
      </c>
      <c r="AP199" s="4"/>
      <c r="AQ199" s="4"/>
      <c r="AR199" s="53">
        <v>200</v>
      </c>
      <c r="AS199" s="53">
        <v>400</v>
      </c>
      <c r="AT199" s="11"/>
      <c r="AU199" s="11"/>
    </row>
    <row r="200" spans="1:47" ht="15.75" x14ac:dyDescent="0.25">
      <c r="A200" s="112" t="s">
        <v>262</v>
      </c>
      <c r="B200" s="6" t="s">
        <v>1300</v>
      </c>
      <c r="C200" s="8" t="s">
        <v>4</v>
      </c>
      <c r="D200" s="8" t="s">
        <v>54</v>
      </c>
      <c r="E200" s="9" t="s">
        <v>962</v>
      </c>
      <c r="F200" s="9"/>
      <c r="G200" s="9"/>
      <c r="H200" s="7"/>
      <c r="I200" s="7"/>
      <c r="J200" s="7"/>
      <c r="K200" s="7"/>
      <c r="L200" s="122"/>
      <c r="M200" s="122"/>
      <c r="N200" s="122"/>
      <c r="O200" s="96"/>
      <c r="P200" s="7"/>
      <c r="Q200" s="93">
        <v>0.54862255127722548</v>
      </c>
      <c r="R200" s="93">
        <v>22.137822580645185</v>
      </c>
      <c r="S200" s="122" t="s">
        <v>1518</v>
      </c>
      <c r="T200" s="7"/>
      <c r="U200" s="7"/>
      <c r="V200" s="122"/>
      <c r="W200" s="122"/>
      <c r="X200" s="122"/>
      <c r="Y200" s="7"/>
      <c r="Z200" s="7"/>
      <c r="AA200" s="7"/>
      <c r="AB200" s="7"/>
      <c r="AC200" s="7"/>
      <c r="AD200" s="7">
        <v>1</v>
      </c>
      <c r="AE200" s="7"/>
      <c r="AF200" s="7"/>
      <c r="AG200" s="7"/>
      <c r="AH200" s="7"/>
      <c r="AI200" s="7"/>
      <c r="AJ200" s="7">
        <v>1</v>
      </c>
      <c r="AK200" s="7"/>
      <c r="AL200" s="16">
        <v>45295</v>
      </c>
      <c r="AM200" s="4"/>
      <c r="AN200" s="4" t="s">
        <v>177</v>
      </c>
      <c r="AO200" s="4"/>
      <c r="AP200" s="4"/>
      <c r="AQ200" s="4"/>
      <c r="AR200" s="11">
        <v>450</v>
      </c>
      <c r="AS200" s="11"/>
      <c r="AT200" s="11"/>
      <c r="AU200" s="11"/>
    </row>
    <row r="201" spans="1:47" ht="15.75" x14ac:dyDescent="0.25">
      <c r="A201" s="112" t="s">
        <v>263</v>
      </c>
      <c r="B201" s="6" t="s">
        <v>1301</v>
      </c>
      <c r="C201" s="8" t="s">
        <v>4</v>
      </c>
      <c r="D201" s="9" t="s">
        <v>17</v>
      </c>
      <c r="E201" s="9" t="s">
        <v>962</v>
      </c>
      <c r="F201" s="9"/>
      <c r="G201" s="9"/>
      <c r="H201" s="7"/>
      <c r="I201" s="7"/>
      <c r="J201" s="7"/>
      <c r="K201" s="7"/>
      <c r="L201" s="122"/>
      <c r="M201" s="122"/>
      <c r="N201" s="122"/>
      <c r="O201" s="96"/>
      <c r="P201" s="7"/>
      <c r="Q201" s="93">
        <v>0.83934837092731995</v>
      </c>
      <c r="R201" s="93">
        <v>65.299268004722563</v>
      </c>
      <c r="S201" s="122" t="s">
        <v>1518</v>
      </c>
      <c r="T201" s="7"/>
      <c r="U201" s="7"/>
      <c r="V201" s="122" t="s">
        <v>1518</v>
      </c>
      <c r="W201" s="122"/>
      <c r="X201" s="122" t="s">
        <v>1518</v>
      </c>
      <c r="Y201" s="7"/>
      <c r="Z201" s="7"/>
      <c r="AA201" s="7"/>
      <c r="AB201" s="7">
        <v>1</v>
      </c>
      <c r="AC201" s="7"/>
      <c r="AD201" s="7"/>
      <c r="AE201" s="7"/>
      <c r="AF201" s="7"/>
      <c r="AG201" s="7"/>
      <c r="AH201" s="7"/>
      <c r="AI201" s="7"/>
      <c r="AJ201" s="7"/>
      <c r="AK201" s="7"/>
      <c r="AL201" s="16">
        <v>45295</v>
      </c>
      <c r="AM201" s="4"/>
      <c r="AN201" s="4" t="s">
        <v>264</v>
      </c>
      <c r="AO201" s="4"/>
      <c r="AP201" s="4"/>
      <c r="AQ201" s="4"/>
      <c r="AR201" s="11">
        <v>680</v>
      </c>
      <c r="AS201" s="11"/>
      <c r="AT201" s="11"/>
      <c r="AU201" s="11"/>
    </row>
    <row r="202" spans="1:47" ht="15.75" x14ac:dyDescent="0.25">
      <c r="A202" s="112" t="s">
        <v>266</v>
      </c>
      <c r="B202" s="6" t="s">
        <v>1304</v>
      </c>
      <c r="C202" s="8" t="s">
        <v>4</v>
      </c>
      <c r="D202" s="9" t="s">
        <v>26</v>
      </c>
      <c r="E202" s="9" t="s">
        <v>962</v>
      </c>
      <c r="F202" s="9"/>
      <c r="G202" s="9"/>
      <c r="H202" s="7"/>
      <c r="I202" s="7"/>
      <c r="J202" s="7"/>
      <c r="K202" s="7"/>
      <c r="L202" s="122"/>
      <c r="M202" s="122"/>
      <c r="N202" s="122"/>
      <c r="O202" s="96"/>
      <c r="P202" s="7"/>
      <c r="Q202" s="93">
        <v>0.54862255127722548</v>
      </c>
      <c r="R202" s="93">
        <v>22.137822580645185</v>
      </c>
      <c r="S202" s="122" t="s">
        <v>1518</v>
      </c>
      <c r="T202" s="7"/>
      <c r="U202" s="7"/>
      <c r="V202" s="122" t="s">
        <v>1518</v>
      </c>
      <c r="W202" s="122"/>
      <c r="X202" s="122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>
        <v>1</v>
      </c>
      <c r="AK202" s="7"/>
      <c r="AL202" s="16">
        <v>45295</v>
      </c>
      <c r="AM202" s="4"/>
      <c r="AN202" s="4" t="s">
        <v>177</v>
      </c>
      <c r="AO202" s="4"/>
      <c r="AP202" s="4"/>
      <c r="AQ202" s="4"/>
      <c r="AR202" s="11">
        <v>450</v>
      </c>
      <c r="AS202" s="11"/>
      <c r="AT202" s="11"/>
      <c r="AU202" s="11"/>
    </row>
    <row r="203" spans="1:47" ht="15.75" x14ac:dyDescent="0.25">
      <c r="A203" s="112" t="s">
        <v>1643</v>
      </c>
      <c r="B203" s="6" t="s">
        <v>1644</v>
      </c>
      <c r="C203" s="8" t="s">
        <v>4</v>
      </c>
      <c r="D203" s="8" t="s">
        <v>17</v>
      </c>
      <c r="E203" s="9">
        <v>3</v>
      </c>
      <c r="F203" s="9"/>
      <c r="G203" s="9"/>
      <c r="H203" s="7"/>
      <c r="I203" s="7"/>
      <c r="J203" s="7"/>
      <c r="K203" s="7"/>
      <c r="L203" s="122"/>
      <c r="M203" s="122"/>
      <c r="N203" s="122"/>
      <c r="O203" s="96"/>
      <c r="P203" s="7"/>
      <c r="Q203" s="93">
        <v>2.8008459820015257</v>
      </c>
      <c r="R203" s="93">
        <v>188.27777777777837</v>
      </c>
      <c r="S203" s="122" t="s">
        <v>1518</v>
      </c>
      <c r="T203" s="7"/>
      <c r="U203" s="7"/>
      <c r="V203" s="122"/>
      <c r="W203" s="122"/>
      <c r="X203" s="122" t="s">
        <v>1518</v>
      </c>
      <c r="Y203" s="7"/>
      <c r="Z203" s="7"/>
      <c r="AA203" s="7"/>
      <c r="AB203" s="7"/>
      <c r="AC203" s="7"/>
      <c r="AD203" s="7">
        <v>1</v>
      </c>
      <c r="AE203" s="7"/>
      <c r="AF203" s="7"/>
      <c r="AG203" s="7"/>
      <c r="AH203" s="7"/>
      <c r="AI203" s="7"/>
      <c r="AJ203" s="7"/>
      <c r="AK203" s="7"/>
      <c r="AL203" s="16">
        <v>45295</v>
      </c>
      <c r="AM203" s="4"/>
      <c r="AN203" s="4" t="s">
        <v>234</v>
      </c>
      <c r="AO203" s="4"/>
      <c r="AP203" s="4"/>
      <c r="AQ203" s="4"/>
      <c r="AR203" s="11">
        <v>400</v>
      </c>
      <c r="AS203" s="11"/>
      <c r="AT203" s="11"/>
      <c r="AU203" s="11"/>
    </row>
    <row r="204" spans="1:47" ht="15.75" x14ac:dyDescent="0.25">
      <c r="A204" s="112" t="s">
        <v>1873</v>
      </c>
      <c r="B204" s="6" t="s">
        <v>1874</v>
      </c>
      <c r="C204" s="8" t="s">
        <v>4</v>
      </c>
      <c r="D204" s="8" t="s">
        <v>109</v>
      </c>
      <c r="E204" s="8">
        <v>9</v>
      </c>
      <c r="F204" s="8"/>
      <c r="G204" s="8"/>
      <c r="H204" s="7"/>
      <c r="I204" s="7"/>
      <c r="J204" s="7"/>
      <c r="K204" s="7"/>
      <c r="L204" s="122"/>
      <c r="M204" s="122"/>
      <c r="N204" s="122"/>
      <c r="O204" s="96"/>
      <c r="P204" s="7"/>
      <c r="Q204" s="93">
        <v>0</v>
      </c>
      <c r="R204" s="93">
        <v>0</v>
      </c>
      <c r="S204" s="122"/>
      <c r="T204" s="7"/>
      <c r="U204" s="7"/>
      <c r="V204" s="122"/>
      <c r="W204" s="122"/>
      <c r="X204" s="122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16">
        <v>45295</v>
      </c>
      <c r="AM204" s="4"/>
      <c r="AN204" s="4" t="s">
        <v>228</v>
      </c>
      <c r="AO204" s="4"/>
      <c r="AP204" s="4"/>
      <c r="AQ204" s="4"/>
      <c r="AR204" s="11">
        <v>360</v>
      </c>
      <c r="AS204" s="11"/>
      <c r="AT204" s="11"/>
      <c r="AU204" s="11"/>
    </row>
    <row r="205" spans="1:47" ht="15.75" x14ac:dyDescent="0.25">
      <c r="A205" s="112" t="s">
        <v>1645</v>
      </c>
      <c r="B205" s="6" t="s">
        <v>1646</v>
      </c>
      <c r="C205" s="8" t="s">
        <v>4</v>
      </c>
      <c r="D205" s="8"/>
      <c r="E205" s="9">
        <v>5</v>
      </c>
      <c r="F205" s="9"/>
      <c r="G205" s="9"/>
      <c r="H205" s="7"/>
      <c r="I205" s="7"/>
      <c r="J205" s="7"/>
      <c r="K205" s="7"/>
      <c r="L205" s="122"/>
      <c r="M205" s="122"/>
      <c r="N205" s="122"/>
      <c r="O205" s="96"/>
      <c r="P205" s="7"/>
      <c r="Q205" s="93">
        <v>0.12819947377256399</v>
      </c>
      <c r="R205" s="93">
        <v>134.78977272727238</v>
      </c>
      <c r="S205" s="122" t="s">
        <v>1518</v>
      </c>
      <c r="T205" s="7"/>
      <c r="U205" s="7"/>
      <c r="V205" s="122"/>
      <c r="W205" s="122"/>
      <c r="X205" s="122" t="s">
        <v>1518</v>
      </c>
      <c r="Y205" s="7"/>
      <c r="Z205" s="7"/>
      <c r="AA205" s="7">
        <v>1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16">
        <v>45295</v>
      </c>
      <c r="AM205" s="4"/>
      <c r="AN205" s="6" t="s">
        <v>1017</v>
      </c>
      <c r="AO205" s="4"/>
      <c r="AP205" s="4"/>
      <c r="AQ205" s="4"/>
      <c r="AR205" s="11">
        <v>700</v>
      </c>
      <c r="AS205" s="11"/>
      <c r="AT205" s="11"/>
      <c r="AU205" s="11"/>
    </row>
    <row r="206" spans="1:47" ht="15.75" x14ac:dyDescent="0.25">
      <c r="A206" s="112" t="s">
        <v>941</v>
      </c>
      <c r="B206" s="6" t="s">
        <v>1308</v>
      </c>
      <c r="C206" s="8" t="s">
        <v>4</v>
      </c>
      <c r="D206" s="8" t="s">
        <v>1536</v>
      </c>
      <c r="E206" s="9">
        <v>5</v>
      </c>
      <c r="F206" s="9">
        <v>15</v>
      </c>
      <c r="G206" s="9"/>
      <c r="H206" s="7"/>
      <c r="I206" s="7"/>
      <c r="J206" s="7"/>
      <c r="K206" s="7"/>
      <c r="L206" s="122"/>
      <c r="M206" s="122"/>
      <c r="N206" s="122"/>
      <c r="O206" s="96"/>
      <c r="P206" s="7"/>
      <c r="Q206" s="93">
        <v>0.23315293144346194</v>
      </c>
      <c r="R206" s="93">
        <v>107.63926136363615</v>
      </c>
      <c r="S206" s="122" t="s">
        <v>1518</v>
      </c>
      <c r="T206" s="7"/>
      <c r="U206" s="7"/>
      <c r="V206" s="122"/>
      <c r="W206" s="122"/>
      <c r="X206" s="122" t="s">
        <v>1518</v>
      </c>
      <c r="Y206" s="7"/>
      <c r="Z206" s="7"/>
      <c r="AA206" s="7">
        <v>1</v>
      </c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16">
        <v>45295</v>
      </c>
      <c r="AM206" s="4"/>
      <c r="AN206" s="6" t="s">
        <v>1017</v>
      </c>
      <c r="AO206" s="6" t="s">
        <v>1015</v>
      </c>
      <c r="AP206" s="4"/>
      <c r="AQ206" s="4"/>
      <c r="AR206" s="11">
        <v>350</v>
      </c>
      <c r="AS206" s="11">
        <v>150</v>
      </c>
      <c r="AT206" s="11"/>
      <c r="AU206" s="11"/>
    </row>
    <row r="207" spans="1:47" ht="15.75" x14ac:dyDescent="0.25">
      <c r="A207" s="112" t="s">
        <v>1309</v>
      </c>
      <c r="B207" s="6" t="s">
        <v>1310</v>
      </c>
      <c r="C207" s="8" t="s">
        <v>4</v>
      </c>
      <c r="D207" s="8" t="s">
        <v>54</v>
      </c>
      <c r="E207" s="9">
        <v>34</v>
      </c>
      <c r="F207" s="9"/>
      <c r="G207" s="9"/>
      <c r="H207" s="7"/>
      <c r="I207" s="7"/>
      <c r="J207" s="7"/>
      <c r="K207" s="7"/>
      <c r="L207" s="122"/>
      <c r="M207" s="122"/>
      <c r="N207" s="122"/>
      <c r="O207" s="96"/>
      <c r="P207" s="7"/>
      <c r="Q207" s="93">
        <v>4.1306204920660977E-2</v>
      </c>
      <c r="R207" s="93">
        <v>122.00399999999995</v>
      </c>
      <c r="S207" s="122"/>
      <c r="T207" s="7"/>
      <c r="U207" s="7"/>
      <c r="V207" s="122"/>
      <c r="W207" s="122"/>
      <c r="X207" s="122"/>
      <c r="Y207" s="7"/>
      <c r="Z207" s="7"/>
      <c r="AA207" s="7">
        <v>1</v>
      </c>
      <c r="AB207" s="7">
        <v>1</v>
      </c>
      <c r="AC207" s="7"/>
      <c r="AD207" s="7">
        <v>1</v>
      </c>
      <c r="AE207" s="7"/>
      <c r="AF207" s="7">
        <v>1</v>
      </c>
      <c r="AG207" s="7">
        <v>1</v>
      </c>
      <c r="AH207" s="7">
        <v>1</v>
      </c>
      <c r="AI207" s="7">
        <v>1</v>
      </c>
      <c r="AJ207" s="7">
        <v>1</v>
      </c>
      <c r="AK207" s="7"/>
      <c r="AL207" s="16">
        <v>45295</v>
      </c>
      <c r="AM207" s="4"/>
      <c r="AN207" s="11" t="s">
        <v>178</v>
      </c>
      <c r="AO207" s="4"/>
      <c r="AP207" s="4"/>
      <c r="AQ207" s="4"/>
      <c r="AR207" s="11">
        <v>360</v>
      </c>
      <c r="AS207" s="11"/>
      <c r="AT207" s="11"/>
      <c r="AU207" s="11"/>
    </row>
    <row r="208" spans="1:47" ht="28.5" x14ac:dyDescent="0.25">
      <c r="A208" s="112" t="s">
        <v>267</v>
      </c>
      <c r="B208" s="6" t="s">
        <v>1313</v>
      </c>
      <c r="C208" s="8" t="s">
        <v>4</v>
      </c>
      <c r="D208" s="8" t="s">
        <v>959</v>
      </c>
      <c r="E208" s="9">
        <v>2</v>
      </c>
      <c r="F208" s="9">
        <v>2</v>
      </c>
      <c r="G208" s="9">
        <v>12</v>
      </c>
      <c r="H208" s="7"/>
      <c r="I208" s="7">
        <v>3</v>
      </c>
      <c r="J208" s="7"/>
      <c r="K208" s="7"/>
      <c r="L208" s="122"/>
      <c r="M208" s="122"/>
      <c r="N208" s="122"/>
      <c r="O208" s="96"/>
      <c r="P208" s="14">
        <v>0.3</v>
      </c>
      <c r="Q208" s="93">
        <v>11.529593842330964</v>
      </c>
      <c r="R208" s="93">
        <v>873.72732502499935</v>
      </c>
      <c r="S208" s="122" t="s">
        <v>1518</v>
      </c>
      <c r="T208" s="7"/>
      <c r="U208" s="7"/>
      <c r="V208" s="122" t="s">
        <v>1518</v>
      </c>
      <c r="W208" s="122"/>
      <c r="X208" s="122"/>
      <c r="Y208" s="7"/>
      <c r="Z208" s="7">
        <v>1</v>
      </c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16">
        <v>45295</v>
      </c>
      <c r="AM208" s="4"/>
      <c r="AN208" s="11" t="s">
        <v>133</v>
      </c>
      <c r="AO208" s="6" t="s">
        <v>1006</v>
      </c>
      <c r="AP208" s="6" t="s">
        <v>999</v>
      </c>
      <c r="AQ208" s="6" t="s">
        <v>1007</v>
      </c>
      <c r="AR208" s="11">
        <v>2.5</v>
      </c>
      <c r="AS208" s="11">
        <v>7.5</v>
      </c>
      <c r="AT208" s="11">
        <v>50</v>
      </c>
      <c r="AU208" s="11">
        <v>22.5</v>
      </c>
    </row>
    <row r="209" spans="1:47" ht="15.75" x14ac:dyDescent="0.25">
      <c r="A209" s="112" t="s">
        <v>914</v>
      </c>
      <c r="B209" s="6" t="s">
        <v>1314</v>
      </c>
      <c r="C209" s="8" t="s">
        <v>4</v>
      </c>
      <c r="D209" s="8" t="s">
        <v>21</v>
      </c>
      <c r="E209" s="8">
        <v>2</v>
      </c>
      <c r="F209" s="8">
        <v>2</v>
      </c>
      <c r="G209" s="8">
        <v>2</v>
      </c>
      <c r="H209" s="7"/>
      <c r="I209" s="7">
        <v>6</v>
      </c>
      <c r="J209" s="7"/>
      <c r="K209" s="7"/>
      <c r="L209" s="122"/>
      <c r="M209" s="122"/>
      <c r="N209" s="122"/>
      <c r="O209" s="96"/>
      <c r="P209" s="14"/>
      <c r="Q209" s="165">
        <v>2.3851657935837638</v>
      </c>
      <c r="R209" s="93">
        <v>1469.5411272613785</v>
      </c>
      <c r="S209" s="122" t="s">
        <v>1518</v>
      </c>
      <c r="T209" s="7"/>
      <c r="U209" s="7"/>
      <c r="V209" s="122" t="s">
        <v>1518</v>
      </c>
      <c r="W209" s="122"/>
      <c r="X209" s="122"/>
      <c r="Y209" s="7"/>
      <c r="Z209" s="7">
        <v>1</v>
      </c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16">
        <v>45295</v>
      </c>
      <c r="AM209" s="4"/>
      <c r="AN209" s="4" t="s">
        <v>133</v>
      </c>
      <c r="AO209" s="4" t="s">
        <v>1006</v>
      </c>
      <c r="AP209" s="4" t="s">
        <v>116</v>
      </c>
      <c r="AQ209" s="4" t="s">
        <v>1007</v>
      </c>
      <c r="AR209" s="11">
        <v>45</v>
      </c>
      <c r="AS209" s="11">
        <v>45</v>
      </c>
      <c r="AT209" s="11">
        <v>37.5</v>
      </c>
      <c r="AU209" s="11">
        <v>135</v>
      </c>
    </row>
    <row r="210" spans="1:47" ht="15.75" x14ac:dyDescent="0.25">
      <c r="A210" s="112" t="s">
        <v>940</v>
      </c>
      <c r="B210" s="6" t="s">
        <v>1315</v>
      </c>
      <c r="C210" s="8" t="s">
        <v>4</v>
      </c>
      <c r="D210" s="8" t="s">
        <v>13</v>
      </c>
      <c r="E210" s="9">
        <v>15</v>
      </c>
      <c r="F210" s="9"/>
      <c r="G210" s="9"/>
      <c r="H210" s="7"/>
      <c r="I210" s="7"/>
      <c r="J210" s="7"/>
      <c r="K210" s="7" t="s">
        <v>14</v>
      </c>
      <c r="L210" s="122"/>
      <c r="M210" s="122"/>
      <c r="N210" s="122"/>
      <c r="O210" s="96"/>
      <c r="P210" s="7"/>
      <c r="Q210" s="93">
        <v>7.5491503505291222</v>
      </c>
      <c r="R210" s="93">
        <v>60.653243847874926</v>
      </c>
      <c r="S210" s="122" t="s">
        <v>1518</v>
      </c>
      <c r="T210" s="7"/>
      <c r="U210" s="7"/>
      <c r="V210" s="122"/>
      <c r="W210" s="122"/>
      <c r="X210" s="122" t="s">
        <v>1518</v>
      </c>
      <c r="Y210" s="7" t="s">
        <v>7</v>
      </c>
      <c r="Z210" s="7">
        <v>1</v>
      </c>
      <c r="AA210" s="7"/>
      <c r="AB210" s="7">
        <v>1</v>
      </c>
      <c r="AC210" s="7"/>
      <c r="AD210" s="7"/>
      <c r="AE210" s="7"/>
      <c r="AF210" s="7"/>
      <c r="AG210" s="7"/>
      <c r="AH210" s="7"/>
      <c r="AI210" s="7"/>
      <c r="AJ210" s="7"/>
      <c r="AK210" s="7"/>
      <c r="AL210" s="16">
        <v>45295</v>
      </c>
      <c r="AM210" s="4"/>
      <c r="AN210" s="11" t="s">
        <v>131</v>
      </c>
      <c r="AO210" s="4"/>
      <c r="AP210" s="4"/>
      <c r="AQ210" s="4"/>
      <c r="AR210" s="11">
        <v>800</v>
      </c>
      <c r="AS210" s="11"/>
      <c r="AT210" s="11"/>
      <c r="AU210" s="11"/>
    </row>
    <row r="211" spans="1:47" ht="28.5" x14ac:dyDescent="0.25">
      <c r="A211" s="112" t="s">
        <v>1941</v>
      </c>
      <c r="B211" s="6" t="s">
        <v>1318</v>
      </c>
      <c r="C211" s="8" t="s">
        <v>4</v>
      </c>
      <c r="D211" s="8" t="s">
        <v>21</v>
      </c>
      <c r="E211" s="9">
        <v>2</v>
      </c>
      <c r="F211" s="9">
        <v>2</v>
      </c>
      <c r="G211" s="9">
        <v>2</v>
      </c>
      <c r="H211" s="7"/>
      <c r="I211" s="7">
        <v>6</v>
      </c>
      <c r="J211" s="7"/>
      <c r="K211" s="7" t="s">
        <v>14</v>
      </c>
      <c r="L211" s="122"/>
      <c r="M211" s="122"/>
      <c r="N211" s="122"/>
      <c r="O211" s="96"/>
      <c r="P211" s="7"/>
      <c r="Q211" s="93">
        <v>0.75071715453940546</v>
      </c>
      <c r="R211" s="93">
        <v>396.14247135661662</v>
      </c>
      <c r="S211" s="122" t="s">
        <v>1518</v>
      </c>
      <c r="T211" s="7"/>
      <c r="U211" s="7"/>
      <c r="V211" s="122" t="s">
        <v>1518</v>
      </c>
      <c r="W211" s="122"/>
      <c r="X211" s="122"/>
      <c r="Y211" s="7"/>
      <c r="Z211" s="7">
        <v>1</v>
      </c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16">
        <v>45295</v>
      </c>
      <c r="AM211" s="4"/>
      <c r="AN211" s="11" t="s">
        <v>133</v>
      </c>
      <c r="AO211" s="6" t="s">
        <v>1006</v>
      </c>
      <c r="AP211" s="4" t="s">
        <v>185</v>
      </c>
      <c r="AQ211" s="6" t="s">
        <v>1007</v>
      </c>
      <c r="AR211" s="11">
        <v>10</v>
      </c>
      <c r="AS211" s="11">
        <v>30</v>
      </c>
      <c r="AT211" s="11">
        <v>50</v>
      </c>
      <c r="AU211" s="11">
        <v>90</v>
      </c>
    </row>
    <row r="212" spans="1:47" ht="28.5" x14ac:dyDescent="0.25">
      <c r="A212" s="112" t="s">
        <v>1942</v>
      </c>
      <c r="B212" s="6" t="s">
        <v>1318</v>
      </c>
      <c r="C212" s="8" t="s">
        <v>4</v>
      </c>
      <c r="D212" s="8" t="s">
        <v>21</v>
      </c>
      <c r="E212" s="9">
        <v>2</v>
      </c>
      <c r="F212" s="9">
        <v>2</v>
      </c>
      <c r="G212" s="9">
        <v>2</v>
      </c>
      <c r="H212" s="7"/>
      <c r="I212" s="7">
        <v>20</v>
      </c>
      <c r="J212" s="7"/>
      <c r="K212" s="7" t="s">
        <v>14</v>
      </c>
      <c r="L212" s="122"/>
      <c r="M212" s="122"/>
      <c r="N212" s="122"/>
      <c r="O212" s="96"/>
      <c r="P212" s="7"/>
      <c r="Q212" s="93">
        <v>1.5014343090788109</v>
      </c>
      <c r="R212" s="93">
        <v>792.28494271323325</v>
      </c>
      <c r="S212" s="122" t="s">
        <v>1518</v>
      </c>
      <c r="T212" s="7"/>
      <c r="U212" s="7"/>
      <c r="V212" s="122" t="s">
        <v>1518</v>
      </c>
      <c r="W212" s="122"/>
      <c r="X212" s="122"/>
      <c r="Y212" s="7"/>
      <c r="Z212" s="7">
        <v>1</v>
      </c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16">
        <v>45295</v>
      </c>
      <c r="AM212" s="4"/>
      <c r="AN212" s="11" t="s">
        <v>133</v>
      </c>
      <c r="AO212" s="6" t="s">
        <v>1006</v>
      </c>
      <c r="AP212" s="4" t="s">
        <v>185</v>
      </c>
      <c r="AQ212" s="6" t="s">
        <v>1007</v>
      </c>
      <c r="AR212" s="11">
        <v>10</v>
      </c>
      <c r="AS212" s="11">
        <v>30</v>
      </c>
      <c r="AT212" s="11">
        <v>50</v>
      </c>
      <c r="AU212" s="11">
        <v>90</v>
      </c>
    </row>
    <row r="213" spans="1:47" ht="24.75" x14ac:dyDescent="0.25">
      <c r="A213" s="112" t="s">
        <v>1321</v>
      </c>
      <c r="B213" s="6" t="s">
        <v>1322</v>
      </c>
      <c r="C213" s="9" t="s">
        <v>4</v>
      </c>
      <c r="D213" s="9" t="s">
        <v>17</v>
      </c>
      <c r="E213" s="9">
        <v>6</v>
      </c>
      <c r="F213" s="9"/>
      <c r="G213" s="9"/>
      <c r="H213" s="7"/>
      <c r="I213" s="7">
        <v>3</v>
      </c>
      <c r="J213" s="7"/>
      <c r="K213" s="7"/>
      <c r="L213" s="122" t="s">
        <v>1518</v>
      </c>
      <c r="M213" s="122" t="s">
        <v>1518</v>
      </c>
      <c r="N213" s="122" t="s">
        <v>1518</v>
      </c>
      <c r="O213" s="96" t="s">
        <v>1521</v>
      </c>
      <c r="P213" s="14"/>
      <c r="Q213" s="93">
        <v>1.0963567907586515E-2</v>
      </c>
      <c r="R213" s="93">
        <v>74.844761538461754</v>
      </c>
      <c r="S213" s="122" t="s">
        <v>1518</v>
      </c>
      <c r="T213" s="7"/>
      <c r="U213" s="7"/>
      <c r="V213" s="122" t="s">
        <v>1518</v>
      </c>
      <c r="W213" s="122"/>
      <c r="X213" s="122" t="s">
        <v>1518</v>
      </c>
      <c r="Y213" s="7"/>
      <c r="Z213" s="7">
        <v>1</v>
      </c>
      <c r="AA213" s="7"/>
      <c r="AB213" s="7">
        <v>1</v>
      </c>
      <c r="AC213" s="7">
        <v>1</v>
      </c>
      <c r="AD213" s="7"/>
      <c r="AE213" s="7"/>
      <c r="AF213" s="7">
        <v>1</v>
      </c>
      <c r="AG213" s="7">
        <v>1</v>
      </c>
      <c r="AH213" s="7"/>
      <c r="AI213" s="7"/>
      <c r="AJ213" s="7"/>
      <c r="AK213" s="7">
        <v>1</v>
      </c>
      <c r="AL213" s="16">
        <v>45295</v>
      </c>
      <c r="AM213" s="16"/>
      <c r="AN213" s="11" t="s">
        <v>161</v>
      </c>
      <c r="AO213" s="11"/>
      <c r="AP213" s="4"/>
      <c r="AQ213" s="4"/>
      <c r="AR213" s="11">
        <v>870</v>
      </c>
      <c r="AS213" s="11"/>
      <c r="AT213" s="11"/>
      <c r="AU213" s="11"/>
    </row>
    <row r="214" spans="1:47" ht="15.75" x14ac:dyDescent="0.25">
      <c r="A214" s="112" t="s">
        <v>956</v>
      </c>
      <c r="B214" s="6" t="s">
        <v>1323</v>
      </c>
      <c r="C214" s="8" t="s">
        <v>4</v>
      </c>
      <c r="D214" s="8" t="s">
        <v>13</v>
      </c>
      <c r="E214" s="9">
        <v>3</v>
      </c>
      <c r="F214" s="9"/>
      <c r="G214" s="9"/>
      <c r="H214" s="7"/>
      <c r="I214" s="7"/>
      <c r="J214" s="7"/>
      <c r="K214" s="7"/>
      <c r="L214" s="122"/>
      <c r="M214" s="122"/>
      <c r="N214" s="122"/>
      <c r="O214" s="96"/>
      <c r="P214" s="14">
        <v>0.3</v>
      </c>
      <c r="Q214" s="93">
        <v>28.017591244955252</v>
      </c>
      <c r="R214" s="93">
        <v>20.232835820895463</v>
      </c>
      <c r="S214" s="122" t="s">
        <v>1518</v>
      </c>
      <c r="T214" s="7"/>
      <c r="U214" s="7"/>
      <c r="V214" s="122"/>
      <c r="W214" s="122"/>
      <c r="X214" s="122"/>
      <c r="Y214" s="7"/>
      <c r="Z214" s="7">
        <v>1</v>
      </c>
      <c r="AA214" s="7"/>
      <c r="AB214" s="7"/>
      <c r="AC214" s="7">
        <v>1</v>
      </c>
      <c r="AD214" s="7"/>
      <c r="AE214" s="7">
        <v>1</v>
      </c>
      <c r="AF214" s="7">
        <v>1</v>
      </c>
      <c r="AG214" s="7"/>
      <c r="AH214" s="7"/>
      <c r="AI214" s="7">
        <v>1</v>
      </c>
      <c r="AJ214" s="7"/>
      <c r="AK214" s="7">
        <v>1</v>
      </c>
      <c r="AL214" s="16">
        <v>45295</v>
      </c>
      <c r="AM214" s="4"/>
      <c r="AN214" s="6" t="s">
        <v>1000</v>
      </c>
      <c r="AO214" s="11"/>
      <c r="AP214" s="4"/>
      <c r="AQ214" s="4"/>
      <c r="AR214" s="11">
        <v>400</v>
      </c>
      <c r="AS214" s="11"/>
      <c r="AT214" s="11"/>
      <c r="AU214" s="11"/>
    </row>
    <row r="215" spans="1:47" ht="15.75" x14ac:dyDescent="0.25">
      <c r="A215" s="112" t="s">
        <v>2051</v>
      </c>
      <c r="B215" s="6" t="s">
        <v>2052</v>
      </c>
      <c r="C215" s="9" t="s">
        <v>4</v>
      </c>
      <c r="D215" s="9" t="s">
        <v>109</v>
      </c>
      <c r="E215" s="9">
        <v>3</v>
      </c>
      <c r="F215" s="9"/>
      <c r="G215" s="9"/>
      <c r="H215" s="7"/>
      <c r="I215" s="7"/>
      <c r="J215" s="7"/>
      <c r="K215" s="7"/>
      <c r="L215" s="122"/>
      <c r="M215" s="122"/>
      <c r="N215" s="122"/>
      <c r="O215" s="96"/>
      <c r="P215" s="14">
        <v>0.3</v>
      </c>
      <c r="Q215" s="93">
        <f t="shared" ref="Q215" si="8">+BM215</f>
        <v>0</v>
      </c>
      <c r="R215" s="93">
        <f t="shared" ref="R215" si="9">+BR215</f>
        <v>0</v>
      </c>
      <c r="S215" s="122" t="s">
        <v>1518</v>
      </c>
      <c r="T215" s="7"/>
      <c r="U215" s="7"/>
      <c r="V215" s="122"/>
      <c r="W215" s="122"/>
      <c r="X215" s="122" t="s">
        <v>1518</v>
      </c>
      <c r="Y215" s="7"/>
      <c r="Z215" s="7">
        <v>1</v>
      </c>
      <c r="AA215" s="7"/>
      <c r="AB215" s="7">
        <v>1</v>
      </c>
      <c r="AC215" s="7">
        <v>1</v>
      </c>
      <c r="AD215" s="7"/>
      <c r="AE215" s="7">
        <v>1</v>
      </c>
      <c r="AF215" s="7">
        <v>1</v>
      </c>
      <c r="AG215" s="7"/>
      <c r="AH215" s="7"/>
      <c r="AI215" s="7"/>
      <c r="AJ215" s="7"/>
      <c r="AK215" s="7">
        <v>1</v>
      </c>
      <c r="AL215" s="16">
        <v>45383</v>
      </c>
      <c r="AM215" s="4"/>
      <c r="AN215" s="6" t="s">
        <v>1000</v>
      </c>
      <c r="AO215" s="11"/>
      <c r="AP215" s="4"/>
      <c r="AQ215" s="4"/>
      <c r="AR215" s="11">
        <v>400</v>
      </c>
      <c r="AS215" s="11"/>
      <c r="AT215" s="11"/>
      <c r="AU215" s="11"/>
    </row>
    <row r="216" spans="1:47" ht="15.75" x14ac:dyDescent="0.25">
      <c r="A216" s="112" t="s">
        <v>268</v>
      </c>
      <c r="B216" s="6" t="s">
        <v>1324</v>
      </c>
      <c r="C216" s="8" t="s">
        <v>4</v>
      </c>
      <c r="D216" s="8" t="s">
        <v>54</v>
      </c>
      <c r="E216" s="9">
        <v>5</v>
      </c>
      <c r="F216" s="9"/>
      <c r="G216" s="9"/>
      <c r="H216" s="7"/>
      <c r="I216" s="7"/>
      <c r="J216" s="7"/>
      <c r="K216" s="7"/>
      <c r="L216" s="122"/>
      <c r="M216" s="122"/>
      <c r="N216" s="122"/>
      <c r="O216" s="96"/>
      <c r="P216" s="7"/>
      <c r="Q216" s="93">
        <v>2.9479888141859618</v>
      </c>
      <c r="R216" s="93">
        <v>1.8827777777777825</v>
      </c>
      <c r="S216" s="122" t="s">
        <v>1518</v>
      </c>
      <c r="T216" s="7"/>
      <c r="U216" s="7"/>
      <c r="V216" s="122" t="s">
        <v>1518</v>
      </c>
      <c r="W216" s="122"/>
      <c r="X216" s="122" t="s">
        <v>1518</v>
      </c>
      <c r="Y216" s="7"/>
      <c r="Z216" s="7"/>
      <c r="AA216" s="7">
        <v>1</v>
      </c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16">
        <v>45295</v>
      </c>
      <c r="AM216" s="4"/>
      <c r="AN216" s="11" t="s">
        <v>163</v>
      </c>
      <c r="AO216" s="11"/>
      <c r="AP216" s="4"/>
      <c r="AQ216" s="4"/>
      <c r="AR216" s="11">
        <v>160</v>
      </c>
      <c r="AS216" s="11"/>
      <c r="AT216" s="11"/>
      <c r="AU216" s="11"/>
    </row>
    <row r="217" spans="1:47" ht="15.75" x14ac:dyDescent="0.25">
      <c r="A217" s="112" t="s">
        <v>269</v>
      </c>
      <c r="B217" s="6" t="s">
        <v>1327</v>
      </c>
      <c r="C217" s="8" t="s">
        <v>4</v>
      </c>
      <c r="D217" s="9" t="s">
        <v>26</v>
      </c>
      <c r="E217" s="9">
        <v>4</v>
      </c>
      <c r="F217" s="9">
        <v>4</v>
      </c>
      <c r="G217" s="9"/>
      <c r="H217" s="7"/>
      <c r="I217" s="7"/>
      <c r="J217" s="7"/>
      <c r="K217" s="7"/>
      <c r="L217" s="122" t="s">
        <v>1518</v>
      </c>
      <c r="M217" s="122" t="s">
        <v>1518</v>
      </c>
      <c r="N217" s="122"/>
      <c r="O217" s="96"/>
      <c r="P217" s="7"/>
      <c r="Q217" s="93">
        <v>0</v>
      </c>
      <c r="R217" s="93">
        <v>0</v>
      </c>
      <c r="S217" s="122" t="s">
        <v>1518</v>
      </c>
      <c r="T217" s="7"/>
      <c r="U217" s="7"/>
      <c r="V217" s="122" t="s">
        <v>1518</v>
      </c>
      <c r="W217" s="122" t="s">
        <v>1518</v>
      </c>
      <c r="X217" s="122" t="s">
        <v>1518</v>
      </c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>
        <v>1</v>
      </c>
      <c r="AL217" s="16">
        <v>45295</v>
      </c>
      <c r="AM217" s="4"/>
      <c r="AN217" s="11" t="s">
        <v>126</v>
      </c>
      <c r="AO217" s="11" t="s">
        <v>224</v>
      </c>
      <c r="AP217" s="4"/>
      <c r="AQ217" s="4"/>
      <c r="AR217" s="11">
        <v>60</v>
      </c>
      <c r="AS217" s="11">
        <v>240</v>
      </c>
      <c r="AT217" s="11"/>
      <c r="AU217" s="11"/>
    </row>
    <row r="218" spans="1:47" ht="15.75" x14ac:dyDescent="0.25">
      <c r="A218" s="92" t="s">
        <v>1590</v>
      </c>
      <c r="B218" s="6" t="s">
        <v>1591</v>
      </c>
      <c r="C218" s="8" t="s">
        <v>4</v>
      </c>
      <c r="D218" s="8" t="s">
        <v>26</v>
      </c>
      <c r="E218" s="9">
        <v>4</v>
      </c>
      <c r="F218" s="9">
        <v>4</v>
      </c>
      <c r="G218" s="9"/>
      <c r="H218" s="7"/>
      <c r="I218" s="7">
        <v>6</v>
      </c>
      <c r="J218" s="7"/>
      <c r="K218" s="7"/>
      <c r="L218" s="122"/>
      <c r="M218" s="122"/>
      <c r="N218" s="122"/>
      <c r="O218" s="96"/>
      <c r="P218" s="14"/>
      <c r="Q218" s="93">
        <v>0.33336208871290962</v>
      </c>
      <c r="R218" s="93">
        <v>145.8394502340991</v>
      </c>
      <c r="S218" s="122" t="s">
        <v>1518</v>
      </c>
      <c r="T218" s="7"/>
      <c r="U218" s="7"/>
      <c r="V218" s="122" t="s">
        <v>1518</v>
      </c>
      <c r="W218" s="122"/>
      <c r="X218" s="122"/>
      <c r="Y218" s="7"/>
      <c r="Z218" s="7">
        <v>1</v>
      </c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16">
        <v>45295</v>
      </c>
      <c r="AM218" s="4"/>
      <c r="AN218" s="11" t="s">
        <v>215</v>
      </c>
      <c r="AO218" s="4" t="s">
        <v>1592</v>
      </c>
      <c r="AP218" s="4" t="s">
        <v>300</v>
      </c>
      <c r="AQ218" s="4"/>
      <c r="AR218" s="11">
        <v>280</v>
      </c>
      <c r="AS218" s="11">
        <v>12.5</v>
      </c>
      <c r="AT218" s="11">
        <v>12</v>
      </c>
      <c r="AU218" s="11"/>
    </row>
    <row r="219" spans="1:47" ht="15.75" x14ac:dyDescent="0.25">
      <c r="A219" s="112" t="s">
        <v>270</v>
      </c>
      <c r="B219" s="6" t="s">
        <v>1329</v>
      </c>
      <c r="C219" s="8" t="s">
        <v>4</v>
      </c>
      <c r="D219" s="9" t="s">
        <v>26</v>
      </c>
      <c r="E219" s="9">
        <v>4</v>
      </c>
      <c r="F219" s="9">
        <v>4</v>
      </c>
      <c r="G219" s="9"/>
      <c r="H219" s="7">
        <v>6</v>
      </c>
      <c r="I219" s="7"/>
      <c r="J219" s="7">
        <v>6</v>
      </c>
      <c r="K219" s="7" t="s">
        <v>14</v>
      </c>
      <c r="L219" s="122"/>
      <c r="M219" s="122"/>
      <c r="N219" s="122"/>
      <c r="O219" s="96"/>
      <c r="P219" s="7"/>
      <c r="Q219" s="93">
        <v>2.6944291739012294</v>
      </c>
      <c r="R219" s="93">
        <v>381.78506373355282</v>
      </c>
      <c r="S219" s="122" t="s">
        <v>1518</v>
      </c>
      <c r="T219" s="7"/>
      <c r="U219" s="7"/>
      <c r="V219" s="122" t="s">
        <v>1518</v>
      </c>
      <c r="W219" s="122"/>
      <c r="X219" s="122" t="s">
        <v>1518</v>
      </c>
      <c r="Y219" s="7" t="s">
        <v>7</v>
      </c>
      <c r="Z219" s="7">
        <v>1</v>
      </c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>
        <v>1</v>
      </c>
      <c r="AL219" s="16">
        <v>45295</v>
      </c>
      <c r="AM219" s="4"/>
      <c r="AN219" s="6" t="s">
        <v>1022</v>
      </c>
      <c r="AO219" s="6" t="s">
        <v>112</v>
      </c>
      <c r="AP219" s="4"/>
      <c r="AQ219" s="4"/>
      <c r="AR219" s="11">
        <v>405</v>
      </c>
      <c r="AS219" s="11">
        <v>170</v>
      </c>
      <c r="AT219" s="11"/>
      <c r="AU219" s="11"/>
    </row>
    <row r="220" spans="1:47" ht="15.75" x14ac:dyDescent="0.25">
      <c r="A220" s="112" t="s">
        <v>272</v>
      </c>
      <c r="B220" s="6" t="s">
        <v>1334</v>
      </c>
      <c r="C220" s="8" t="s">
        <v>4</v>
      </c>
      <c r="D220" s="8" t="s">
        <v>21</v>
      </c>
      <c r="E220" s="9">
        <v>2</v>
      </c>
      <c r="F220" s="9"/>
      <c r="G220" s="9"/>
      <c r="H220" s="7"/>
      <c r="I220" s="7">
        <v>6</v>
      </c>
      <c r="J220" s="7"/>
      <c r="K220" s="7"/>
      <c r="L220" s="122"/>
      <c r="M220" s="122"/>
      <c r="N220" s="122"/>
      <c r="O220" s="96"/>
      <c r="P220" s="7"/>
      <c r="Q220" s="93">
        <v>0.29587704119930397</v>
      </c>
      <c r="R220" s="93">
        <v>143.11655405405398</v>
      </c>
      <c r="S220" s="122" t="s">
        <v>1518</v>
      </c>
      <c r="T220" s="7"/>
      <c r="U220" s="7"/>
      <c r="V220" s="122"/>
      <c r="W220" s="122"/>
      <c r="X220" s="122"/>
      <c r="Y220" s="7"/>
      <c r="Z220" s="7">
        <v>1</v>
      </c>
      <c r="AA220" s="7"/>
      <c r="AB220" s="7"/>
      <c r="AC220" s="7">
        <v>1</v>
      </c>
      <c r="AD220" s="7"/>
      <c r="AE220" s="7"/>
      <c r="AF220" s="7"/>
      <c r="AG220" s="7"/>
      <c r="AH220" s="7"/>
      <c r="AI220" s="7"/>
      <c r="AJ220" s="7"/>
      <c r="AK220" s="7"/>
      <c r="AL220" s="16">
        <v>45295</v>
      </c>
      <c r="AM220" s="4"/>
      <c r="AN220" s="6" t="s">
        <v>1010</v>
      </c>
      <c r="AO220" s="4"/>
      <c r="AP220" s="4"/>
      <c r="AQ220" s="4"/>
      <c r="AR220" s="11">
        <v>50</v>
      </c>
      <c r="AS220" s="11"/>
      <c r="AT220" s="11"/>
      <c r="AU220" s="11"/>
    </row>
    <row r="221" spans="1:47" ht="15.75" x14ac:dyDescent="0.25">
      <c r="A221" s="116" t="s">
        <v>1871</v>
      </c>
      <c r="B221" s="6" t="s">
        <v>1338</v>
      </c>
      <c r="C221" s="54" t="s">
        <v>4</v>
      </c>
      <c r="D221" s="9" t="s">
        <v>26</v>
      </c>
      <c r="E221" s="9">
        <v>5</v>
      </c>
      <c r="F221" s="9"/>
      <c r="G221" s="9"/>
      <c r="H221" s="50"/>
      <c r="I221" s="50">
        <v>6</v>
      </c>
      <c r="J221" s="50"/>
      <c r="K221" s="50"/>
      <c r="L221" s="123"/>
      <c r="M221" s="123"/>
      <c r="N221" s="123"/>
      <c r="O221" s="97"/>
      <c r="P221" s="50"/>
      <c r="Q221" s="93">
        <v>0.75974662004126803</v>
      </c>
      <c r="R221" s="93">
        <v>185.69863013698622</v>
      </c>
      <c r="S221" s="123" t="s">
        <v>1518</v>
      </c>
      <c r="T221" s="50"/>
      <c r="U221" s="50"/>
      <c r="V221" s="123"/>
      <c r="W221" s="123"/>
      <c r="X221" s="123" t="s">
        <v>1518</v>
      </c>
      <c r="Y221" s="50"/>
      <c r="Z221" s="50"/>
      <c r="AA221" s="50"/>
      <c r="AB221" s="50"/>
      <c r="AC221" s="50"/>
      <c r="AD221" s="50"/>
      <c r="AE221" s="50">
        <v>1</v>
      </c>
      <c r="AF221" s="50"/>
      <c r="AG221" s="50">
        <v>1</v>
      </c>
      <c r="AH221" s="50"/>
      <c r="AI221" s="50"/>
      <c r="AJ221" s="50"/>
      <c r="AK221" s="50"/>
      <c r="AL221" s="16">
        <v>45295</v>
      </c>
      <c r="AM221" s="51"/>
      <c r="AN221" s="6" t="s">
        <v>1032</v>
      </c>
      <c r="AO221" s="51"/>
      <c r="AP221" s="51"/>
      <c r="AQ221" s="51"/>
      <c r="AR221" s="53">
        <v>500</v>
      </c>
      <c r="AS221" s="53"/>
      <c r="AT221" s="53"/>
      <c r="AU221" s="53"/>
    </row>
    <row r="222" spans="1:47" ht="15.75" x14ac:dyDescent="0.25">
      <c r="A222" s="116" t="s">
        <v>1872</v>
      </c>
      <c r="B222" s="6" t="s">
        <v>1338</v>
      </c>
      <c r="C222" s="54" t="s">
        <v>4</v>
      </c>
      <c r="D222" s="9" t="s">
        <v>26</v>
      </c>
      <c r="E222" s="9">
        <v>5</v>
      </c>
      <c r="F222" s="9"/>
      <c r="G222" s="9"/>
      <c r="H222" s="50"/>
      <c r="I222" s="50">
        <v>20</v>
      </c>
      <c r="J222" s="50"/>
      <c r="K222" s="50"/>
      <c r="L222" s="123"/>
      <c r="M222" s="123"/>
      <c r="N222" s="123"/>
      <c r="O222" s="97"/>
      <c r="P222" s="50"/>
      <c r="Q222" s="93">
        <v>0.56980996503095105</v>
      </c>
      <c r="R222" s="93">
        <v>139.27397260273966</v>
      </c>
      <c r="S222" s="123" t="s">
        <v>1518</v>
      </c>
      <c r="T222" s="50"/>
      <c r="U222" s="50"/>
      <c r="V222" s="123"/>
      <c r="W222" s="123"/>
      <c r="X222" s="123" t="s">
        <v>1518</v>
      </c>
      <c r="Y222" s="50"/>
      <c r="Z222" s="50"/>
      <c r="AA222" s="50"/>
      <c r="AB222" s="50">
        <v>1</v>
      </c>
      <c r="AC222" s="50"/>
      <c r="AD222" s="50"/>
      <c r="AE222" s="50"/>
      <c r="AF222" s="50"/>
      <c r="AG222" s="50"/>
      <c r="AH222" s="50"/>
      <c r="AI222" s="50"/>
      <c r="AJ222" s="50"/>
      <c r="AK222" s="50"/>
      <c r="AL222" s="16">
        <v>45295</v>
      </c>
      <c r="AM222" s="51"/>
      <c r="AN222" s="6" t="s">
        <v>1032</v>
      </c>
      <c r="AO222" s="51"/>
      <c r="AP222" s="51"/>
      <c r="AQ222" s="51"/>
      <c r="AR222" s="53">
        <v>500</v>
      </c>
      <c r="AS222" s="53"/>
      <c r="AT222" s="53"/>
      <c r="AU222" s="53"/>
    </row>
    <row r="223" spans="1:47" ht="15.75" x14ac:dyDescent="0.25">
      <c r="A223" s="114" t="s">
        <v>1340</v>
      </c>
      <c r="B223" s="6" t="s">
        <v>1341</v>
      </c>
      <c r="C223" s="8" t="s">
        <v>4</v>
      </c>
      <c r="D223" s="8" t="s">
        <v>54</v>
      </c>
      <c r="E223" s="9">
        <v>1</v>
      </c>
      <c r="F223" s="9"/>
      <c r="G223" s="9"/>
      <c r="H223" s="7"/>
      <c r="I223" s="7"/>
      <c r="J223" s="7"/>
      <c r="K223" s="7"/>
      <c r="L223" s="122"/>
      <c r="M223" s="122"/>
      <c r="N223" s="122"/>
      <c r="O223" s="96"/>
      <c r="P223" s="7"/>
      <c r="Q223" s="93">
        <v>0.33114035087719268</v>
      </c>
      <c r="R223" s="93">
        <v>6.777999999999988</v>
      </c>
      <c r="S223" s="122" t="s">
        <v>1518</v>
      </c>
      <c r="T223" s="7"/>
      <c r="U223" s="7"/>
      <c r="V223" s="122" t="s">
        <v>1518</v>
      </c>
      <c r="W223" s="122"/>
      <c r="X223" s="122"/>
      <c r="Y223" s="7"/>
      <c r="Z223" s="7"/>
      <c r="AA223" s="7">
        <v>1</v>
      </c>
      <c r="AB223" s="7">
        <v>1</v>
      </c>
      <c r="AC223" s="7"/>
      <c r="AD223" s="7">
        <v>1</v>
      </c>
      <c r="AE223" s="7"/>
      <c r="AF223" s="7">
        <v>1</v>
      </c>
      <c r="AG223" s="7">
        <v>1</v>
      </c>
      <c r="AH223" s="7">
        <v>1</v>
      </c>
      <c r="AI223" s="7"/>
      <c r="AJ223" s="7"/>
      <c r="AK223" s="7"/>
      <c r="AL223" s="16">
        <v>45295</v>
      </c>
      <c r="AM223" s="4"/>
      <c r="AN223" s="4" t="s">
        <v>665</v>
      </c>
      <c r="AO223" s="4"/>
      <c r="AP223" s="4"/>
      <c r="AQ223" s="4"/>
      <c r="AR223" s="11">
        <v>100</v>
      </c>
      <c r="AS223" s="11"/>
      <c r="AT223" s="11"/>
      <c r="AU223" s="11"/>
    </row>
    <row r="224" spans="1:47" ht="15.75" x14ac:dyDescent="0.25">
      <c r="A224" s="112" t="s">
        <v>1342</v>
      </c>
      <c r="B224" s="6" t="s">
        <v>1343</v>
      </c>
      <c r="C224" s="8" t="s">
        <v>4</v>
      </c>
      <c r="D224" s="8" t="s">
        <v>54</v>
      </c>
      <c r="E224" s="9">
        <v>3</v>
      </c>
      <c r="F224" s="9"/>
      <c r="G224" s="9"/>
      <c r="H224" s="7"/>
      <c r="I224" s="7"/>
      <c r="J224" s="7"/>
      <c r="K224" s="7"/>
      <c r="L224" s="122"/>
      <c r="M224" s="122"/>
      <c r="N224" s="122"/>
      <c r="O224" s="96"/>
      <c r="P224" s="7"/>
      <c r="Q224" s="93">
        <v>2.8008459820015257</v>
      </c>
      <c r="R224" s="93">
        <v>188.27777777777837</v>
      </c>
      <c r="S224" s="122" t="s">
        <v>1518</v>
      </c>
      <c r="T224" s="7"/>
      <c r="U224" s="7"/>
      <c r="V224" s="122"/>
      <c r="W224" s="122"/>
      <c r="X224" s="122" t="s">
        <v>1518</v>
      </c>
      <c r="Y224" s="7"/>
      <c r="Z224" s="7"/>
      <c r="AA224" s="7"/>
      <c r="AB224" s="7"/>
      <c r="AC224" s="7"/>
      <c r="AD224" s="7">
        <v>1</v>
      </c>
      <c r="AE224" s="7"/>
      <c r="AF224" s="7"/>
      <c r="AG224" s="7"/>
      <c r="AH224" s="7"/>
      <c r="AI224" s="7"/>
      <c r="AJ224" s="7"/>
      <c r="AK224" s="7"/>
      <c r="AL224" s="16">
        <v>45295</v>
      </c>
      <c r="AM224" s="4"/>
      <c r="AN224" s="11" t="s">
        <v>234</v>
      </c>
      <c r="AO224" s="4"/>
      <c r="AP224" s="4"/>
      <c r="AQ224" s="4"/>
      <c r="AR224" s="11">
        <v>400</v>
      </c>
      <c r="AS224" s="11"/>
      <c r="AT224" s="11"/>
      <c r="AU224" s="11"/>
    </row>
    <row r="225" spans="1:47" ht="15.75" x14ac:dyDescent="0.25">
      <c r="A225" s="112" t="s">
        <v>274</v>
      </c>
      <c r="B225" s="6" t="s">
        <v>1346</v>
      </c>
      <c r="C225" s="8" t="s">
        <v>4</v>
      </c>
      <c r="D225" s="9" t="s">
        <v>26</v>
      </c>
      <c r="E225" s="9">
        <v>1</v>
      </c>
      <c r="F225" s="9"/>
      <c r="G225" s="9"/>
      <c r="H225" s="7"/>
      <c r="I225" s="7"/>
      <c r="J225" s="7"/>
      <c r="K225" s="7"/>
      <c r="L225" s="122"/>
      <c r="M225" s="122"/>
      <c r="N225" s="122"/>
      <c r="O225" s="96"/>
      <c r="P225" s="7"/>
      <c r="Q225" s="93">
        <v>1.0293092624625886</v>
      </c>
      <c r="R225" s="93">
        <v>67.673062338906789</v>
      </c>
      <c r="S225" s="122" t="s">
        <v>1518</v>
      </c>
      <c r="T225" s="7"/>
      <c r="U225" s="7"/>
      <c r="V225" s="122"/>
      <c r="W225" s="122"/>
      <c r="X225" s="122" t="s">
        <v>1518</v>
      </c>
      <c r="Y225" s="7"/>
      <c r="Z225" s="7">
        <v>1</v>
      </c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16">
        <v>45295</v>
      </c>
      <c r="AM225" s="4"/>
      <c r="AN225" s="6" t="s">
        <v>1027</v>
      </c>
      <c r="AO225" s="6" t="s">
        <v>1007</v>
      </c>
      <c r="AP225" s="4"/>
      <c r="AQ225" s="4"/>
      <c r="AR225" s="11">
        <v>69</v>
      </c>
      <c r="AS225" s="11">
        <v>75</v>
      </c>
      <c r="AT225" s="11"/>
      <c r="AU225" s="11"/>
    </row>
    <row r="226" spans="1:47" ht="15.75" x14ac:dyDescent="0.25">
      <c r="A226" s="112" t="s">
        <v>278</v>
      </c>
      <c r="B226" s="6" t="s">
        <v>1348</v>
      </c>
      <c r="C226" s="8" t="s">
        <v>4</v>
      </c>
      <c r="D226" s="8" t="s">
        <v>54</v>
      </c>
      <c r="E226" s="9">
        <v>6</v>
      </c>
      <c r="F226" s="9"/>
      <c r="G226" s="9"/>
      <c r="H226" s="7"/>
      <c r="I226" s="7">
        <v>3</v>
      </c>
      <c r="J226" s="7">
        <v>3</v>
      </c>
      <c r="K226" s="7"/>
      <c r="L226" s="122"/>
      <c r="M226" s="122"/>
      <c r="N226" s="122"/>
      <c r="O226" s="96"/>
      <c r="P226" s="7"/>
      <c r="Q226" s="93">
        <v>1.7338419741698434</v>
      </c>
      <c r="R226" s="93">
        <v>92.240927419354591</v>
      </c>
      <c r="S226" s="122" t="s">
        <v>1518</v>
      </c>
      <c r="T226" s="7"/>
      <c r="U226" s="7"/>
      <c r="V226" s="122" t="s">
        <v>1518</v>
      </c>
      <c r="W226" s="122"/>
      <c r="X226" s="122" t="s">
        <v>1518</v>
      </c>
      <c r="Y226" s="7" t="s">
        <v>7</v>
      </c>
      <c r="Z226" s="7"/>
      <c r="AA226" s="7"/>
      <c r="AB226" s="7"/>
      <c r="AC226" s="7"/>
      <c r="AD226" s="7">
        <v>1</v>
      </c>
      <c r="AE226" s="7"/>
      <c r="AF226" s="7"/>
      <c r="AG226" s="7"/>
      <c r="AH226" s="7"/>
      <c r="AI226" s="7"/>
      <c r="AJ226" s="7"/>
      <c r="AK226" s="7"/>
      <c r="AL226" s="16">
        <v>45295</v>
      </c>
      <c r="AM226" s="4"/>
      <c r="AN226" s="4" t="s">
        <v>249</v>
      </c>
      <c r="AO226" s="4"/>
      <c r="AP226" s="4"/>
      <c r="AQ226" s="4"/>
      <c r="AR226" s="11">
        <v>450</v>
      </c>
      <c r="AS226" s="11"/>
      <c r="AT226" s="11"/>
      <c r="AU226" s="11"/>
    </row>
    <row r="227" spans="1:47" ht="15.75" x14ac:dyDescent="0.25">
      <c r="A227" s="114" t="s">
        <v>1864</v>
      </c>
      <c r="B227" s="6" t="s">
        <v>1865</v>
      </c>
      <c r="C227" s="8" t="s">
        <v>4</v>
      </c>
      <c r="D227" s="9" t="s">
        <v>17</v>
      </c>
      <c r="E227" s="9">
        <v>4</v>
      </c>
      <c r="F227" s="9"/>
      <c r="G227" s="9"/>
      <c r="H227" s="7"/>
      <c r="I227" s="7"/>
      <c r="J227" s="7">
        <v>3</v>
      </c>
      <c r="K227" s="7"/>
      <c r="L227" s="122"/>
      <c r="M227" s="122"/>
      <c r="N227" s="122"/>
      <c r="O227" s="96"/>
      <c r="P227" s="7"/>
      <c r="Q227" s="93">
        <v>4.9309339318677828E-4</v>
      </c>
      <c r="R227" s="93">
        <v>28.10299034482766</v>
      </c>
      <c r="S227" s="122" t="s">
        <v>1518</v>
      </c>
      <c r="T227" s="7"/>
      <c r="U227" s="7"/>
      <c r="V227" s="122"/>
      <c r="W227" s="122"/>
      <c r="X227" s="122"/>
      <c r="Y227" s="7"/>
      <c r="Z227" s="7"/>
      <c r="AA227" s="7">
        <v>1</v>
      </c>
      <c r="AB227" s="7"/>
      <c r="AC227" s="7"/>
      <c r="AD227" s="7">
        <v>1</v>
      </c>
      <c r="AE227" s="7"/>
      <c r="AF227" s="7"/>
      <c r="AG227" s="7"/>
      <c r="AH227" s="7"/>
      <c r="AI227" s="7"/>
      <c r="AJ227" s="7"/>
      <c r="AK227" s="7">
        <v>1</v>
      </c>
      <c r="AL227" s="16">
        <v>45295</v>
      </c>
      <c r="AM227" s="4"/>
      <c r="AN227" s="11" t="s">
        <v>126</v>
      </c>
      <c r="AO227" s="4"/>
      <c r="AP227" s="4"/>
      <c r="AQ227" s="4"/>
      <c r="AR227" s="11">
        <v>720</v>
      </c>
      <c r="AS227" s="11"/>
      <c r="AT227" s="11"/>
      <c r="AU227" s="11"/>
    </row>
    <row r="228" spans="1:47" ht="24.75" x14ac:dyDescent="0.25">
      <c r="A228" s="112" t="s">
        <v>279</v>
      </c>
      <c r="B228" s="6" t="s">
        <v>1354</v>
      </c>
      <c r="C228" s="8" t="s">
        <v>4</v>
      </c>
      <c r="D228" s="8" t="s">
        <v>13</v>
      </c>
      <c r="E228" s="9">
        <v>2</v>
      </c>
      <c r="F228" s="9">
        <v>2</v>
      </c>
      <c r="G228" s="9"/>
      <c r="H228" s="7">
        <v>20</v>
      </c>
      <c r="I228" s="7">
        <v>6</v>
      </c>
      <c r="J228" s="7"/>
      <c r="K228" s="7" t="s">
        <v>120</v>
      </c>
      <c r="L228" s="122" t="s">
        <v>1518</v>
      </c>
      <c r="M228" s="122" t="s">
        <v>1518</v>
      </c>
      <c r="N228" s="122"/>
      <c r="O228" s="96" t="s">
        <v>1523</v>
      </c>
      <c r="P228" s="7"/>
      <c r="Q228" s="93">
        <v>5.6939984745543892</v>
      </c>
      <c r="R228" s="93">
        <v>1113.2126639524658</v>
      </c>
      <c r="S228" s="122" t="s">
        <v>1518</v>
      </c>
      <c r="T228" s="7"/>
      <c r="U228" s="7"/>
      <c r="V228" s="122"/>
      <c r="W228" s="122" t="s">
        <v>1518</v>
      </c>
      <c r="X228" s="122"/>
      <c r="Y228" s="7"/>
      <c r="Z228" s="7">
        <v>1</v>
      </c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16">
        <v>45295</v>
      </c>
      <c r="AM228" s="4"/>
      <c r="AN228" s="11" t="s">
        <v>193</v>
      </c>
      <c r="AO228" s="6" t="s">
        <v>1009</v>
      </c>
      <c r="AP228" s="4"/>
      <c r="AQ228" s="4"/>
      <c r="AR228" s="11">
        <v>333</v>
      </c>
      <c r="AS228" s="11">
        <v>167</v>
      </c>
      <c r="AT228" s="11"/>
      <c r="AU228" s="11"/>
    </row>
    <row r="229" spans="1:47" ht="15.75" x14ac:dyDescent="0.25">
      <c r="A229" s="112" t="s">
        <v>1934</v>
      </c>
      <c r="B229" s="6" t="s">
        <v>1935</v>
      </c>
      <c r="C229" s="8" t="s">
        <v>4</v>
      </c>
      <c r="D229" s="8" t="s">
        <v>13</v>
      </c>
      <c r="E229" s="9">
        <v>2</v>
      </c>
      <c r="F229" s="9"/>
      <c r="G229" s="9"/>
      <c r="H229" s="7"/>
      <c r="I229" s="7">
        <v>20</v>
      </c>
      <c r="J229" s="7"/>
      <c r="K229" s="7"/>
      <c r="L229" s="122"/>
      <c r="M229" s="122"/>
      <c r="N229" s="122"/>
      <c r="O229" s="96"/>
      <c r="P229" s="7"/>
      <c r="Q229" s="93">
        <v>1.9835475161625682</v>
      </c>
      <c r="R229" s="93">
        <v>546.61290322580703</v>
      </c>
      <c r="S229" s="122" t="s">
        <v>1518</v>
      </c>
      <c r="T229" s="7"/>
      <c r="U229" s="7"/>
      <c r="V229" s="122" t="s">
        <v>1518</v>
      </c>
      <c r="W229" s="122"/>
      <c r="X229" s="122"/>
      <c r="Y229" s="7"/>
      <c r="Z229" s="7"/>
      <c r="AA229" s="7"/>
      <c r="AB229" s="7">
        <v>1</v>
      </c>
      <c r="AC229" s="7">
        <v>1</v>
      </c>
      <c r="AD229" s="7"/>
      <c r="AE229" s="7"/>
      <c r="AF229" s="7"/>
      <c r="AG229" s="7"/>
      <c r="AH229" s="7"/>
      <c r="AI229" s="7"/>
      <c r="AJ229" s="7"/>
      <c r="AK229" s="7"/>
      <c r="AL229" s="16">
        <v>45295</v>
      </c>
      <c r="AM229" s="4"/>
      <c r="AN229" s="11" t="s">
        <v>138</v>
      </c>
      <c r="AO229" s="11"/>
      <c r="AP229" s="4"/>
      <c r="AQ229" s="4"/>
      <c r="AR229" s="11">
        <v>250</v>
      </c>
      <c r="AS229" s="11"/>
      <c r="AT229" s="11"/>
      <c r="AU229" s="11"/>
    </row>
    <row r="230" spans="1:47" ht="15.75" x14ac:dyDescent="0.25">
      <c r="A230" s="112" t="s">
        <v>280</v>
      </c>
      <c r="B230" s="6" t="s">
        <v>1358</v>
      </c>
      <c r="C230" s="9" t="s">
        <v>4</v>
      </c>
      <c r="D230" s="8" t="s">
        <v>21</v>
      </c>
      <c r="E230" s="9">
        <v>15</v>
      </c>
      <c r="F230" s="9">
        <v>34</v>
      </c>
      <c r="G230" s="9"/>
      <c r="H230" s="7">
        <v>20</v>
      </c>
      <c r="I230" s="7"/>
      <c r="J230" s="7"/>
      <c r="K230" s="7" t="s">
        <v>14</v>
      </c>
      <c r="L230" s="122" t="s">
        <v>1518</v>
      </c>
      <c r="M230" s="122" t="s">
        <v>1518</v>
      </c>
      <c r="N230" s="122"/>
      <c r="O230" s="96" t="s">
        <v>189</v>
      </c>
      <c r="P230" s="7"/>
      <c r="Q230" s="93">
        <v>31.381566345347917</v>
      </c>
      <c r="R230" s="93">
        <v>104.98018604651148</v>
      </c>
      <c r="S230" s="122" t="s">
        <v>1518</v>
      </c>
      <c r="T230" s="7"/>
      <c r="U230" s="7"/>
      <c r="V230" s="122" t="s">
        <v>1518</v>
      </c>
      <c r="W230" s="122"/>
      <c r="X230" s="122" t="s">
        <v>1518</v>
      </c>
      <c r="Y230" s="7"/>
      <c r="Z230" s="7"/>
      <c r="AA230" s="7"/>
      <c r="AB230" s="7"/>
      <c r="AC230" s="7"/>
      <c r="AD230" s="7">
        <v>1</v>
      </c>
      <c r="AE230" s="7"/>
      <c r="AF230" s="7">
        <v>1</v>
      </c>
      <c r="AG230" s="7">
        <v>1</v>
      </c>
      <c r="AH230" s="7"/>
      <c r="AI230" s="7"/>
      <c r="AJ230" s="7"/>
      <c r="AK230" s="7"/>
      <c r="AL230" s="16">
        <v>45295</v>
      </c>
      <c r="AM230" s="4"/>
      <c r="AN230" s="4" t="s">
        <v>190</v>
      </c>
      <c r="AO230" s="4" t="s">
        <v>178</v>
      </c>
      <c r="AP230" s="4"/>
      <c r="AQ230" s="4"/>
      <c r="AR230" s="11">
        <v>400</v>
      </c>
      <c r="AS230" s="11">
        <v>24</v>
      </c>
      <c r="AT230" s="11"/>
      <c r="AU230" s="11"/>
    </row>
    <row r="231" spans="1:47" ht="15.75" x14ac:dyDescent="0.25">
      <c r="A231" s="112" t="s">
        <v>925</v>
      </c>
      <c r="B231" s="6" t="s">
        <v>1360</v>
      </c>
      <c r="C231" s="9" t="s">
        <v>4</v>
      </c>
      <c r="D231" s="8" t="s">
        <v>21</v>
      </c>
      <c r="E231" s="9">
        <v>9</v>
      </c>
      <c r="F231" s="9"/>
      <c r="G231" s="9"/>
      <c r="H231" s="7"/>
      <c r="I231" s="7"/>
      <c r="J231" s="7"/>
      <c r="K231" s="7"/>
      <c r="L231" s="122"/>
      <c r="M231" s="122"/>
      <c r="N231" s="122"/>
      <c r="O231" s="96"/>
      <c r="P231" s="7"/>
      <c r="Q231" s="93">
        <v>0.38650149716110876</v>
      </c>
      <c r="R231" s="93">
        <v>1661.2745098039234</v>
      </c>
      <c r="S231" s="122"/>
      <c r="T231" s="7"/>
      <c r="U231" s="7"/>
      <c r="V231" s="122"/>
      <c r="W231" s="122"/>
      <c r="X231" s="122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16">
        <v>45295</v>
      </c>
      <c r="AM231" s="4"/>
      <c r="AN231" s="11" t="s">
        <v>228</v>
      </c>
      <c r="AO231" s="4"/>
      <c r="AP231" s="4"/>
      <c r="AQ231" s="4"/>
      <c r="AR231" s="11">
        <v>480</v>
      </c>
      <c r="AS231" s="11"/>
      <c r="AT231" s="11"/>
      <c r="AU231" s="11"/>
    </row>
    <row r="232" spans="1:47" ht="15.75" x14ac:dyDescent="0.25">
      <c r="A232" s="112" t="s">
        <v>281</v>
      </c>
      <c r="B232" s="6" t="s">
        <v>1361</v>
      </c>
      <c r="C232" s="9" t="s">
        <v>4</v>
      </c>
      <c r="D232" s="8" t="s">
        <v>17</v>
      </c>
      <c r="E232" s="9">
        <v>9</v>
      </c>
      <c r="F232" s="9"/>
      <c r="G232" s="9"/>
      <c r="H232" s="7"/>
      <c r="I232" s="7"/>
      <c r="J232" s="7"/>
      <c r="K232" s="7"/>
      <c r="L232" s="122"/>
      <c r="M232" s="122"/>
      <c r="N232" s="122"/>
      <c r="O232" s="96"/>
      <c r="P232" s="7"/>
      <c r="Q232" s="93">
        <v>0.38650149716110876</v>
      </c>
      <c r="R232" s="93">
        <v>1661.2745098039234</v>
      </c>
      <c r="S232" s="122"/>
      <c r="T232" s="7"/>
      <c r="U232" s="7"/>
      <c r="V232" s="122"/>
      <c r="W232" s="122"/>
      <c r="X232" s="122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16">
        <v>45295</v>
      </c>
      <c r="AM232" s="4"/>
      <c r="AN232" s="11" t="s">
        <v>228</v>
      </c>
      <c r="AO232" s="4"/>
      <c r="AP232" s="4"/>
      <c r="AQ232" s="4"/>
      <c r="AR232" s="11">
        <v>480</v>
      </c>
      <c r="AS232" s="11"/>
      <c r="AT232" s="11"/>
      <c r="AU232" s="11"/>
    </row>
    <row r="233" spans="1:47" ht="15.75" x14ac:dyDescent="0.25">
      <c r="A233" s="112" t="s">
        <v>282</v>
      </c>
      <c r="B233" s="6" t="s">
        <v>1362</v>
      </c>
      <c r="C233" s="8" t="s">
        <v>4</v>
      </c>
      <c r="D233" s="8" t="s">
        <v>54</v>
      </c>
      <c r="E233" s="9">
        <v>15</v>
      </c>
      <c r="F233" s="9"/>
      <c r="G233" s="9"/>
      <c r="H233" s="7"/>
      <c r="I233" s="7"/>
      <c r="J233" s="7"/>
      <c r="K233" s="7" t="s">
        <v>14</v>
      </c>
      <c r="L233" s="122"/>
      <c r="M233" s="122"/>
      <c r="N233" s="122"/>
      <c r="O233" s="96"/>
      <c r="P233" s="7"/>
      <c r="Q233" s="93">
        <v>7.5491503505291222</v>
      </c>
      <c r="R233" s="93">
        <v>60.653243847874926</v>
      </c>
      <c r="S233" s="122" t="s">
        <v>1518</v>
      </c>
      <c r="T233" s="7"/>
      <c r="U233" s="7"/>
      <c r="V233" s="122" t="s">
        <v>1518</v>
      </c>
      <c r="W233" s="122"/>
      <c r="X233" s="122" t="s">
        <v>1518</v>
      </c>
      <c r="Y233" s="7" t="s">
        <v>7</v>
      </c>
      <c r="Z233" s="7">
        <v>1</v>
      </c>
      <c r="AA233" s="7"/>
      <c r="AB233" s="7">
        <v>1</v>
      </c>
      <c r="AC233" s="7"/>
      <c r="AD233" s="7"/>
      <c r="AE233" s="7"/>
      <c r="AF233" s="7"/>
      <c r="AG233" s="7"/>
      <c r="AH233" s="7"/>
      <c r="AI233" s="7"/>
      <c r="AJ233" s="7"/>
      <c r="AK233" s="7"/>
      <c r="AL233" s="16">
        <v>45295</v>
      </c>
      <c r="AM233" s="4"/>
      <c r="AN233" s="4" t="s">
        <v>131</v>
      </c>
      <c r="AO233" s="4"/>
      <c r="AP233" s="4"/>
      <c r="AQ233" s="4"/>
      <c r="AR233" s="11">
        <v>800</v>
      </c>
      <c r="AS233" s="11"/>
      <c r="AT233" s="11"/>
      <c r="AU233" s="11"/>
    </row>
    <row r="234" spans="1:47" ht="15.75" x14ac:dyDescent="0.25">
      <c r="A234" s="112" t="s">
        <v>1363</v>
      </c>
      <c r="B234" s="6" t="s">
        <v>1364</v>
      </c>
      <c r="C234" s="8" t="s">
        <v>4</v>
      </c>
      <c r="D234" s="9" t="s">
        <v>26</v>
      </c>
      <c r="E234" s="9">
        <v>5</v>
      </c>
      <c r="F234" s="9">
        <v>15</v>
      </c>
      <c r="G234" s="9"/>
      <c r="H234" s="7"/>
      <c r="I234" s="7"/>
      <c r="J234" s="7"/>
      <c r="K234" s="7"/>
      <c r="L234" s="122"/>
      <c r="M234" s="122"/>
      <c r="N234" s="122"/>
      <c r="O234" s="96"/>
      <c r="P234" s="7"/>
      <c r="Q234" s="93">
        <v>3.1016537100744697</v>
      </c>
      <c r="R234" s="93">
        <v>22.422171717171729</v>
      </c>
      <c r="S234" s="122" t="s">
        <v>1518</v>
      </c>
      <c r="T234" s="7"/>
      <c r="U234" s="7"/>
      <c r="V234" s="122"/>
      <c r="W234" s="122"/>
      <c r="X234" s="122"/>
      <c r="Y234" s="7"/>
      <c r="Z234" s="7"/>
      <c r="AA234" s="7">
        <v>1</v>
      </c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16">
        <v>45295</v>
      </c>
      <c r="AM234" s="4"/>
      <c r="AN234" s="11" t="s">
        <v>163</v>
      </c>
      <c r="AO234" s="6" t="s">
        <v>1015</v>
      </c>
      <c r="AP234" s="4"/>
      <c r="AQ234" s="4"/>
      <c r="AR234" s="11">
        <v>80</v>
      </c>
      <c r="AS234" s="11">
        <v>100</v>
      </c>
      <c r="AT234" s="11"/>
      <c r="AU234" s="11"/>
    </row>
    <row r="235" spans="1:47" ht="15.75" x14ac:dyDescent="0.25">
      <c r="A235" s="112" t="s">
        <v>1623</v>
      </c>
      <c r="B235" s="6" t="s">
        <v>1624</v>
      </c>
      <c r="C235" s="8" t="s">
        <v>4</v>
      </c>
      <c r="D235" s="7" t="s">
        <v>26</v>
      </c>
      <c r="E235" s="9">
        <v>1</v>
      </c>
      <c r="F235" s="9"/>
      <c r="G235" s="9"/>
      <c r="H235" s="7"/>
      <c r="I235" s="7"/>
      <c r="J235" s="7"/>
      <c r="K235" s="7"/>
      <c r="L235" s="122"/>
      <c r="M235" s="122"/>
      <c r="N235" s="122"/>
      <c r="O235" s="96"/>
      <c r="P235" s="7"/>
      <c r="Q235" s="93">
        <v>1.4351105541832885E-3</v>
      </c>
      <c r="R235" s="93">
        <v>104.81443298969072</v>
      </c>
      <c r="S235" s="122" t="s">
        <v>1518</v>
      </c>
      <c r="T235" s="7"/>
      <c r="U235" s="7"/>
      <c r="V235" s="122" t="s">
        <v>1518</v>
      </c>
      <c r="W235" s="122"/>
      <c r="X235" s="122" t="s">
        <v>1518</v>
      </c>
      <c r="Y235" s="7"/>
      <c r="Z235" s="7"/>
      <c r="AA235" s="7">
        <v>1</v>
      </c>
      <c r="AB235" s="7">
        <v>1</v>
      </c>
      <c r="AC235" s="7"/>
      <c r="AD235" s="7">
        <v>1</v>
      </c>
      <c r="AE235" s="7">
        <v>1</v>
      </c>
      <c r="AF235" s="7">
        <v>1</v>
      </c>
      <c r="AG235" s="7">
        <v>1</v>
      </c>
      <c r="AH235" s="7">
        <v>1</v>
      </c>
      <c r="AI235" s="7"/>
      <c r="AJ235" s="7">
        <v>1</v>
      </c>
      <c r="AK235" s="7"/>
      <c r="AL235" s="16">
        <v>45295</v>
      </c>
      <c r="AM235" s="4"/>
      <c r="AN235" s="13" t="s">
        <v>1026</v>
      </c>
      <c r="AO235" s="4"/>
      <c r="AP235" s="4"/>
      <c r="AQ235" s="4"/>
      <c r="AR235" s="11">
        <v>100</v>
      </c>
      <c r="AS235" s="11"/>
      <c r="AT235" s="11"/>
      <c r="AU235" s="11"/>
    </row>
    <row r="236" spans="1:47" ht="15.75" x14ac:dyDescent="0.25">
      <c r="A236" s="112" t="s">
        <v>1918</v>
      </c>
      <c r="B236" s="6" t="s">
        <v>1919</v>
      </c>
      <c r="C236" s="8" t="s">
        <v>4</v>
      </c>
      <c r="D236" s="8"/>
      <c r="E236" s="9">
        <v>1</v>
      </c>
      <c r="F236" s="9"/>
      <c r="G236" s="9"/>
      <c r="H236" s="7"/>
      <c r="I236" s="7"/>
      <c r="J236" s="7"/>
      <c r="K236" s="7"/>
      <c r="L236" s="122"/>
      <c r="M236" s="122"/>
      <c r="N236" s="122"/>
      <c r="O236" s="96"/>
      <c r="P236" s="7"/>
      <c r="Q236" s="93">
        <v>0.10543701414231428</v>
      </c>
      <c r="R236" s="93">
        <v>69.828296703296587</v>
      </c>
      <c r="S236" s="122" t="s">
        <v>1518</v>
      </c>
      <c r="T236" s="7"/>
      <c r="U236" s="7"/>
      <c r="V236" s="122"/>
      <c r="W236" s="122"/>
      <c r="X236" s="122"/>
      <c r="Y236" s="7"/>
      <c r="Z236" s="7"/>
      <c r="AA236" s="7">
        <v>1</v>
      </c>
      <c r="AB236" s="7">
        <v>1</v>
      </c>
      <c r="AC236" s="7"/>
      <c r="AD236" s="7">
        <v>1</v>
      </c>
      <c r="AE236" s="7">
        <v>1</v>
      </c>
      <c r="AF236" s="7">
        <v>1</v>
      </c>
      <c r="AG236" s="7">
        <v>1</v>
      </c>
      <c r="AH236" s="7">
        <v>1</v>
      </c>
      <c r="AI236" s="7"/>
      <c r="AJ236" s="7">
        <v>1</v>
      </c>
      <c r="AK236" s="7"/>
      <c r="AL236" s="16">
        <v>45295</v>
      </c>
      <c r="AM236" s="4"/>
      <c r="AN236" s="6" t="s">
        <v>1028</v>
      </c>
      <c r="AO236" s="4"/>
      <c r="AP236" s="4"/>
      <c r="AQ236" s="4"/>
      <c r="AR236" s="11">
        <v>125</v>
      </c>
      <c r="AS236" s="11"/>
      <c r="AT236" s="11"/>
      <c r="AU236" s="11"/>
    </row>
    <row r="237" spans="1:47" ht="15.75" x14ac:dyDescent="0.25">
      <c r="A237" s="112" t="s">
        <v>1365</v>
      </c>
      <c r="B237" s="6" t="s">
        <v>1366</v>
      </c>
      <c r="C237" s="8" t="s">
        <v>4</v>
      </c>
      <c r="D237" s="9" t="s">
        <v>26</v>
      </c>
      <c r="E237" s="9">
        <v>18</v>
      </c>
      <c r="F237" s="9"/>
      <c r="G237" s="9"/>
      <c r="H237" s="7"/>
      <c r="I237" s="7"/>
      <c r="J237" s="7"/>
      <c r="K237" s="7"/>
      <c r="L237" s="122"/>
      <c r="M237" s="122"/>
      <c r="N237" s="122"/>
      <c r="O237" s="96"/>
      <c r="P237" s="7"/>
      <c r="Q237" s="93">
        <v>0.69129891228763585</v>
      </c>
      <c r="R237" s="93">
        <v>739.41818181818405</v>
      </c>
      <c r="S237" s="122" t="s">
        <v>1518</v>
      </c>
      <c r="T237" s="7"/>
      <c r="U237" s="7"/>
      <c r="V237" s="122"/>
      <c r="W237" s="122"/>
      <c r="X237" s="122" t="s">
        <v>1518</v>
      </c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>
        <v>1</v>
      </c>
      <c r="AL237" s="16">
        <v>45295</v>
      </c>
      <c r="AM237" s="4"/>
      <c r="AN237" s="11" t="s">
        <v>994</v>
      </c>
      <c r="AO237" s="6"/>
      <c r="AP237" s="4"/>
      <c r="AQ237" s="4"/>
      <c r="AR237" s="11">
        <v>400</v>
      </c>
      <c r="AS237" s="11"/>
      <c r="AT237" s="11"/>
      <c r="AU237" s="11"/>
    </row>
    <row r="238" spans="1:47" ht="15.75" x14ac:dyDescent="0.25">
      <c r="A238" s="112" t="s">
        <v>927</v>
      </c>
      <c r="B238" s="6" t="s">
        <v>1370</v>
      </c>
      <c r="C238" s="8" t="s">
        <v>4</v>
      </c>
      <c r="D238" s="8" t="s">
        <v>1537</v>
      </c>
      <c r="E238" s="9">
        <v>1</v>
      </c>
      <c r="F238" s="9"/>
      <c r="G238" s="9"/>
      <c r="H238" s="7"/>
      <c r="I238" s="7">
        <v>20</v>
      </c>
      <c r="J238" s="7"/>
      <c r="K238" s="7"/>
      <c r="L238" s="122" t="s">
        <v>1518</v>
      </c>
      <c r="M238" s="122" t="s">
        <v>1518</v>
      </c>
      <c r="N238" s="122"/>
      <c r="O238" s="96"/>
      <c r="P238" s="7"/>
      <c r="Q238" s="93">
        <v>7.4372212022386849E-3</v>
      </c>
      <c r="R238" s="93">
        <v>358.835294117648</v>
      </c>
      <c r="S238" s="122" t="s">
        <v>1518</v>
      </c>
      <c r="T238" s="7"/>
      <c r="U238" s="7"/>
      <c r="V238" s="122" t="s">
        <v>1518</v>
      </c>
      <c r="W238" s="122"/>
      <c r="X238" s="122"/>
      <c r="Y238" s="7"/>
      <c r="Z238" s="7"/>
      <c r="AA238" s="7">
        <v>1</v>
      </c>
      <c r="AB238" s="7">
        <v>1</v>
      </c>
      <c r="AC238" s="7"/>
      <c r="AD238" s="7">
        <v>1</v>
      </c>
      <c r="AE238" s="7">
        <v>1</v>
      </c>
      <c r="AF238" s="7">
        <v>1</v>
      </c>
      <c r="AG238" s="7">
        <v>1</v>
      </c>
      <c r="AH238" s="7"/>
      <c r="AI238" s="7"/>
      <c r="AJ238" s="7">
        <v>1</v>
      </c>
      <c r="AK238" s="7"/>
      <c r="AL238" s="16">
        <v>45295</v>
      </c>
      <c r="AM238" s="4"/>
      <c r="AN238" s="6" t="s">
        <v>1033</v>
      </c>
      <c r="AO238" s="4"/>
      <c r="AP238" s="4"/>
      <c r="AQ238" s="4"/>
      <c r="AR238" s="11">
        <v>240</v>
      </c>
      <c r="AS238" s="11"/>
      <c r="AT238" s="11"/>
      <c r="AU238" s="11"/>
    </row>
    <row r="239" spans="1:47" ht="15.75" x14ac:dyDescent="0.25">
      <c r="A239" s="112" t="s">
        <v>926</v>
      </c>
      <c r="B239" s="6" t="s">
        <v>1370</v>
      </c>
      <c r="C239" s="8" t="s">
        <v>4</v>
      </c>
      <c r="D239" s="8" t="s">
        <v>1537</v>
      </c>
      <c r="E239" s="9">
        <v>1</v>
      </c>
      <c r="F239" s="9"/>
      <c r="G239" s="9"/>
      <c r="H239" s="7"/>
      <c r="I239" s="7">
        <v>6</v>
      </c>
      <c r="J239" s="7"/>
      <c r="K239" s="7"/>
      <c r="L239" s="122" t="s">
        <v>1518</v>
      </c>
      <c r="M239" s="122" t="s">
        <v>1518</v>
      </c>
      <c r="N239" s="122"/>
      <c r="O239" s="96"/>
      <c r="P239" s="7"/>
      <c r="Q239" s="93">
        <v>3.7186106011193425E-3</v>
      </c>
      <c r="R239" s="93">
        <v>179.417647058824</v>
      </c>
      <c r="S239" s="122" t="s">
        <v>1518</v>
      </c>
      <c r="T239" s="7"/>
      <c r="U239" s="7"/>
      <c r="V239" s="122" t="s">
        <v>1518</v>
      </c>
      <c r="W239" s="122"/>
      <c r="X239" s="122"/>
      <c r="Y239" s="7"/>
      <c r="Z239" s="7"/>
      <c r="AA239" s="7">
        <v>1</v>
      </c>
      <c r="AB239" s="7">
        <v>1</v>
      </c>
      <c r="AC239" s="7"/>
      <c r="AD239" s="7">
        <v>1</v>
      </c>
      <c r="AE239" s="7">
        <v>1</v>
      </c>
      <c r="AF239" s="7">
        <v>1</v>
      </c>
      <c r="AG239" s="7">
        <v>1</v>
      </c>
      <c r="AH239" s="7"/>
      <c r="AI239" s="7"/>
      <c r="AJ239" s="7">
        <v>1</v>
      </c>
      <c r="AK239" s="7"/>
      <c r="AL239" s="16">
        <v>45295</v>
      </c>
      <c r="AM239" s="4"/>
      <c r="AN239" s="6" t="s">
        <v>1033</v>
      </c>
      <c r="AO239" s="4"/>
      <c r="AP239" s="4"/>
      <c r="AQ239" s="4"/>
      <c r="AR239" s="11">
        <v>240</v>
      </c>
      <c r="AS239" s="11"/>
      <c r="AT239" s="11"/>
      <c r="AU239" s="11"/>
    </row>
    <row r="240" spans="1:47" ht="15.75" x14ac:dyDescent="0.25">
      <c r="A240" s="112" t="s">
        <v>284</v>
      </c>
      <c r="B240" s="6" t="s">
        <v>1371</v>
      </c>
      <c r="C240" s="8" t="s">
        <v>4</v>
      </c>
      <c r="D240" s="8" t="s">
        <v>21</v>
      </c>
      <c r="E240" s="9">
        <v>5</v>
      </c>
      <c r="F240" s="9"/>
      <c r="G240" s="9"/>
      <c r="H240" s="7"/>
      <c r="I240" s="7"/>
      <c r="J240" s="7"/>
      <c r="K240" s="7" t="s">
        <v>14</v>
      </c>
      <c r="L240" s="122"/>
      <c r="M240" s="122"/>
      <c r="N240" s="122"/>
      <c r="O240" s="96"/>
      <c r="P240" s="14">
        <v>0.3</v>
      </c>
      <c r="Q240" s="93">
        <v>4.2328333617106617</v>
      </c>
      <c r="R240" s="93">
        <v>462.13636363636289</v>
      </c>
      <c r="S240" s="122" t="s">
        <v>1518</v>
      </c>
      <c r="T240" s="7"/>
      <c r="U240" s="7"/>
      <c r="V240" s="122"/>
      <c r="W240" s="122"/>
      <c r="X240" s="122" t="s">
        <v>1518</v>
      </c>
      <c r="Y240" s="7" t="s">
        <v>7</v>
      </c>
      <c r="Z240" s="7">
        <v>1</v>
      </c>
      <c r="AA240" s="7"/>
      <c r="AB240" s="7">
        <v>1</v>
      </c>
      <c r="AC240" s="7"/>
      <c r="AD240" s="7"/>
      <c r="AE240" s="7"/>
      <c r="AF240" s="7"/>
      <c r="AG240" s="7"/>
      <c r="AH240" s="7"/>
      <c r="AI240" s="7"/>
      <c r="AJ240" s="7"/>
      <c r="AK240" s="7"/>
      <c r="AL240" s="16">
        <v>45295</v>
      </c>
      <c r="AM240" s="4"/>
      <c r="AN240" s="6" t="s">
        <v>1012</v>
      </c>
      <c r="AO240" s="4"/>
      <c r="AP240" s="4"/>
      <c r="AQ240" s="4"/>
      <c r="AR240" s="11">
        <v>600</v>
      </c>
      <c r="AS240" s="11"/>
      <c r="AT240" s="11"/>
      <c r="AU240" s="11"/>
    </row>
    <row r="241" spans="1:47" ht="15.75" x14ac:dyDescent="0.25">
      <c r="A241" s="112" t="s">
        <v>285</v>
      </c>
      <c r="B241" s="6" t="s">
        <v>1674</v>
      </c>
      <c r="C241" s="8" t="s">
        <v>4</v>
      </c>
      <c r="D241" s="9" t="s">
        <v>1653</v>
      </c>
      <c r="E241" s="9">
        <v>4</v>
      </c>
      <c r="F241" s="9">
        <v>4</v>
      </c>
      <c r="G241" s="9"/>
      <c r="H241" s="7"/>
      <c r="I241" s="7"/>
      <c r="J241" s="7"/>
      <c r="K241" s="7"/>
      <c r="L241" s="122" t="s">
        <v>1518</v>
      </c>
      <c r="M241" s="122" t="s">
        <v>1518</v>
      </c>
      <c r="N241" s="122"/>
      <c r="O241" s="96" t="s">
        <v>286</v>
      </c>
      <c r="P241" s="7"/>
      <c r="Q241" s="93">
        <v>0</v>
      </c>
      <c r="R241" s="93">
        <v>0</v>
      </c>
      <c r="S241" s="122" t="s">
        <v>1518</v>
      </c>
      <c r="T241" s="7"/>
      <c r="U241" s="7"/>
      <c r="V241" s="122" t="s">
        <v>1518</v>
      </c>
      <c r="W241" s="122"/>
      <c r="X241" s="122" t="s">
        <v>1518</v>
      </c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>
        <v>1</v>
      </c>
      <c r="AL241" s="16">
        <v>45295</v>
      </c>
      <c r="AM241" s="4"/>
      <c r="AN241" s="4" t="s">
        <v>215</v>
      </c>
      <c r="AO241" s="4" t="s">
        <v>287</v>
      </c>
      <c r="AP241" s="4"/>
      <c r="AQ241" s="4"/>
      <c r="AR241" s="11">
        <v>100</v>
      </c>
      <c r="AS241" s="11">
        <v>30.1</v>
      </c>
      <c r="AT241" s="11"/>
      <c r="AU241" s="11"/>
    </row>
    <row r="242" spans="1:47" ht="15.75" x14ac:dyDescent="0.25">
      <c r="A242" s="112" t="s">
        <v>1376</v>
      </c>
      <c r="B242" s="6" t="s">
        <v>1377</v>
      </c>
      <c r="C242" s="8" t="s">
        <v>4</v>
      </c>
      <c r="D242" s="8" t="s">
        <v>17</v>
      </c>
      <c r="E242" s="9" t="s">
        <v>962</v>
      </c>
      <c r="F242" s="9" t="s">
        <v>962</v>
      </c>
      <c r="G242" s="9"/>
      <c r="H242" s="7"/>
      <c r="I242" s="7"/>
      <c r="J242" s="7"/>
      <c r="K242" s="7"/>
      <c r="L242" s="122"/>
      <c r="M242" s="122"/>
      <c r="N242" s="122"/>
      <c r="O242" s="96"/>
      <c r="P242" s="7"/>
      <c r="Q242" s="93">
        <v>0</v>
      </c>
      <c r="R242" s="93">
        <v>0</v>
      </c>
      <c r="S242" s="122"/>
      <c r="T242" s="7">
        <v>2</v>
      </c>
      <c r="U242" s="7"/>
      <c r="V242" s="122" t="s">
        <v>1518</v>
      </c>
      <c r="W242" s="122"/>
      <c r="X242" s="122"/>
      <c r="Y242" s="7"/>
      <c r="Z242" s="7"/>
      <c r="AA242" s="7"/>
      <c r="AB242" s="7">
        <v>1</v>
      </c>
      <c r="AC242" s="7"/>
      <c r="AD242" s="7"/>
      <c r="AE242" s="7"/>
      <c r="AF242" s="7"/>
      <c r="AG242" s="7"/>
      <c r="AH242" s="7"/>
      <c r="AI242" s="7"/>
      <c r="AJ242" s="7"/>
      <c r="AK242" s="7"/>
      <c r="AL242" s="16">
        <v>45295</v>
      </c>
      <c r="AM242" s="4"/>
      <c r="AN242" s="4" t="s">
        <v>1512</v>
      </c>
      <c r="AO242" s="4" t="s">
        <v>1513</v>
      </c>
      <c r="AP242" s="4"/>
      <c r="AQ242" s="4"/>
      <c r="AR242" s="11">
        <v>288</v>
      </c>
      <c r="AS242" s="11">
        <v>422</v>
      </c>
      <c r="AT242" s="11"/>
      <c r="AU242" s="11"/>
    </row>
    <row r="243" spans="1:47" ht="15.75" x14ac:dyDescent="0.25">
      <c r="A243" s="112" t="s">
        <v>288</v>
      </c>
      <c r="B243" s="6" t="s">
        <v>1379</v>
      </c>
      <c r="C243" s="8" t="s">
        <v>4</v>
      </c>
      <c r="D243" s="8" t="s">
        <v>17</v>
      </c>
      <c r="E243" s="9">
        <v>3</v>
      </c>
      <c r="F243" s="9"/>
      <c r="G243" s="9"/>
      <c r="H243" s="7"/>
      <c r="I243" s="7"/>
      <c r="J243" s="7"/>
      <c r="K243" s="7"/>
      <c r="L243" s="122"/>
      <c r="M243" s="122"/>
      <c r="N243" s="122"/>
      <c r="O243" s="96"/>
      <c r="P243" s="14">
        <v>0.3</v>
      </c>
      <c r="Q243" s="93">
        <v>28.017591244955252</v>
      </c>
      <c r="R243" s="93">
        <v>20.232835820895463</v>
      </c>
      <c r="S243" s="122" t="s">
        <v>1518</v>
      </c>
      <c r="T243" s="7"/>
      <c r="U243" s="7"/>
      <c r="V243" s="122"/>
      <c r="W243" s="122"/>
      <c r="X243" s="122"/>
      <c r="Y243" s="7"/>
      <c r="Z243" s="7">
        <v>1</v>
      </c>
      <c r="AA243" s="7"/>
      <c r="AB243" s="7">
        <v>1</v>
      </c>
      <c r="AC243" s="7">
        <v>1</v>
      </c>
      <c r="AD243" s="7"/>
      <c r="AE243" s="7">
        <v>1</v>
      </c>
      <c r="AF243" s="7">
        <v>1</v>
      </c>
      <c r="AG243" s="7"/>
      <c r="AH243" s="7"/>
      <c r="AI243" s="7"/>
      <c r="AJ243" s="7"/>
      <c r="AK243" s="7">
        <v>1</v>
      </c>
      <c r="AL243" s="16">
        <v>45295</v>
      </c>
      <c r="AM243" s="4"/>
      <c r="AN243" s="6" t="s">
        <v>1000</v>
      </c>
      <c r="AO243" s="4"/>
      <c r="AP243" s="4"/>
      <c r="AQ243" s="4"/>
      <c r="AR243" s="11">
        <v>400</v>
      </c>
      <c r="AS243" s="11"/>
      <c r="AT243" s="11"/>
      <c r="AU243" s="11"/>
    </row>
    <row r="244" spans="1:47" ht="15.75" x14ac:dyDescent="0.25">
      <c r="A244" s="92" t="s">
        <v>1866</v>
      </c>
      <c r="B244" s="6" t="s">
        <v>1867</v>
      </c>
      <c r="C244" s="7" t="s">
        <v>4</v>
      </c>
      <c r="D244" s="8" t="s">
        <v>17</v>
      </c>
      <c r="E244" s="9">
        <v>3</v>
      </c>
      <c r="F244" s="9"/>
      <c r="G244" s="9"/>
      <c r="H244" s="7"/>
      <c r="I244" s="7"/>
      <c r="J244" s="7"/>
      <c r="K244" s="7"/>
      <c r="L244" s="122"/>
      <c r="M244" s="122"/>
      <c r="N244" s="122"/>
      <c r="O244" s="96"/>
      <c r="P244" s="14">
        <v>0.3</v>
      </c>
      <c r="Q244" s="93">
        <v>28.017591244955252</v>
      </c>
      <c r="R244" s="93">
        <v>20.232835820895463</v>
      </c>
      <c r="S244" s="122" t="s">
        <v>1518</v>
      </c>
      <c r="T244" s="7"/>
      <c r="U244" s="7"/>
      <c r="V244" s="122"/>
      <c r="W244" s="122"/>
      <c r="X244" s="122" t="s">
        <v>1518</v>
      </c>
      <c r="Y244" s="7"/>
      <c r="Z244" s="7">
        <v>1</v>
      </c>
      <c r="AA244" s="7"/>
      <c r="AB244" s="7">
        <v>1</v>
      </c>
      <c r="AC244" s="7">
        <v>1</v>
      </c>
      <c r="AD244" s="7"/>
      <c r="AE244" s="7">
        <v>1</v>
      </c>
      <c r="AF244" s="7">
        <v>1</v>
      </c>
      <c r="AG244" s="7"/>
      <c r="AH244" s="7"/>
      <c r="AI244" s="7"/>
      <c r="AJ244" s="7"/>
      <c r="AK244" s="7">
        <v>1</v>
      </c>
      <c r="AL244" s="16">
        <v>45295</v>
      </c>
      <c r="AM244" s="4"/>
      <c r="AN244" s="6" t="s">
        <v>1000</v>
      </c>
      <c r="AO244" s="4"/>
      <c r="AP244" s="4"/>
      <c r="AQ244" s="4"/>
      <c r="AR244" s="11">
        <v>400</v>
      </c>
      <c r="AS244" s="11"/>
      <c r="AT244" s="11"/>
      <c r="AU244" s="11"/>
    </row>
    <row r="245" spans="1:47" ht="24.75" x14ac:dyDescent="0.25">
      <c r="A245" s="112" t="s">
        <v>922</v>
      </c>
      <c r="B245" s="6" t="s">
        <v>1381</v>
      </c>
      <c r="C245" s="8" t="s">
        <v>4</v>
      </c>
      <c r="D245" s="9" t="s">
        <v>26</v>
      </c>
      <c r="E245" s="9">
        <v>4</v>
      </c>
      <c r="F245" s="9">
        <v>15</v>
      </c>
      <c r="G245" s="9"/>
      <c r="H245" s="7"/>
      <c r="I245" s="7"/>
      <c r="J245" s="7"/>
      <c r="K245" s="7"/>
      <c r="L245" s="122" t="s">
        <v>1518</v>
      </c>
      <c r="M245" s="122" t="s">
        <v>1518</v>
      </c>
      <c r="N245" s="122"/>
      <c r="O245" s="96" t="s">
        <v>302</v>
      </c>
      <c r="P245" s="14"/>
      <c r="Q245" s="93">
        <v>4.0530211704793153</v>
      </c>
      <c r="R245" s="93">
        <v>151.16896344589819</v>
      </c>
      <c r="S245" s="122" t="s">
        <v>1518</v>
      </c>
      <c r="T245" s="7"/>
      <c r="U245" s="7"/>
      <c r="V245" s="122" t="s">
        <v>1518</v>
      </c>
      <c r="W245" s="122"/>
      <c r="X245" s="122" t="s">
        <v>1518</v>
      </c>
      <c r="Y245" s="7"/>
      <c r="Z245" s="7"/>
      <c r="AA245" s="7">
        <v>1</v>
      </c>
      <c r="AB245" s="7"/>
      <c r="AC245" s="7"/>
      <c r="AD245" s="7">
        <v>1</v>
      </c>
      <c r="AE245" s="7"/>
      <c r="AF245" s="7"/>
      <c r="AG245" s="7"/>
      <c r="AH245" s="7"/>
      <c r="AI245" s="7"/>
      <c r="AJ245" s="7"/>
      <c r="AK245" s="7"/>
      <c r="AL245" s="16">
        <v>45295</v>
      </c>
      <c r="AM245" s="4"/>
      <c r="AN245" s="6" t="s">
        <v>303</v>
      </c>
      <c r="AO245" s="4" t="s">
        <v>1008</v>
      </c>
      <c r="AP245" s="4"/>
      <c r="AQ245" s="4"/>
      <c r="AR245" s="11">
        <v>167</v>
      </c>
      <c r="AS245" s="11">
        <v>333</v>
      </c>
      <c r="AT245" s="11"/>
      <c r="AU245" s="11"/>
    </row>
    <row r="246" spans="1:47" ht="15.75" x14ac:dyDescent="0.25">
      <c r="A246" s="116" t="s">
        <v>1925</v>
      </c>
      <c r="B246" s="6" t="s">
        <v>1382</v>
      </c>
      <c r="C246" s="54" t="s">
        <v>4</v>
      </c>
      <c r="D246" s="8" t="s">
        <v>13</v>
      </c>
      <c r="E246" s="9">
        <v>5</v>
      </c>
      <c r="F246" s="9"/>
      <c r="G246" s="9"/>
      <c r="H246" s="50"/>
      <c r="I246" s="50">
        <v>6</v>
      </c>
      <c r="J246" s="50"/>
      <c r="K246" s="50"/>
      <c r="L246" s="123"/>
      <c r="M246" s="123"/>
      <c r="N246" s="123"/>
      <c r="O246" s="97"/>
      <c r="P246" s="50"/>
      <c r="Q246" s="93">
        <v>0.75974662004126803</v>
      </c>
      <c r="R246" s="93">
        <v>185.69863013698622</v>
      </c>
      <c r="S246" s="123" t="s">
        <v>1518</v>
      </c>
      <c r="T246" s="50"/>
      <c r="U246" s="50"/>
      <c r="V246" s="123"/>
      <c r="W246" s="123"/>
      <c r="X246" s="123" t="s">
        <v>1518</v>
      </c>
      <c r="Y246" s="50"/>
      <c r="Z246" s="50"/>
      <c r="AA246" s="50"/>
      <c r="AB246" s="50"/>
      <c r="AC246" s="50"/>
      <c r="AD246" s="50"/>
      <c r="AE246" s="50">
        <v>1</v>
      </c>
      <c r="AF246" s="50"/>
      <c r="AG246" s="50">
        <v>1</v>
      </c>
      <c r="AH246" s="50"/>
      <c r="AI246" s="50"/>
      <c r="AJ246" s="50"/>
      <c r="AK246" s="50"/>
      <c r="AL246" s="16">
        <v>45295</v>
      </c>
      <c r="AM246" s="51"/>
      <c r="AN246" s="6" t="s">
        <v>1032</v>
      </c>
      <c r="AO246" s="51"/>
      <c r="AP246" s="51"/>
      <c r="AQ246" s="51"/>
      <c r="AR246" s="53">
        <v>500</v>
      </c>
      <c r="AS246" s="53"/>
      <c r="AT246" s="53"/>
      <c r="AU246" s="53"/>
    </row>
    <row r="247" spans="1:47" ht="15.75" x14ac:dyDescent="0.25">
      <c r="A247" s="116" t="s">
        <v>1926</v>
      </c>
      <c r="B247" s="6" t="s">
        <v>1382</v>
      </c>
      <c r="C247" s="54" t="s">
        <v>4</v>
      </c>
      <c r="D247" s="8" t="s">
        <v>13</v>
      </c>
      <c r="E247" s="9">
        <v>5</v>
      </c>
      <c r="F247" s="9"/>
      <c r="G247" s="9"/>
      <c r="H247" s="50"/>
      <c r="I247" s="50">
        <v>20</v>
      </c>
      <c r="J247" s="50"/>
      <c r="K247" s="50"/>
      <c r="L247" s="123"/>
      <c r="M247" s="123"/>
      <c r="N247" s="123"/>
      <c r="O247" s="97"/>
      <c r="P247" s="50"/>
      <c r="Q247" s="93">
        <v>0.75974662004126803</v>
      </c>
      <c r="R247" s="93">
        <v>185.69863013698622</v>
      </c>
      <c r="S247" s="123" t="s">
        <v>1518</v>
      </c>
      <c r="T247" s="50"/>
      <c r="U247" s="50"/>
      <c r="V247" s="123"/>
      <c r="W247" s="123"/>
      <c r="X247" s="123" t="s">
        <v>1518</v>
      </c>
      <c r="Y247" s="50"/>
      <c r="Z247" s="50"/>
      <c r="AA247" s="50"/>
      <c r="AB247" s="50">
        <v>1</v>
      </c>
      <c r="AC247" s="50"/>
      <c r="AD247" s="50"/>
      <c r="AE247" s="50"/>
      <c r="AF247" s="50"/>
      <c r="AG247" s="50"/>
      <c r="AH247" s="50"/>
      <c r="AI247" s="50"/>
      <c r="AJ247" s="50"/>
      <c r="AK247" s="50"/>
      <c r="AL247" s="16">
        <v>45295</v>
      </c>
      <c r="AM247" s="51"/>
      <c r="AN247" s="6" t="s">
        <v>1032</v>
      </c>
      <c r="AO247" s="51"/>
      <c r="AP247" s="51"/>
      <c r="AQ247" s="51"/>
      <c r="AR247" s="53">
        <v>500</v>
      </c>
      <c r="AS247" s="53"/>
      <c r="AT247" s="53"/>
      <c r="AU247" s="53"/>
    </row>
    <row r="248" spans="1:47" ht="15.75" x14ac:dyDescent="0.25">
      <c r="A248" s="112" t="s">
        <v>289</v>
      </c>
      <c r="B248" s="6" t="s">
        <v>1383</v>
      </c>
      <c r="C248" s="9" t="s">
        <v>4</v>
      </c>
      <c r="D248" s="8" t="s">
        <v>13</v>
      </c>
      <c r="E248" s="9">
        <v>5</v>
      </c>
      <c r="F248" s="9"/>
      <c r="G248" s="9"/>
      <c r="H248" s="7">
        <v>20</v>
      </c>
      <c r="I248" s="7"/>
      <c r="J248" s="7"/>
      <c r="K248" s="7" t="s">
        <v>14</v>
      </c>
      <c r="L248" s="122" t="s">
        <v>1518</v>
      </c>
      <c r="M248" s="122" t="s">
        <v>1518</v>
      </c>
      <c r="N248" s="122"/>
      <c r="O248" s="96"/>
      <c r="P248" s="14">
        <v>0.3</v>
      </c>
      <c r="Q248" s="93">
        <v>5.0762601731828667</v>
      </c>
      <c r="R248" s="93">
        <v>9.180135440180603</v>
      </c>
      <c r="S248" s="122" t="s">
        <v>1518</v>
      </c>
      <c r="T248" s="7"/>
      <c r="U248" s="7"/>
      <c r="V248" s="122"/>
      <c r="W248" s="122"/>
      <c r="X248" s="122" t="s">
        <v>1518</v>
      </c>
      <c r="Y248" s="7"/>
      <c r="Z248" s="7"/>
      <c r="AA248" s="7">
        <v>1</v>
      </c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16">
        <v>45295</v>
      </c>
      <c r="AM248" s="4"/>
      <c r="AN248" s="6" t="s">
        <v>991</v>
      </c>
      <c r="AO248" s="4"/>
      <c r="AP248" s="4"/>
      <c r="AQ248" s="4"/>
      <c r="AR248" s="11">
        <v>800</v>
      </c>
      <c r="AS248" s="11"/>
      <c r="AT248" s="11"/>
      <c r="AU248" s="11"/>
    </row>
    <row r="249" spans="1:47" ht="15.75" x14ac:dyDescent="0.25">
      <c r="A249" s="112" t="s">
        <v>290</v>
      </c>
      <c r="B249" s="6" t="s">
        <v>1384</v>
      </c>
      <c r="C249" s="9" t="s">
        <v>4</v>
      </c>
      <c r="D249" s="7" t="s">
        <v>19</v>
      </c>
      <c r="E249" s="9">
        <v>15</v>
      </c>
      <c r="F249" s="9"/>
      <c r="G249" s="9"/>
      <c r="H249" s="7"/>
      <c r="I249" s="7"/>
      <c r="J249" s="7"/>
      <c r="K249" s="7"/>
      <c r="L249" s="122"/>
      <c r="M249" s="122"/>
      <c r="N249" s="122"/>
      <c r="O249" s="96"/>
      <c r="P249" s="14"/>
      <c r="Q249" s="93">
        <v>8.0546301395273971</v>
      </c>
      <c r="R249" s="93">
        <v>254.17500000000004</v>
      </c>
      <c r="S249" s="122" t="s">
        <v>1518</v>
      </c>
      <c r="T249" s="7"/>
      <c r="U249" s="7"/>
      <c r="V249" s="122" t="s">
        <v>1518</v>
      </c>
      <c r="W249" s="122"/>
      <c r="X249" s="122" t="s">
        <v>1518</v>
      </c>
      <c r="Y249" s="7"/>
      <c r="Z249" s="7"/>
      <c r="AA249" s="7">
        <v>1</v>
      </c>
      <c r="AB249" s="7"/>
      <c r="AC249" s="7">
        <v>1</v>
      </c>
      <c r="AD249" s="7"/>
      <c r="AE249" s="7">
        <v>1</v>
      </c>
      <c r="AF249" s="7"/>
      <c r="AG249" s="7">
        <v>1</v>
      </c>
      <c r="AH249" s="7">
        <v>1</v>
      </c>
      <c r="AI249" s="7"/>
      <c r="AJ249" s="7"/>
      <c r="AK249" s="7"/>
      <c r="AL249" s="16">
        <v>45295</v>
      </c>
      <c r="AM249" s="4"/>
      <c r="AN249" s="6" t="s">
        <v>1008</v>
      </c>
      <c r="AO249" s="4"/>
      <c r="AP249" s="4"/>
      <c r="AQ249" s="4"/>
      <c r="AR249" s="11">
        <v>720</v>
      </c>
      <c r="AS249" s="11"/>
      <c r="AT249" s="11"/>
      <c r="AU249" s="11"/>
    </row>
    <row r="250" spans="1:47" ht="15.75" x14ac:dyDescent="0.25">
      <c r="A250" s="112" t="s">
        <v>292</v>
      </c>
      <c r="B250" s="6" t="s">
        <v>1386</v>
      </c>
      <c r="C250" s="8" t="s">
        <v>4</v>
      </c>
      <c r="D250" s="8" t="s">
        <v>958</v>
      </c>
      <c r="E250" s="9">
        <v>14</v>
      </c>
      <c r="F250" s="9"/>
      <c r="G250" s="9"/>
      <c r="H250" s="7"/>
      <c r="I250" s="7"/>
      <c r="J250" s="7"/>
      <c r="K250" s="7"/>
      <c r="L250" s="122"/>
      <c r="M250" s="122"/>
      <c r="N250" s="122"/>
      <c r="O250" s="96"/>
      <c r="P250" s="7"/>
      <c r="Q250" s="93">
        <v>0.44799300802713071</v>
      </c>
      <c r="R250" s="93">
        <v>194.27388535031864</v>
      </c>
      <c r="S250" s="122" t="s">
        <v>1518</v>
      </c>
      <c r="T250" s="7"/>
      <c r="U250" s="7"/>
      <c r="V250" s="122"/>
      <c r="W250" s="122"/>
      <c r="X250" s="122"/>
      <c r="Y250" s="7"/>
      <c r="Z250" s="7"/>
      <c r="AA250" s="7"/>
      <c r="AB250" s="7">
        <v>1</v>
      </c>
      <c r="AC250" s="7"/>
      <c r="AD250" s="7"/>
      <c r="AE250" s="7"/>
      <c r="AF250" s="7"/>
      <c r="AG250" s="7"/>
      <c r="AH250" s="7"/>
      <c r="AI250" s="7"/>
      <c r="AJ250" s="7"/>
      <c r="AK250" s="7"/>
      <c r="AL250" s="16">
        <v>45295</v>
      </c>
      <c r="AM250" s="4"/>
      <c r="AN250" s="6" t="s">
        <v>998</v>
      </c>
      <c r="AO250" s="4"/>
      <c r="AP250" s="4"/>
      <c r="AQ250" s="4"/>
      <c r="AR250" s="11">
        <v>60</v>
      </c>
      <c r="AS250" s="11"/>
      <c r="AT250" s="11"/>
      <c r="AU250" s="11"/>
    </row>
    <row r="251" spans="1:47" ht="28.5" x14ac:dyDescent="0.25">
      <c r="A251" s="112" t="s">
        <v>293</v>
      </c>
      <c r="B251" s="6" t="s">
        <v>1675</v>
      </c>
      <c r="C251" s="8" t="s">
        <v>4</v>
      </c>
      <c r="D251" s="8" t="s">
        <v>1449</v>
      </c>
      <c r="E251" s="9">
        <v>2</v>
      </c>
      <c r="F251" s="9">
        <v>2</v>
      </c>
      <c r="G251" s="9"/>
      <c r="H251" s="7"/>
      <c r="I251" s="7">
        <v>6</v>
      </c>
      <c r="J251" s="7"/>
      <c r="K251" s="7"/>
      <c r="L251" s="122"/>
      <c r="M251" s="122"/>
      <c r="N251" s="122"/>
      <c r="O251" s="96"/>
      <c r="P251" s="7"/>
      <c r="Q251" s="93">
        <v>0.49029682221281035</v>
      </c>
      <c r="R251" s="93">
        <v>80.304325568161076</v>
      </c>
      <c r="S251" s="122" t="s">
        <v>1518</v>
      </c>
      <c r="T251" s="7"/>
      <c r="U251" s="7"/>
      <c r="V251" s="122"/>
      <c r="W251" s="122"/>
      <c r="X251" s="122"/>
      <c r="Y251" s="7"/>
      <c r="Z251" s="7">
        <v>1</v>
      </c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16">
        <v>45295</v>
      </c>
      <c r="AM251" s="4"/>
      <c r="AN251" s="11" t="s">
        <v>153</v>
      </c>
      <c r="AO251" s="6" t="s">
        <v>1010</v>
      </c>
      <c r="AP251" s="6" t="s">
        <v>300</v>
      </c>
      <c r="AQ251" s="4"/>
      <c r="AR251" s="11">
        <v>68.3</v>
      </c>
      <c r="AS251" s="11">
        <v>2.2799999999999998</v>
      </c>
      <c r="AT251" s="11">
        <v>68.3</v>
      </c>
      <c r="AU251" s="11"/>
    </row>
    <row r="252" spans="1:47" ht="15.75" x14ac:dyDescent="0.25">
      <c r="A252" s="114" t="s">
        <v>294</v>
      </c>
      <c r="B252" s="6" t="s">
        <v>1677</v>
      </c>
      <c r="C252" s="8" t="s">
        <v>4</v>
      </c>
      <c r="D252" s="8" t="s">
        <v>17</v>
      </c>
      <c r="E252" s="9">
        <v>4</v>
      </c>
      <c r="F252" s="9"/>
      <c r="G252" s="9"/>
      <c r="H252" s="7"/>
      <c r="I252" s="7">
        <v>3</v>
      </c>
      <c r="J252" s="7"/>
      <c r="K252" s="7"/>
      <c r="L252" s="122"/>
      <c r="M252" s="122"/>
      <c r="N252" s="122"/>
      <c r="O252" s="96"/>
      <c r="P252" s="7"/>
      <c r="Q252" s="93">
        <v>0.42773548148821505</v>
      </c>
      <c r="R252" s="93">
        <v>187.31864139344361</v>
      </c>
      <c r="S252" s="122" t="s">
        <v>1518</v>
      </c>
      <c r="T252" s="7"/>
      <c r="U252" s="7"/>
      <c r="V252" s="122" t="s">
        <v>1518</v>
      </c>
      <c r="W252" s="122"/>
      <c r="X252" s="122"/>
      <c r="Y252" s="7"/>
      <c r="Z252" s="7">
        <v>1</v>
      </c>
      <c r="AA252" s="7"/>
      <c r="AB252" s="7"/>
      <c r="AC252" s="7">
        <v>1</v>
      </c>
      <c r="AD252" s="7"/>
      <c r="AE252" s="7"/>
      <c r="AF252" s="7"/>
      <c r="AG252" s="7"/>
      <c r="AH252" s="7"/>
      <c r="AI252" s="7"/>
      <c r="AJ252" s="7"/>
      <c r="AK252" s="7">
        <v>1</v>
      </c>
      <c r="AL252" s="16">
        <v>45295</v>
      </c>
      <c r="AM252" s="4"/>
      <c r="AN252" s="11" t="s">
        <v>215</v>
      </c>
      <c r="AO252" s="11"/>
      <c r="AP252" s="4"/>
      <c r="AQ252" s="4"/>
      <c r="AR252" s="11">
        <v>333</v>
      </c>
      <c r="AS252" s="11"/>
      <c r="AT252" s="11"/>
      <c r="AU252" s="11"/>
    </row>
    <row r="253" spans="1:47" ht="15.75" x14ac:dyDescent="0.25">
      <c r="A253" s="112" t="s">
        <v>295</v>
      </c>
      <c r="B253" s="6" t="s">
        <v>1392</v>
      </c>
      <c r="C253" s="8" t="s">
        <v>4</v>
      </c>
      <c r="D253" s="8" t="s">
        <v>26</v>
      </c>
      <c r="E253" s="9">
        <v>2</v>
      </c>
      <c r="F253" s="9">
        <v>4</v>
      </c>
      <c r="G253" s="9"/>
      <c r="H253" s="7"/>
      <c r="I253" s="7">
        <v>6</v>
      </c>
      <c r="J253" s="7"/>
      <c r="K253" s="7"/>
      <c r="L253" s="122"/>
      <c r="M253" s="122"/>
      <c r="N253" s="122"/>
      <c r="O253" s="96"/>
      <c r="P253" s="7"/>
      <c r="Q253" s="93">
        <v>0.82958711865552037</v>
      </c>
      <c r="R253" s="93">
        <v>373.05277137793666</v>
      </c>
      <c r="S253" s="122" t="s">
        <v>1518</v>
      </c>
      <c r="T253" s="7"/>
      <c r="U253" s="7"/>
      <c r="V253" s="122" t="s">
        <v>1518</v>
      </c>
      <c r="W253" s="122"/>
      <c r="X253" s="122"/>
      <c r="Y253" s="7"/>
      <c r="Z253" s="7">
        <v>1</v>
      </c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16">
        <v>45295</v>
      </c>
      <c r="AM253" s="4"/>
      <c r="AN253" s="6" t="s">
        <v>1010</v>
      </c>
      <c r="AO253" s="11" t="s">
        <v>215</v>
      </c>
      <c r="AP253" s="11"/>
      <c r="AQ253" s="4"/>
      <c r="AR253" s="11">
        <v>2.5</v>
      </c>
      <c r="AS253" s="11">
        <v>144</v>
      </c>
      <c r="AT253" s="11"/>
      <c r="AU253" s="11"/>
    </row>
    <row r="254" spans="1:47" ht="15.75" x14ac:dyDescent="0.25">
      <c r="A254" s="112" t="s">
        <v>296</v>
      </c>
      <c r="B254" s="6" t="s">
        <v>1692</v>
      </c>
      <c r="C254" s="8" t="s">
        <v>4</v>
      </c>
      <c r="D254" s="7" t="s">
        <v>1539</v>
      </c>
      <c r="E254" s="9">
        <v>3</v>
      </c>
      <c r="F254" s="9"/>
      <c r="G254" s="9"/>
      <c r="H254" s="7"/>
      <c r="I254" s="7"/>
      <c r="J254" s="7"/>
      <c r="K254" s="7"/>
      <c r="L254" s="122"/>
      <c r="M254" s="122"/>
      <c r="N254" s="122"/>
      <c r="O254" s="96"/>
      <c r="P254" s="14">
        <v>0.3</v>
      </c>
      <c r="Q254" s="93">
        <v>27.886258785994524</v>
      </c>
      <c r="R254" s="93">
        <v>20.137994402985019</v>
      </c>
      <c r="S254" s="122" t="s">
        <v>1518</v>
      </c>
      <c r="T254" s="7"/>
      <c r="U254" s="7"/>
      <c r="V254" s="122"/>
      <c r="W254" s="122"/>
      <c r="X254" s="122"/>
      <c r="Y254" s="7"/>
      <c r="Z254" s="7">
        <v>1</v>
      </c>
      <c r="AA254" s="7"/>
      <c r="AB254" s="7">
        <v>1</v>
      </c>
      <c r="AC254" s="7">
        <v>1</v>
      </c>
      <c r="AD254" s="7">
        <v>1</v>
      </c>
      <c r="AE254" s="7">
        <v>1</v>
      </c>
      <c r="AF254" s="7">
        <v>1</v>
      </c>
      <c r="AG254" s="7"/>
      <c r="AH254" s="7"/>
      <c r="AI254" s="7">
        <v>1</v>
      </c>
      <c r="AJ254" s="7">
        <v>1</v>
      </c>
      <c r="AK254" s="7">
        <v>1</v>
      </c>
      <c r="AL254" s="16">
        <v>45295</v>
      </c>
      <c r="AM254" s="4"/>
      <c r="AN254" s="6" t="s">
        <v>1000</v>
      </c>
      <c r="AO254" s="4"/>
      <c r="AP254" s="4"/>
      <c r="AQ254" s="4"/>
      <c r="AR254" s="11">
        <v>455</v>
      </c>
      <c r="AS254" s="11"/>
      <c r="AT254" s="11"/>
      <c r="AU254" s="11"/>
    </row>
    <row r="255" spans="1:47" ht="15.75" x14ac:dyDescent="0.25">
      <c r="A255" s="112" t="s">
        <v>297</v>
      </c>
      <c r="B255" s="6" t="s">
        <v>1397</v>
      </c>
      <c r="C255" s="9" t="s">
        <v>4</v>
      </c>
      <c r="D255" s="8" t="s">
        <v>17</v>
      </c>
      <c r="E255" s="9">
        <v>15</v>
      </c>
      <c r="F255" s="9"/>
      <c r="G255" s="9"/>
      <c r="H255" s="7">
        <v>20</v>
      </c>
      <c r="I255" s="7"/>
      <c r="J255" s="7"/>
      <c r="K255" s="7" t="s">
        <v>14</v>
      </c>
      <c r="L255" s="122" t="s">
        <v>1518</v>
      </c>
      <c r="M255" s="122" t="s">
        <v>1518</v>
      </c>
      <c r="N255" s="122"/>
      <c r="O255" s="96" t="s">
        <v>189</v>
      </c>
      <c r="P255" s="7"/>
      <c r="Q255" s="93">
        <v>31.354028875400811</v>
      </c>
      <c r="R255" s="93">
        <v>23.644186046511518</v>
      </c>
      <c r="S255" s="122" t="s">
        <v>1518</v>
      </c>
      <c r="T255" s="7"/>
      <c r="U255" s="7"/>
      <c r="V255" s="122" t="s">
        <v>1518</v>
      </c>
      <c r="W255" s="122"/>
      <c r="X255" s="122" t="s">
        <v>1518</v>
      </c>
      <c r="Y255" s="7"/>
      <c r="Z255" s="7"/>
      <c r="AA255" s="7"/>
      <c r="AB255" s="7"/>
      <c r="AC255" s="7"/>
      <c r="AD255" s="7">
        <v>1</v>
      </c>
      <c r="AE255" s="7"/>
      <c r="AF255" s="7">
        <v>1</v>
      </c>
      <c r="AG255" s="7"/>
      <c r="AH255" s="7"/>
      <c r="AI255" s="7"/>
      <c r="AJ255" s="7"/>
      <c r="AK255" s="7"/>
      <c r="AL255" s="16">
        <v>45295</v>
      </c>
      <c r="AM255" s="4"/>
      <c r="AN255" s="4" t="s">
        <v>190</v>
      </c>
      <c r="AO255" s="4"/>
      <c r="AP255" s="4"/>
      <c r="AQ255" s="4"/>
      <c r="AR255" s="11">
        <v>600</v>
      </c>
      <c r="AS255" s="11"/>
      <c r="AT255" s="11"/>
      <c r="AU255" s="11"/>
    </row>
    <row r="256" spans="1:47" ht="15.75" x14ac:dyDescent="0.25">
      <c r="A256" s="112" t="s">
        <v>1399</v>
      </c>
      <c r="B256" s="6" t="s">
        <v>1400</v>
      </c>
      <c r="C256" s="9" t="s">
        <v>4</v>
      </c>
      <c r="D256" s="9" t="s">
        <v>29</v>
      </c>
      <c r="E256" s="9">
        <v>5</v>
      </c>
      <c r="F256" s="9">
        <v>15</v>
      </c>
      <c r="G256" s="9"/>
      <c r="H256" s="7"/>
      <c r="I256" s="7"/>
      <c r="J256" s="7"/>
      <c r="K256" s="7"/>
      <c r="L256" s="122"/>
      <c r="M256" s="122"/>
      <c r="N256" s="122"/>
      <c r="O256" s="96"/>
      <c r="P256" s="7"/>
      <c r="Q256" s="93">
        <v>3.1016537100744697</v>
      </c>
      <c r="R256" s="93">
        <v>22.422171717171729</v>
      </c>
      <c r="S256" s="122" t="s">
        <v>1518</v>
      </c>
      <c r="T256" s="7"/>
      <c r="U256" s="7"/>
      <c r="V256" s="122"/>
      <c r="W256" s="122"/>
      <c r="X256" s="122"/>
      <c r="Y256" s="7"/>
      <c r="Z256" s="7"/>
      <c r="AA256" s="7">
        <v>1</v>
      </c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16">
        <v>45295</v>
      </c>
      <c r="AM256" s="4"/>
      <c r="AN256" s="11" t="s">
        <v>163</v>
      </c>
      <c r="AO256" s="6" t="s">
        <v>1015</v>
      </c>
      <c r="AP256" s="4"/>
      <c r="AQ256" s="4"/>
      <c r="AR256" s="11">
        <v>80</v>
      </c>
      <c r="AS256" s="11">
        <v>100</v>
      </c>
      <c r="AT256" s="11"/>
      <c r="AU256" s="11"/>
    </row>
    <row r="257" spans="1:47" ht="15.75" x14ac:dyDescent="0.25">
      <c r="A257" s="112" t="s">
        <v>949</v>
      </c>
      <c r="B257" s="6" t="s">
        <v>1401</v>
      </c>
      <c r="C257" s="9" t="s">
        <v>4</v>
      </c>
      <c r="D257" s="9" t="s">
        <v>29</v>
      </c>
      <c r="E257" s="9">
        <v>5</v>
      </c>
      <c r="F257" s="9"/>
      <c r="G257" s="9"/>
      <c r="H257" s="7"/>
      <c r="I257" s="7"/>
      <c r="J257" s="7"/>
      <c r="K257" s="7"/>
      <c r="L257" s="122"/>
      <c r="M257" s="122"/>
      <c r="N257" s="122"/>
      <c r="O257" s="96"/>
      <c r="P257" s="7"/>
      <c r="Q257" s="93">
        <v>0.12819947377256399</v>
      </c>
      <c r="R257" s="93">
        <v>134.78977272727238</v>
      </c>
      <c r="S257" s="122" t="s">
        <v>1518</v>
      </c>
      <c r="T257" s="7"/>
      <c r="U257" s="7"/>
      <c r="V257" s="122"/>
      <c r="W257" s="122"/>
      <c r="X257" s="122" t="s">
        <v>1518</v>
      </c>
      <c r="Y257" s="7" t="s">
        <v>7</v>
      </c>
      <c r="Z257" s="7"/>
      <c r="AA257" s="7">
        <v>1</v>
      </c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16">
        <v>45295</v>
      </c>
      <c r="AM257" s="4"/>
      <c r="AN257" s="6" t="s">
        <v>1017</v>
      </c>
      <c r="AO257" s="4"/>
      <c r="AP257" s="4"/>
      <c r="AQ257" s="4"/>
      <c r="AR257" s="11">
        <v>700</v>
      </c>
      <c r="AS257" s="11"/>
      <c r="AT257" s="11"/>
      <c r="AU257" s="11"/>
    </row>
    <row r="258" spans="1:47" ht="15.75" x14ac:dyDescent="0.25">
      <c r="A258" s="112" t="s">
        <v>1492</v>
      </c>
      <c r="B258" s="6" t="s">
        <v>1402</v>
      </c>
      <c r="C258" s="8" t="s">
        <v>4</v>
      </c>
      <c r="D258" s="8" t="s">
        <v>13</v>
      </c>
      <c r="E258" s="9">
        <v>14</v>
      </c>
      <c r="F258" s="9"/>
      <c r="G258" s="9"/>
      <c r="H258" s="7">
        <v>20</v>
      </c>
      <c r="I258" s="7">
        <v>20</v>
      </c>
      <c r="J258" s="7"/>
      <c r="K258" s="7" t="s">
        <v>80</v>
      </c>
      <c r="L258" s="122"/>
      <c r="M258" s="122"/>
      <c r="N258" s="122"/>
      <c r="O258" s="96"/>
      <c r="P258" s="7"/>
      <c r="Q258" s="93">
        <v>8.2530898715917562</v>
      </c>
      <c r="R258" s="93">
        <v>769.78714285714273</v>
      </c>
      <c r="S258" s="122" t="s">
        <v>1518</v>
      </c>
      <c r="T258" s="7"/>
      <c r="U258" s="7"/>
      <c r="V258" s="122" t="s">
        <v>1518</v>
      </c>
      <c r="W258" s="122"/>
      <c r="X258" s="122"/>
      <c r="Y258" s="7"/>
      <c r="Z258" s="7"/>
      <c r="AA258" s="7"/>
      <c r="AB258" s="7">
        <v>1</v>
      </c>
      <c r="AC258" s="7"/>
      <c r="AD258" s="7"/>
      <c r="AE258" s="7"/>
      <c r="AF258" s="7"/>
      <c r="AG258" s="7"/>
      <c r="AH258" s="7"/>
      <c r="AI258" s="7"/>
      <c r="AJ258" s="7"/>
      <c r="AK258" s="7"/>
      <c r="AL258" s="16">
        <v>45295</v>
      </c>
      <c r="AM258" s="4"/>
      <c r="AN258" s="6" t="s">
        <v>1025</v>
      </c>
      <c r="AO258" s="4"/>
      <c r="AP258" s="4"/>
      <c r="AQ258" s="4"/>
      <c r="AR258" s="11">
        <v>10.6</v>
      </c>
      <c r="AS258" s="11"/>
      <c r="AT258" s="11"/>
      <c r="AU258" s="11"/>
    </row>
    <row r="259" spans="1:47" ht="15.75" x14ac:dyDescent="0.25">
      <c r="A259" s="112" t="s">
        <v>1493</v>
      </c>
      <c r="B259" s="6" t="s">
        <v>1402</v>
      </c>
      <c r="C259" s="8" t="s">
        <v>4</v>
      </c>
      <c r="D259" s="8" t="s">
        <v>13</v>
      </c>
      <c r="E259" s="9">
        <v>14</v>
      </c>
      <c r="F259" s="9"/>
      <c r="G259" s="9"/>
      <c r="H259" s="7">
        <v>6</v>
      </c>
      <c r="I259" s="7">
        <v>6</v>
      </c>
      <c r="J259" s="7"/>
      <c r="K259" s="7" t="s">
        <v>120</v>
      </c>
      <c r="L259" s="122"/>
      <c r="M259" s="122"/>
      <c r="N259" s="122"/>
      <c r="O259" s="96"/>
      <c r="P259" s="7"/>
      <c r="Q259" s="93">
        <v>8.2530898715917562</v>
      </c>
      <c r="R259" s="93">
        <v>769.78714285714273</v>
      </c>
      <c r="S259" s="122" t="s">
        <v>1518</v>
      </c>
      <c r="T259" s="7"/>
      <c r="U259" s="7"/>
      <c r="V259" s="122" t="s">
        <v>1518</v>
      </c>
      <c r="W259" s="122"/>
      <c r="X259" s="122"/>
      <c r="Y259" s="7"/>
      <c r="Z259" s="7"/>
      <c r="AA259" s="7"/>
      <c r="AB259" s="7">
        <v>1</v>
      </c>
      <c r="AC259" s="7"/>
      <c r="AD259" s="7"/>
      <c r="AE259" s="7"/>
      <c r="AF259" s="7"/>
      <c r="AG259" s="7"/>
      <c r="AH259" s="7"/>
      <c r="AI259" s="7"/>
      <c r="AJ259" s="7"/>
      <c r="AK259" s="7"/>
      <c r="AL259" s="16">
        <v>45295</v>
      </c>
      <c r="AM259" s="4"/>
      <c r="AN259" s="6" t="s">
        <v>1025</v>
      </c>
      <c r="AO259" s="4"/>
      <c r="AP259" s="4"/>
      <c r="AQ259" s="4"/>
      <c r="AR259" s="11">
        <v>10.6</v>
      </c>
      <c r="AS259" s="11"/>
      <c r="AT259" s="11"/>
      <c r="AU259" s="11"/>
    </row>
    <row r="260" spans="1:47" ht="15.75" x14ac:dyDescent="0.25">
      <c r="A260" s="112" t="s">
        <v>664</v>
      </c>
      <c r="B260" s="6" t="s">
        <v>1404</v>
      </c>
      <c r="C260" s="8" t="s">
        <v>4</v>
      </c>
      <c r="D260" s="8" t="s">
        <v>26</v>
      </c>
      <c r="E260" s="9">
        <v>2</v>
      </c>
      <c r="F260" s="9"/>
      <c r="G260" s="9"/>
      <c r="H260" s="7"/>
      <c r="I260" s="7"/>
      <c r="J260" s="7"/>
      <c r="K260" s="7"/>
      <c r="L260" s="122"/>
      <c r="M260" s="122"/>
      <c r="N260" s="122"/>
      <c r="O260" s="96"/>
      <c r="P260" s="14">
        <v>0.3</v>
      </c>
      <c r="Q260" s="93">
        <v>0.2487691243569787</v>
      </c>
      <c r="R260" s="93">
        <v>406.68000000000029</v>
      </c>
      <c r="S260" s="122" t="s">
        <v>1518</v>
      </c>
      <c r="T260" s="7"/>
      <c r="U260" s="7"/>
      <c r="V260" s="122"/>
      <c r="W260" s="122"/>
      <c r="X260" s="122"/>
      <c r="Y260" s="7"/>
      <c r="Z260" s="7"/>
      <c r="AA260" s="7"/>
      <c r="AB260" s="7"/>
      <c r="AC260" s="7"/>
      <c r="AD260" s="7"/>
      <c r="AE260" s="7"/>
      <c r="AF260" s="7">
        <v>1</v>
      </c>
      <c r="AG260" s="7">
        <v>1</v>
      </c>
      <c r="AH260" s="7">
        <v>1</v>
      </c>
      <c r="AI260" s="7"/>
      <c r="AJ260" s="7"/>
      <c r="AK260" s="7"/>
      <c r="AL260" s="16">
        <v>45295</v>
      </c>
      <c r="AM260" s="4"/>
      <c r="AN260" s="11" t="s">
        <v>165</v>
      </c>
      <c r="AO260" s="4"/>
      <c r="AP260" s="4"/>
      <c r="AQ260" s="4"/>
      <c r="AR260" s="11">
        <v>40</v>
      </c>
      <c r="AS260" s="11"/>
      <c r="AT260" s="11"/>
      <c r="AU260" s="11"/>
    </row>
    <row r="261" spans="1:47" ht="15.75" x14ac:dyDescent="0.25">
      <c r="A261" s="112" t="s">
        <v>299</v>
      </c>
      <c r="B261" s="6" t="s">
        <v>1679</v>
      </c>
      <c r="C261" s="8" t="s">
        <v>4</v>
      </c>
      <c r="D261" s="8" t="s">
        <v>17</v>
      </c>
      <c r="E261" s="9">
        <v>2</v>
      </c>
      <c r="F261" s="9"/>
      <c r="G261" s="9"/>
      <c r="H261" s="7"/>
      <c r="I261" s="7"/>
      <c r="J261" s="7"/>
      <c r="K261" s="7"/>
      <c r="L261" s="122"/>
      <c r="M261" s="122"/>
      <c r="N261" s="122"/>
      <c r="O261" s="96"/>
      <c r="P261" s="7"/>
      <c r="Q261" s="93">
        <v>0.58217953180443782</v>
      </c>
      <c r="R261" s="93">
        <v>85.874105807432443</v>
      </c>
      <c r="S261" s="122" t="s">
        <v>1518</v>
      </c>
      <c r="T261" s="7"/>
      <c r="U261" s="7"/>
      <c r="V261" s="122"/>
      <c r="W261" s="122"/>
      <c r="X261" s="122"/>
      <c r="Y261" s="7"/>
      <c r="Z261" s="7">
        <v>1</v>
      </c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16">
        <v>45295</v>
      </c>
      <c r="AM261" s="4"/>
      <c r="AN261" s="11" t="s">
        <v>153</v>
      </c>
      <c r="AO261" s="6" t="s">
        <v>300</v>
      </c>
      <c r="AP261" s="4"/>
      <c r="AQ261" s="4"/>
      <c r="AR261" s="11">
        <v>75</v>
      </c>
      <c r="AS261" s="11">
        <v>75</v>
      </c>
      <c r="AT261" s="11"/>
      <c r="AU261" s="11"/>
    </row>
    <row r="262" spans="1:47" ht="24.75" x14ac:dyDescent="0.25">
      <c r="A262" s="112" t="s">
        <v>301</v>
      </c>
      <c r="B262" s="6" t="s">
        <v>1408</v>
      </c>
      <c r="C262" s="8" t="s">
        <v>4</v>
      </c>
      <c r="D262" s="7" t="s">
        <v>19</v>
      </c>
      <c r="E262" s="9">
        <v>4</v>
      </c>
      <c r="F262" s="9">
        <v>15</v>
      </c>
      <c r="G262" s="9"/>
      <c r="H262" s="7"/>
      <c r="I262" s="7"/>
      <c r="J262" s="7"/>
      <c r="K262" s="7"/>
      <c r="L262" s="122" t="s">
        <v>1518</v>
      </c>
      <c r="M262" s="122" t="s">
        <v>1518</v>
      </c>
      <c r="N262" s="122"/>
      <c r="O262" s="96" t="s">
        <v>302</v>
      </c>
      <c r="P262" s="14"/>
      <c r="Q262" s="93">
        <v>4.0530211704793153</v>
      </c>
      <c r="R262" s="93">
        <v>151.16896344589819</v>
      </c>
      <c r="S262" s="122" t="s">
        <v>1518</v>
      </c>
      <c r="T262" s="7"/>
      <c r="U262" s="7"/>
      <c r="V262" s="122" t="s">
        <v>1518</v>
      </c>
      <c r="W262" s="122"/>
      <c r="X262" s="122" t="s">
        <v>1518</v>
      </c>
      <c r="Y262" s="7"/>
      <c r="Z262" s="7"/>
      <c r="AA262" s="7">
        <v>1</v>
      </c>
      <c r="AB262" s="7"/>
      <c r="AC262" s="7"/>
      <c r="AD262" s="7">
        <v>1</v>
      </c>
      <c r="AE262" s="7"/>
      <c r="AF262" s="7"/>
      <c r="AG262" s="7"/>
      <c r="AH262" s="7"/>
      <c r="AI262" s="7"/>
      <c r="AJ262" s="7"/>
      <c r="AK262" s="7"/>
      <c r="AL262" s="16">
        <v>45295</v>
      </c>
      <c r="AM262" s="4"/>
      <c r="AN262" s="6" t="s">
        <v>303</v>
      </c>
      <c r="AO262" s="4" t="s">
        <v>1008</v>
      </c>
      <c r="AP262" s="4"/>
      <c r="AQ262" s="4"/>
      <c r="AR262" s="11">
        <v>167</v>
      </c>
      <c r="AS262" s="11">
        <v>333</v>
      </c>
      <c r="AT262" s="11"/>
      <c r="AU262" s="11"/>
    </row>
    <row r="263" spans="1:47" ht="15.75" x14ac:dyDescent="0.25">
      <c r="A263" s="112" t="s">
        <v>304</v>
      </c>
      <c r="B263" s="6" t="s">
        <v>1680</v>
      </c>
      <c r="C263" s="8" t="s">
        <v>4</v>
      </c>
      <c r="D263" s="8" t="s">
        <v>186</v>
      </c>
      <c r="E263" s="9">
        <v>5</v>
      </c>
      <c r="F263" s="9">
        <v>12</v>
      </c>
      <c r="G263" s="9"/>
      <c r="H263" s="7"/>
      <c r="I263" s="7"/>
      <c r="J263" s="7"/>
      <c r="K263" s="7" t="s">
        <v>14</v>
      </c>
      <c r="L263" s="122"/>
      <c r="M263" s="122"/>
      <c r="N263" s="122"/>
      <c r="O263" s="96"/>
      <c r="P263" s="14">
        <v>0.3</v>
      </c>
      <c r="Q263" s="93">
        <v>18.349520228295574</v>
      </c>
      <c r="R263" s="93">
        <v>367.14166666666654</v>
      </c>
      <c r="S263" s="122" t="s">
        <v>1518</v>
      </c>
      <c r="T263" s="7"/>
      <c r="U263" s="7"/>
      <c r="V263" s="122"/>
      <c r="W263" s="122"/>
      <c r="X263" s="122"/>
      <c r="Y263" s="7"/>
      <c r="Z263" s="7">
        <v>1</v>
      </c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16">
        <v>45295</v>
      </c>
      <c r="AM263" s="4"/>
      <c r="AN263" s="6" t="s">
        <v>1037</v>
      </c>
      <c r="AO263" s="6" t="s">
        <v>999</v>
      </c>
      <c r="AP263" s="4"/>
      <c r="AQ263" s="4"/>
      <c r="AR263" s="11">
        <v>600</v>
      </c>
      <c r="AS263" s="11">
        <v>40</v>
      </c>
      <c r="AT263" s="11"/>
      <c r="AU263" s="11"/>
    </row>
    <row r="264" spans="1:47" ht="15.75" x14ac:dyDescent="0.25">
      <c r="A264" s="112" t="s">
        <v>305</v>
      </c>
      <c r="B264" s="6" t="s">
        <v>1409</v>
      </c>
      <c r="C264" s="8" t="s">
        <v>4</v>
      </c>
      <c r="D264" s="8" t="s">
        <v>21</v>
      </c>
      <c r="E264" s="9">
        <v>1</v>
      </c>
      <c r="F264" s="9"/>
      <c r="G264" s="9"/>
      <c r="H264" s="7"/>
      <c r="I264" s="7"/>
      <c r="J264" s="7"/>
      <c r="K264" s="7"/>
      <c r="L264" s="122"/>
      <c r="M264" s="122"/>
      <c r="N264" s="122"/>
      <c r="O264" s="96"/>
      <c r="P264" s="7"/>
      <c r="Q264" s="93">
        <v>0.14315582950778333</v>
      </c>
      <c r="R264" s="93">
        <v>34.914148351648379</v>
      </c>
      <c r="S264" s="122" t="s">
        <v>1518</v>
      </c>
      <c r="T264" s="7"/>
      <c r="U264" s="7"/>
      <c r="V264" s="122" t="s">
        <v>1518</v>
      </c>
      <c r="W264" s="122"/>
      <c r="X264" s="122" t="s">
        <v>1518</v>
      </c>
      <c r="Y264" s="7"/>
      <c r="Z264" s="7"/>
      <c r="AA264" s="7">
        <v>1</v>
      </c>
      <c r="AB264" s="7">
        <v>1</v>
      </c>
      <c r="AC264" s="7"/>
      <c r="AD264" s="7">
        <v>1</v>
      </c>
      <c r="AE264" s="7">
        <v>1</v>
      </c>
      <c r="AF264" s="7">
        <v>1</v>
      </c>
      <c r="AG264" s="7">
        <v>1</v>
      </c>
      <c r="AH264" s="7">
        <v>1</v>
      </c>
      <c r="AI264" s="7"/>
      <c r="AJ264" s="7">
        <v>1</v>
      </c>
      <c r="AK264" s="7"/>
      <c r="AL264" s="16">
        <v>45295</v>
      </c>
      <c r="AM264" s="4"/>
      <c r="AN264" s="6" t="s">
        <v>1023</v>
      </c>
      <c r="AO264" s="4"/>
      <c r="AP264" s="4"/>
      <c r="AQ264" s="4"/>
      <c r="AR264" s="11">
        <v>50</v>
      </c>
      <c r="AS264" s="11"/>
      <c r="AT264" s="11"/>
      <c r="AU264" s="11"/>
    </row>
    <row r="265" spans="1:47" ht="15.75" x14ac:dyDescent="0.25">
      <c r="A265" s="112" t="s">
        <v>961</v>
      </c>
      <c r="B265" s="6" t="s">
        <v>1412</v>
      </c>
      <c r="C265" s="8" t="s">
        <v>4</v>
      </c>
      <c r="D265" s="8" t="s">
        <v>1826</v>
      </c>
      <c r="E265" s="9">
        <v>27</v>
      </c>
      <c r="F265" s="9"/>
      <c r="G265" s="9"/>
      <c r="H265" s="7"/>
      <c r="I265" s="7"/>
      <c r="J265" s="7"/>
      <c r="K265" s="7"/>
      <c r="L265" s="122"/>
      <c r="M265" s="122"/>
      <c r="N265" s="122"/>
      <c r="O265" s="96"/>
      <c r="P265" s="7"/>
      <c r="Q265" s="93">
        <v>0.44968833701528577</v>
      </c>
      <c r="R265" s="93">
        <v>4407.6589595375517</v>
      </c>
      <c r="S265" s="122" t="s">
        <v>1518</v>
      </c>
      <c r="T265" s="7"/>
      <c r="U265" s="7"/>
      <c r="V265" s="122" t="s">
        <v>1518</v>
      </c>
      <c r="W265" s="122"/>
      <c r="X265" s="122"/>
      <c r="Y265" s="7"/>
      <c r="Z265" s="7"/>
      <c r="AA265" s="7"/>
      <c r="AB265" s="7"/>
      <c r="AC265" s="7">
        <v>1</v>
      </c>
      <c r="AD265" s="7"/>
      <c r="AE265" s="7"/>
      <c r="AF265" s="7"/>
      <c r="AG265" s="7"/>
      <c r="AH265" s="7"/>
      <c r="AI265" s="7"/>
      <c r="AJ265" s="7"/>
      <c r="AK265" s="7"/>
      <c r="AL265" s="16">
        <v>45295</v>
      </c>
      <c r="AM265" s="4"/>
      <c r="AN265" s="11" t="s">
        <v>989</v>
      </c>
      <c r="AO265" s="4"/>
      <c r="AP265" s="4"/>
      <c r="AQ265" s="4"/>
      <c r="AR265" s="11">
        <v>100</v>
      </c>
      <c r="AS265" s="11"/>
      <c r="AT265" s="11"/>
      <c r="AU265" s="11"/>
    </row>
    <row r="266" spans="1:47" ht="15.75" x14ac:dyDescent="0.25">
      <c r="A266" s="112" t="s">
        <v>306</v>
      </c>
      <c r="B266" s="6" t="s">
        <v>1414</v>
      </c>
      <c r="C266" s="8" t="s">
        <v>4</v>
      </c>
      <c r="D266" s="8" t="s">
        <v>17</v>
      </c>
      <c r="E266" s="9">
        <v>2</v>
      </c>
      <c r="F266" s="9"/>
      <c r="G266" s="9"/>
      <c r="H266" s="7"/>
      <c r="I266" s="7"/>
      <c r="J266" s="7"/>
      <c r="K266" s="7"/>
      <c r="L266" s="122"/>
      <c r="M266" s="122"/>
      <c r="N266" s="122"/>
      <c r="O266" s="96"/>
      <c r="P266" s="7"/>
      <c r="Q266" s="93">
        <v>1.9835475161625682</v>
      </c>
      <c r="R266" s="93">
        <v>546.61290322580703</v>
      </c>
      <c r="S266" s="122" t="s">
        <v>1518</v>
      </c>
      <c r="T266" s="7"/>
      <c r="U266" s="7"/>
      <c r="V266" s="122"/>
      <c r="W266" s="122"/>
      <c r="X266" s="122"/>
      <c r="Y266" s="7"/>
      <c r="Z266" s="7"/>
      <c r="AA266" s="7"/>
      <c r="AB266" s="7">
        <v>1</v>
      </c>
      <c r="AC266" s="7">
        <v>1</v>
      </c>
      <c r="AD266" s="7"/>
      <c r="AE266" s="7"/>
      <c r="AF266" s="7"/>
      <c r="AG266" s="7"/>
      <c r="AH266" s="7"/>
      <c r="AI266" s="7"/>
      <c r="AJ266" s="7"/>
      <c r="AK266" s="7"/>
      <c r="AL266" s="16">
        <v>45295</v>
      </c>
      <c r="AM266" s="4"/>
      <c r="AN266" s="11" t="s">
        <v>138</v>
      </c>
      <c r="AO266" s="11"/>
      <c r="AP266" s="4"/>
      <c r="AQ266" s="4"/>
      <c r="AR266" s="11">
        <v>250</v>
      </c>
      <c r="AS266" s="11"/>
      <c r="AT266" s="11"/>
      <c r="AU266" s="11"/>
    </row>
    <row r="267" spans="1:47" ht="15.75" x14ac:dyDescent="0.25">
      <c r="A267" s="112" t="s">
        <v>1418</v>
      </c>
      <c r="B267" s="6" t="s">
        <v>1419</v>
      </c>
      <c r="C267" s="9" t="s">
        <v>4</v>
      </c>
      <c r="D267" s="9" t="s">
        <v>29</v>
      </c>
      <c r="E267" s="9">
        <v>9</v>
      </c>
      <c r="F267" s="9"/>
      <c r="G267" s="9"/>
      <c r="H267" s="7"/>
      <c r="I267" s="7"/>
      <c r="J267" s="7"/>
      <c r="K267" s="7"/>
      <c r="L267" s="122"/>
      <c r="M267" s="122"/>
      <c r="N267" s="122"/>
      <c r="O267" s="96"/>
      <c r="P267" s="7"/>
      <c r="Q267" s="93">
        <v>0.38650149716110876</v>
      </c>
      <c r="R267" s="93">
        <v>1661.2745098039234</v>
      </c>
      <c r="S267" s="122" t="s">
        <v>1518</v>
      </c>
      <c r="T267" s="7"/>
      <c r="U267" s="7"/>
      <c r="V267" s="122"/>
      <c r="W267" s="122"/>
      <c r="X267" s="122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16">
        <v>45295</v>
      </c>
      <c r="AM267" s="4"/>
      <c r="AN267" s="11" t="s">
        <v>228</v>
      </c>
      <c r="AO267" s="4"/>
      <c r="AP267" s="4"/>
      <c r="AQ267" s="4"/>
      <c r="AR267" s="11">
        <v>360</v>
      </c>
      <c r="AS267" s="11"/>
      <c r="AT267" s="11"/>
      <c r="AU267" s="11"/>
    </row>
    <row r="268" spans="1:47" ht="15.75" x14ac:dyDescent="0.25">
      <c r="A268" s="112" t="s">
        <v>307</v>
      </c>
      <c r="B268" s="6" t="s">
        <v>1420</v>
      </c>
      <c r="C268" s="8" t="s">
        <v>4</v>
      </c>
      <c r="D268" s="8" t="s">
        <v>17</v>
      </c>
      <c r="E268" s="9">
        <v>4</v>
      </c>
      <c r="F268" s="9"/>
      <c r="G268" s="9"/>
      <c r="H268" s="7"/>
      <c r="I268" s="7"/>
      <c r="J268" s="7"/>
      <c r="K268" s="7"/>
      <c r="L268" s="122"/>
      <c r="M268" s="122"/>
      <c r="N268" s="122"/>
      <c r="O268" s="96"/>
      <c r="P268" s="7"/>
      <c r="Q268" s="93">
        <v>0.39355336380053729</v>
      </c>
      <c r="R268" s="93">
        <v>0.32534399999999936</v>
      </c>
      <c r="S268" s="122" t="s">
        <v>1518</v>
      </c>
      <c r="T268" s="7"/>
      <c r="U268" s="7"/>
      <c r="V268" s="122" t="s">
        <v>1518</v>
      </c>
      <c r="W268" s="122"/>
      <c r="X268" s="122" t="s">
        <v>1518</v>
      </c>
      <c r="Y268" s="7"/>
      <c r="Z268" s="7">
        <v>1</v>
      </c>
      <c r="AA268" s="7"/>
      <c r="AB268" s="7">
        <v>1</v>
      </c>
      <c r="AC268" s="7"/>
      <c r="AD268" s="7"/>
      <c r="AE268" s="7"/>
      <c r="AF268" s="7">
        <v>1</v>
      </c>
      <c r="AG268" s="7"/>
      <c r="AH268" s="7"/>
      <c r="AI268" s="7"/>
      <c r="AJ268" s="7"/>
      <c r="AK268" s="7">
        <v>1</v>
      </c>
      <c r="AL268" s="16">
        <v>45295</v>
      </c>
      <c r="AM268" s="4"/>
      <c r="AN268" s="11" t="s">
        <v>205</v>
      </c>
      <c r="AO268" s="4"/>
      <c r="AP268" s="4"/>
      <c r="AQ268" s="4"/>
      <c r="AR268" s="11">
        <v>400</v>
      </c>
      <c r="AS268" s="11"/>
      <c r="AT268" s="11"/>
      <c r="AU268" s="11"/>
    </row>
    <row r="269" spans="1:47" ht="15.75" x14ac:dyDescent="0.25">
      <c r="A269" s="112" t="s">
        <v>308</v>
      </c>
      <c r="B269" s="6" t="s">
        <v>1421</v>
      </c>
      <c r="C269" s="9" t="s">
        <v>4</v>
      </c>
      <c r="D269" s="8" t="s">
        <v>17</v>
      </c>
      <c r="E269" s="9">
        <v>18</v>
      </c>
      <c r="F269" s="9"/>
      <c r="G269" s="9"/>
      <c r="H269" s="7"/>
      <c r="I269" s="7"/>
      <c r="J269" s="7"/>
      <c r="K269" s="7"/>
      <c r="L269" s="122"/>
      <c r="M269" s="122"/>
      <c r="N269" s="122"/>
      <c r="O269" s="96"/>
      <c r="P269" s="7"/>
      <c r="Q269" s="93">
        <v>0.69129891228763585</v>
      </c>
      <c r="R269" s="93">
        <v>739.41818181818405</v>
      </c>
      <c r="S269" s="122" t="s">
        <v>1518</v>
      </c>
      <c r="T269" s="7"/>
      <c r="U269" s="7"/>
      <c r="V269" s="122"/>
      <c r="W269" s="122"/>
      <c r="X269" s="122" t="s">
        <v>1518</v>
      </c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>
        <v>1</v>
      </c>
      <c r="AL269" s="16">
        <v>45295</v>
      </c>
      <c r="AM269" s="4"/>
      <c r="AN269" s="6" t="s">
        <v>994</v>
      </c>
      <c r="AO269" s="4"/>
      <c r="AP269" s="4"/>
      <c r="AQ269" s="4"/>
      <c r="AR269" s="11">
        <v>400</v>
      </c>
      <c r="AS269" s="11"/>
      <c r="AT269" s="11"/>
      <c r="AU269" s="11"/>
    </row>
    <row r="270" spans="1:47" ht="15.75" x14ac:dyDescent="0.25">
      <c r="A270" s="112" t="s">
        <v>309</v>
      </c>
      <c r="B270" s="6" t="s">
        <v>1423</v>
      </c>
      <c r="C270" s="9" t="s">
        <v>4</v>
      </c>
      <c r="D270" s="8" t="s">
        <v>26</v>
      </c>
      <c r="E270" s="9">
        <v>3</v>
      </c>
      <c r="F270" s="9">
        <v>5</v>
      </c>
      <c r="G270" s="9">
        <v>12</v>
      </c>
      <c r="H270" s="7">
        <v>20</v>
      </c>
      <c r="I270" s="7"/>
      <c r="J270" s="7"/>
      <c r="K270" s="7" t="s">
        <v>14</v>
      </c>
      <c r="L270" s="122"/>
      <c r="M270" s="122"/>
      <c r="N270" s="122"/>
      <c r="O270" s="96"/>
      <c r="P270" s="14">
        <v>0.3</v>
      </c>
      <c r="Q270" s="93">
        <v>23.007764939554626</v>
      </c>
      <c r="R270" s="93">
        <v>212.33939676616896</v>
      </c>
      <c r="S270" s="122" t="s">
        <v>1518</v>
      </c>
      <c r="T270" s="7"/>
      <c r="U270" s="7"/>
      <c r="V270" s="122"/>
      <c r="W270" s="122"/>
      <c r="X270" s="122" t="s">
        <v>1518</v>
      </c>
      <c r="Y270" s="7"/>
      <c r="Z270" s="7">
        <v>1</v>
      </c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16">
        <v>45295</v>
      </c>
      <c r="AM270" s="4"/>
      <c r="AN270" s="6" t="s">
        <v>1000</v>
      </c>
      <c r="AO270" s="6" t="s">
        <v>1037</v>
      </c>
      <c r="AP270" s="6" t="s">
        <v>999</v>
      </c>
      <c r="AQ270" s="6"/>
      <c r="AR270" s="11">
        <v>300</v>
      </c>
      <c r="AS270" s="11">
        <v>250</v>
      </c>
      <c r="AT270" s="11">
        <v>40</v>
      </c>
      <c r="AU270" s="11"/>
    </row>
    <row r="271" spans="1:47" ht="15.75" x14ac:dyDescent="0.25">
      <c r="A271" s="112" t="s">
        <v>310</v>
      </c>
      <c r="B271" s="6" t="s">
        <v>1426</v>
      </c>
      <c r="C271" s="9" t="s">
        <v>4</v>
      </c>
      <c r="D271" s="8" t="s">
        <v>959</v>
      </c>
      <c r="E271" s="9">
        <v>5</v>
      </c>
      <c r="F271" s="9"/>
      <c r="G271" s="9"/>
      <c r="H271" s="7">
        <v>20</v>
      </c>
      <c r="I271" s="7"/>
      <c r="J271" s="7"/>
      <c r="K271" s="7" t="s">
        <v>14</v>
      </c>
      <c r="L271" s="122" t="s">
        <v>1518</v>
      </c>
      <c r="M271" s="122" t="s">
        <v>1518</v>
      </c>
      <c r="N271" s="122"/>
      <c r="O271" s="96"/>
      <c r="P271" s="14">
        <v>0.3</v>
      </c>
      <c r="Q271" s="93">
        <v>5.0762601731828667</v>
      </c>
      <c r="R271" s="93">
        <v>9.180135440180603</v>
      </c>
      <c r="S271" s="122" t="s">
        <v>1518</v>
      </c>
      <c r="T271" s="7"/>
      <c r="U271" s="7"/>
      <c r="V271" s="122"/>
      <c r="W271" s="122"/>
      <c r="X271" s="122" t="s">
        <v>1518</v>
      </c>
      <c r="Y271" s="7"/>
      <c r="Z271" s="7"/>
      <c r="AA271" s="7">
        <v>1</v>
      </c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16">
        <v>45295</v>
      </c>
      <c r="AM271" s="4"/>
      <c r="AN271" s="6" t="s">
        <v>991</v>
      </c>
      <c r="AO271" s="4"/>
      <c r="AP271" s="4"/>
      <c r="AQ271" s="4"/>
      <c r="AR271" s="11">
        <v>800</v>
      </c>
      <c r="AS271" s="11"/>
      <c r="AT271" s="11"/>
      <c r="AU271" s="11"/>
    </row>
    <row r="272" spans="1:47" ht="15.75" x14ac:dyDescent="0.25">
      <c r="A272" s="112" t="s">
        <v>955</v>
      </c>
      <c r="B272" s="6" t="s">
        <v>1427</v>
      </c>
      <c r="C272" s="9" t="s">
        <v>4</v>
      </c>
      <c r="D272" s="8" t="s">
        <v>17</v>
      </c>
      <c r="E272" s="9">
        <v>5</v>
      </c>
      <c r="F272" s="9"/>
      <c r="G272" s="9"/>
      <c r="H272" s="7">
        <v>6</v>
      </c>
      <c r="I272" s="7"/>
      <c r="J272" s="7"/>
      <c r="K272" s="7" t="s">
        <v>14</v>
      </c>
      <c r="L272" s="122" t="s">
        <v>1518</v>
      </c>
      <c r="M272" s="122" t="s">
        <v>1518</v>
      </c>
      <c r="N272" s="122"/>
      <c r="O272" s="96"/>
      <c r="P272" s="14">
        <v>0.3</v>
      </c>
      <c r="Q272" s="93">
        <v>3.1726626082392921</v>
      </c>
      <c r="R272" s="93">
        <v>5.7375846501128764</v>
      </c>
      <c r="S272" s="122" t="s">
        <v>1518</v>
      </c>
      <c r="T272" s="7"/>
      <c r="U272" s="7"/>
      <c r="V272" s="122"/>
      <c r="W272" s="122"/>
      <c r="X272" s="122" t="s">
        <v>1518</v>
      </c>
      <c r="Y272" s="7"/>
      <c r="Z272" s="7"/>
      <c r="AA272" s="7">
        <v>1</v>
      </c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16">
        <v>45295</v>
      </c>
      <c r="AM272" s="4"/>
      <c r="AN272" s="6" t="s">
        <v>991</v>
      </c>
      <c r="AO272" s="4"/>
      <c r="AP272" s="4"/>
      <c r="AQ272" s="4"/>
      <c r="AR272" s="11">
        <v>500</v>
      </c>
      <c r="AS272" s="11"/>
      <c r="AT272" s="11"/>
      <c r="AU272" s="11"/>
    </row>
    <row r="273" spans="1:47" s="103" customFormat="1" ht="15.75" x14ac:dyDescent="0.25">
      <c r="A273" s="112" t="s">
        <v>1948</v>
      </c>
      <c r="B273" s="6" t="s">
        <v>1947</v>
      </c>
      <c r="C273" s="8" t="s">
        <v>4</v>
      </c>
      <c r="D273" s="8" t="s">
        <v>17</v>
      </c>
      <c r="E273" s="9">
        <v>1</v>
      </c>
      <c r="F273" s="9"/>
      <c r="G273" s="9"/>
      <c r="H273" s="7"/>
      <c r="I273" s="7"/>
      <c r="J273" s="7"/>
      <c r="K273" s="7"/>
      <c r="L273" s="122"/>
      <c r="M273" s="122"/>
      <c r="N273" s="122"/>
      <c r="O273" s="96"/>
      <c r="P273" s="7"/>
      <c r="Q273" s="93">
        <v>0.10543701414231428</v>
      </c>
      <c r="R273" s="93">
        <v>69.828296703296587</v>
      </c>
      <c r="S273" s="122" t="s">
        <v>1518</v>
      </c>
      <c r="T273" s="7"/>
      <c r="U273" s="7"/>
      <c r="V273" s="122"/>
      <c r="W273" s="122"/>
      <c r="X273" s="122"/>
      <c r="Y273" s="7"/>
      <c r="Z273" s="7"/>
      <c r="AA273" s="7">
        <v>1</v>
      </c>
      <c r="AB273" s="7">
        <v>1</v>
      </c>
      <c r="AC273" s="7"/>
      <c r="AD273" s="7">
        <v>1</v>
      </c>
      <c r="AE273" s="7">
        <v>1</v>
      </c>
      <c r="AF273" s="7">
        <v>1</v>
      </c>
      <c r="AG273" s="7">
        <v>1</v>
      </c>
      <c r="AH273" s="7">
        <v>1</v>
      </c>
      <c r="AI273" s="7"/>
      <c r="AJ273" s="7">
        <v>1</v>
      </c>
      <c r="AK273" s="7"/>
      <c r="AL273" s="16">
        <v>45295</v>
      </c>
      <c r="AM273" s="4"/>
      <c r="AN273" s="6" t="s">
        <v>1028</v>
      </c>
      <c r="AO273" s="4"/>
      <c r="AP273" s="4"/>
      <c r="AQ273" s="4"/>
      <c r="AR273" s="11">
        <v>125</v>
      </c>
      <c r="AS273" s="11"/>
      <c r="AT273" s="11"/>
      <c r="AU273" s="11"/>
    </row>
    <row r="274" spans="1:47" ht="24.75" x14ac:dyDescent="0.25">
      <c r="A274" s="112" t="s">
        <v>1938</v>
      </c>
      <c r="B274" s="6" t="s">
        <v>1939</v>
      </c>
      <c r="C274" s="8" t="s">
        <v>4</v>
      </c>
      <c r="D274" s="7" t="s">
        <v>13</v>
      </c>
      <c r="E274" s="9">
        <v>4</v>
      </c>
      <c r="F274" s="9">
        <v>15</v>
      </c>
      <c r="G274" s="9"/>
      <c r="H274" s="7"/>
      <c r="I274" s="7"/>
      <c r="J274" s="7"/>
      <c r="K274" s="7"/>
      <c r="L274" s="122" t="s">
        <v>1518</v>
      </c>
      <c r="M274" s="122" t="s">
        <v>1518</v>
      </c>
      <c r="N274" s="122"/>
      <c r="O274" s="96" t="s">
        <v>302</v>
      </c>
      <c r="P274" s="14"/>
      <c r="Q274" s="93">
        <v>4.0530211704793153</v>
      </c>
      <c r="R274" s="93">
        <v>151.16896344589819</v>
      </c>
      <c r="S274" s="122" t="s">
        <v>1518</v>
      </c>
      <c r="T274" s="7"/>
      <c r="U274" s="7"/>
      <c r="V274" s="122" t="s">
        <v>1518</v>
      </c>
      <c r="W274" s="122"/>
      <c r="X274" s="122" t="s">
        <v>1518</v>
      </c>
      <c r="Y274" s="7"/>
      <c r="Z274" s="7"/>
      <c r="AA274" s="7">
        <v>1</v>
      </c>
      <c r="AB274" s="7"/>
      <c r="AC274" s="7"/>
      <c r="AD274" s="7">
        <v>1</v>
      </c>
      <c r="AE274" s="7"/>
      <c r="AF274" s="7"/>
      <c r="AG274" s="7"/>
      <c r="AH274" s="7"/>
      <c r="AI274" s="7"/>
      <c r="AJ274" s="7"/>
      <c r="AK274" s="7"/>
      <c r="AL274" s="16">
        <v>45295</v>
      </c>
      <c r="AM274" s="4"/>
      <c r="AN274" s="6" t="s">
        <v>303</v>
      </c>
      <c r="AO274" s="4" t="s">
        <v>1008</v>
      </c>
      <c r="AP274" s="4"/>
      <c r="AQ274" s="4"/>
      <c r="AR274" s="11">
        <v>167</v>
      </c>
      <c r="AS274" s="11">
        <v>333</v>
      </c>
      <c r="AT274" s="11"/>
      <c r="AU274" s="11"/>
    </row>
    <row r="275" spans="1:47" ht="15.75" x14ac:dyDescent="0.25">
      <c r="A275" s="112" t="s">
        <v>311</v>
      </c>
      <c r="B275" s="6" t="s">
        <v>1432</v>
      </c>
      <c r="C275" s="8" t="s">
        <v>4</v>
      </c>
      <c r="D275" s="8" t="s">
        <v>26</v>
      </c>
      <c r="E275" s="9">
        <v>5</v>
      </c>
      <c r="F275" s="9"/>
      <c r="G275" s="9"/>
      <c r="H275" s="7"/>
      <c r="I275" s="7"/>
      <c r="J275" s="7"/>
      <c r="K275" s="7" t="s">
        <v>14</v>
      </c>
      <c r="L275" s="122"/>
      <c r="M275" s="122"/>
      <c r="N275" s="122"/>
      <c r="O275" s="96"/>
      <c r="P275" s="14">
        <v>0.3</v>
      </c>
      <c r="Q275" s="93">
        <v>4</v>
      </c>
      <c r="R275" s="93">
        <v>462</v>
      </c>
      <c r="S275" s="122" t="s">
        <v>1518</v>
      </c>
      <c r="T275" s="7"/>
      <c r="U275" s="7"/>
      <c r="V275" s="122"/>
      <c r="W275" s="122"/>
      <c r="X275" s="122" t="s">
        <v>1518</v>
      </c>
      <c r="Y275" s="7"/>
      <c r="Z275" s="7">
        <v>1</v>
      </c>
      <c r="AA275" s="7"/>
      <c r="AB275" s="7">
        <v>1</v>
      </c>
      <c r="AC275" s="7"/>
      <c r="AD275" s="7"/>
      <c r="AE275" s="7"/>
      <c r="AF275" s="7"/>
      <c r="AG275" s="7"/>
      <c r="AH275" s="7"/>
      <c r="AI275" s="7"/>
      <c r="AJ275" s="7"/>
      <c r="AK275" s="7"/>
      <c r="AL275" s="16">
        <v>45295</v>
      </c>
      <c r="AM275" s="4"/>
      <c r="AN275" s="6" t="s">
        <v>1012</v>
      </c>
      <c r="AO275" s="4"/>
      <c r="AP275" s="4"/>
      <c r="AQ275" s="4"/>
      <c r="AR275" s="11">
        <v>700</v>
      </c>
      <c r="AS275" s="11"/>
      <c r="AT275" s="11"/>
      <c r="AU275" s="11"/>
    </row>
    <row r="276" spans="1:47" ht="15.75" x14ac:dyDescent="0.25">
      <c r="A276" s="112" t="s">
        <v>1529</v>
      </c>
      <c r="B276" s="6" t="s">
        <v>1435</v>
      </c>
      <c r="C276" s="9" t="s">
        <v>4</v>
      </c>
      <c r="D276" s="9" t="s">
        <v>13</v>
      </c>
      <c r="E276" s="9">
        <v>4</v>
      </c>
      <c r="F276" s="9"/>
      <c r="G276" s="9"/>
      <c r="H276" s="7">
        <v>20</v>
      </c>
      <c r="I276" s="7"/>
      <c r="J276" s="7">
        <v>3</v>
      </c>
      <c r="K276" s="7" t="s">
        <v>14</v>
      </c>
      <c r="L276" s="122"/>
      <c r="M276" s="122"/>
      <c r="N276" s="122"/>
      <c r="O276" s="96"/>
      <c r="P276" s="7"/>
      <c r="Q276" s="93">
        <v>5</v>
      </c>
      <c r="R276" s="93">
        <v>199</v>
      </c>
      <c r="S276" s="122" t="s">
        <v>1518</v>
      </c>
      <c r="T276" s="7"/>
      <c r="U276" s="7"/>
      <c r="V276" s="122" t="s">
        <v>1518</v>
      </c>
      <c r="W276" s="122"/>
      <c r="X276" s="122" t="s">
        <v>1518</v>
      </c>
      <c r="Y276" s="7" t="s">
        <v>7</v>
      </c>
      <c r="Z276" s="7">
        <v>1</v>
      </c>
      <c r="AA276" s="7"/>
      <c r="AB276" s="7"/>
      <c r="AC276" s="7">
        <v>1</v>
      </c>
      <c r="AD276" s="7"/>
      <c r="AE276" s="7"/>
      <c r="AF276" s="7"/>
      <c r="AG276" s="7"/>
      <c r="AH276" s="7"/>
      <c r="AI276" s="7"/>
      <c r="AJ276" s="7"/>
      <c r="AK276" s="7">
        <v>1</v>
      </c>
      <c r="AL276" s="16">
        <v>45295</v>
      </c>
      <c r="AM276" s="4"/>
      <c r="AN276" s="105" t="s">
        <v>112</v>
      </c>
      <c r="AO276" s="4"/>
      <c r="AP276" s="4"/>
      <c r="AQ276" s="4"/>
      <c r="AR276" s="37">
        <v>496</v>
      </c>
      <c r="AS276" s="11"/>
      <c r="AT276" s="11"/>
      <c r="AU276" s="11"/>
    </row>
    <row r="277" spans="1:47" ht="15.75" x14ac:dyDescent="0.25">
      <c r="A277" s="112" t="s">
        <v>1436</v>
      </c>
      <c r="B277" s="6" t="s">
        <v>1437</v>
      </c>
      <c r="C277" s="9" t="s">
        <v>4</v>
      </c>
      <c r="D277" s="9" t="s">
        <v>88</v>
      </c>
      <c r="E277" s="9">
        <v>4</v>
      </c>
      <c r="F277" s="9"/>
      <c r="G277" s="9"/>
      <c r="H277" s="7">
        <v>20</v>
      </c>
      <c r="I277" s="7"/>
      <c r="J277" s="7">
        <v>3</v>
      </c>
      <c r="K277" s="7" t="s">
        <v>14</v>
      </c>
      <c r="L277" s="122"/>
      <c r="M277" s="122"/>
      <c r="N277" s="122"/>
      <c r="O277" s="96"/>
      <c r="P277" s="7"/>
      <c r="Q277" s="93">
        <v>5</v>
      </c>
      <c r="R277" s="93">
        <v>199</v>
      </c>
      <c r="S277" s="122" t="s">
        <v>1518</v>
      </c>
      <c r="T277" s="7"/>
      <c r="U277" s="7"/>
      <c r="V277" s="122" t="s">
        <v>1518</v>
      </c>
      <c r="W277" s="122"/>
      <c r="X277" s="122" t="s">
        <v>1518</v>
      </c>
      <c r="Y277" s="7" t="s">
        <v>7</v>
      </c>
      <c r="Z277" s="7">
        <v>1</v>
      </c>
      <c r="AA277" s="7"/>
      <c r="AB277" s="7"/>
      <c r="AC277" s="7">
        <v>1</v>
      </c>
      <c r="AD277" s="7"/>
      <c r="AE277" s="7"/>
      <c r="AF277" s="7"/>
      <c r="AG277" s="7"/>
      <c r="AH277" s="7"/>
      <c r="AI277" s="7"/>
      <c r="AJ277" s="7"/>
      <c r="AK277" s="7">
        <v>1</v>
      </c>
      <c r="AL277" s="16">
        <v>45295</v>
      </c>
      <c r="AM277" s="4"/>
      <c r="AN277" s="105" t="s">
        <v>112</v>
      </c>
      <c r="AO277" s="4"/>
      <c r="AP277" s="4"/>
      <c r="AQ277" s="4"/>
      <c r="AR277" s="37">
        <v>496</v>
      </c>
      <c r="AS277" s="11"/>
      <c r="AT277" s="11"/>
      <c r="AU277" s="11"/>
    </row>
    <row r="278" spans="1:47" x14ac:dyDescent="0.2">
      <c r="A278" s="103"/>
      <c r="B278" s="103"/>
      <c r="C278" s="104"/>
      <c r="D278" s="101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1"/>
      <c r="R278" s="101"/>
      <c r="S278" s="104"/>
      <c r="T278" s="104"/>
      <c r="U278" s="104"/>
      <c r="V278" s="104"/>
      <c r="W278" s="104"/>
      <c r="X278" s="104"/>
      <c r="Y278" s="104"/>
      <c r="Z278" s="101"/>
      <c r="AA278" s="101"/>
      <c r="AB278" s="104"/>
      <c r="AC278" s="104"/>
      <c r="AD278" s="104"/>
      <c r="AE278" s="101"/>
      <c r="AF278" s="104"/>
      <c r="AG278" s="104"/>
      <c r="AH278" s="101"/>
      <c r="AI278" s="101"/>
      <c r="AJ278" s="104"/>
      <c r="AK278" s="101"/>
      <c r="AL278" s="103"/>
      <c r="AM278" s="103"/>
      <c r="AN278" s="103"/>
      <c r="AO278" s="103"/>
      <c r="AP278" s="103"/>
      <c r="AQ278" s="103"/>
      <c r="AR278" s="104"/>
      <c r="AS278" s="104"/>
      <c r="AT278" s="104"/>
      <c r="AU278" s="104"/>
    </row>
    <row r="280" spans="1:47" x14ac:dyDescent="0.2">
      <c r="H280" s="168"/>
      <c r="I280" s="39" t="str">
        <f>+Textes!A50</f>
        <v>Restriction légère</v>
      </c>
      <c r="L280" s="40" t="s">
        <v>1518</v>
      </c>
      <c r="M280" s="40" t="s">
        <v>1518</v>
      </c>
      <c r="N280" s="3" t="str">
        <f>+Textes!A54</f>
        <v>oui</v>
      </c>
      <c r="Q280" s="164" t="str">
        <f>+Fongicides!Q117</f>
        <v>Potentiel de risque</v>
      </c>
      <c r="R280" s="164"/>
      <c r="V280" s="41" t="s">
        <v>1518</v>
      </c>
      <c r="W280" s="39" t="str">
        <f>+Textes!A60</f>
        <v>gant + tablier + …</v>
      </c>
      <c r="AA280" s="44"/>
      <c r="AB280" s="39" t="str">
        <f>+Textes!A62</f>
        <v>Homologué</v>
      </c>
    </row>
    <row r="281" spans="1:47" x14ac:dyDescent="0.2">
      <c r="H281" s="172"/>
      <c r="I281" s="39" t="str">
        <f>+Textes!A51</f>
        <v>Restriction moyenne</v>
      </c>
      <c r="Q281" s="339" t="str">
        <f>+Fongicides!Q118</f>
        <v>faible</v>
      </c>
      <c r="R281" s="349"/>
      <c r="S281" s="7">
        <v>1</v>
      </c>
      <c r="T281" s="39" t="str">
        <f>+Fongicides!V119</f>
        <v>interdit sur plantes en fleur</v>
      </c>
      <c r="AA281" s="249"/>
      <c r="AB281" s="39" t="str">
        <f>Textes!A64</f>
        <v>Homologué mais soumis à autorisation</v>
      </c>
    </row>
    <row r="282" spans="1:47" x14ac:dyDescent="0.2">
      <c r="H282" s="169"/>
      <c r="I282" s="39" t="str">
        <f>+Textes!A52</f>
        <v>Restriction forte</v>
      </c>
      <c r="Q282" s="340" t="str">
        <f>+Fongicides!Q119</f>
        <v>moyen</v>
      </c>
      <c r="R282" s="350"/>
      <c r="S282" s="7">
        <v>2</v>
      </c>
      <c r="T282" s="39" t="str">
        <f>+Fongicides!V120</f>
        <v>hors vol des abeilles</v>
      </c>
      <c r="Y282" s="3" t="s">
        <v>7</v>
      </c>
      <c r="Z282" s="39" t="str">
        <f>+Fongicides!Z118</f>
        <v>avec tenue de travail</v>
      </c>
    </row>
    <row r="283" spans="1:47" x14ac:dyDescent="0.2">
      <c r="H283" s="43"/>
      <c r="I283" s="39" t="str">
        <f>+Textes!A53</f>
        <v>Restriction très forte</v>
      </c>
      <c r="Q283" s="341" t="str">
        <f>+Fongicides!Q120</f>
        <v>élevé</v>
      </c>
      <c r="R283" s="341"/>
    </row>
  </sheetData>
  <sheetProtection algorithmName="SHA-512" hashValue="t4U1dt4UnpBzb9vDoNUYr1U/YGxZlM+SBO7JnSVnrxWB4yaH4CV9Mg98bJCPGWA3FcwjW+GnHwT3s2YoUExCuw==" saltValue="5hsFBUg89X8wvtnhCS6Y4w==" spinCount="100000" sheet="1" selectLockedCells="1" sort="0" autoFilter="0"/>
  <autoFilter ref="A3:AU278" xr:uid="{00000000-0009-0000-0000-000003000000}"/>
  <mergeCells count="9">
    <mergeCell ref="Q281:R281"/>
    <mergeCell ref="Q282:R282"/>
    <mergeCell ref="Q283:R283"/>
    <mergeCell ref="E1:G1"/>
    <mergeCell ref="Z1:AK1"/>
    <mergeCell ref="L1:P1"/>
    <mergeCell ref="Q1:U1"/>
    <mergeCell ref="V1:Y1"/>
    <mergeCell ref="H1:J1"/>
  </mergeCells>
  <conditionalFormatting sqref="L3:N3">
    <cfRule type="cellIs" dxfId="1994" priority="7844" operator="equal">
      <formula>"oui"</formula>
    </cfRule>
  </conditionalFormatting>
  <conditionalFormatting sqref="S281:S282">
    <cfRule type="cellIs" dxfId="1993" priority="3183" operator="equal">
      <formula>3</formula>
    </cfRule>
    <cfRule type="cellIs" dxfId="1992" priority="3184" operator="equal">
      <formula>2</formula>
    </cfRule>
    <cfRule type="cellIs" dxfId="1991" priority="3185" operator="equal">
      <formula>1</formula>
    </cfRule>
  </conditionalFormatting>
  <conditionalFormatting sqref="J278:K278">
    <cfRule type="cellIs" dxfId="1990" priority="1820" operator="equal">
      <formula>100</formula>
    </cfRule>
    <cfRule type="cellIs" dxfId="1989" priority="1821" operator="equal">
      <formula>50</formula>
    </cfRule>
    <cfRule type="cellIs" dxfId="1988" priority="1822" operator="equal">
      <formula>20</formula>
    </cfRule>
    <cfRule type="cellIs" dxfId="1987" priority="1823" operator="equal">
      <formula>6</formula>
    </cfRule>
  </conditionalFormatting>
  <conditionalFormatting sqref="K278">
    <cfRule type="cellIs" dxfId="1986" priority="1819" operator="equal">
      <formula>"4 pt"</formula>
    </cfRule>
    <cfRule type="cellIs" dxfId="1985" priority="1824" operator="equal">
      <formula>"3 pt"</formula>
    </cfRule>
    <cfRule type="cellIs" dxfId="1984" priority="1825" operator="equal">
      <formula>"2 pt"</formula>
    </cfRule>
    <cfRule type="cellIs" dxfId="1983" priority="1826" operator="equal">
      <formula>"1 pt"</formula>
    </cfRule>
  </conditionalFormatting>
  <conditionalFormatting sqref="I278">
    <cfRule type="cellIs" dxfId="1982" priority="1815" operator="equal">
      <formula>100</formula>
    </cfRule>
    <cfRule type="cellIs" dxfId="1981" priority="1816" operator="equal">
      <formula>50</formula>
    </cfRule>
    <cfRule type="cellIs" dxfId="1980" priority="1817" operator="equal">
      <formula>20</formula>
    </cfRule>
    <cfRule type="cellIs" dxfId="1979" priority="1818" operator="equal">
      <formula>6</formula>
    </cfRule>
  </conditionalFormatting>
  <conditionalFormatting sqref="H2:H3 H65:H67 H88:H97 H99:H111 H237:H277 H71 H73:H79 H113:H127 H129:H135 H137:H184 H186:H194 H209:H214 H216:H222">
    <cfRule type="cellIs" dxfId="1978" priority="1811" operator="equal">
      <formula>100</formula>
    </cfRule>
    <cfRule type="cellIs" dxfId="1977" priority="1812" operator="equal">
      <formula>50</formula>
    </cfRule>
    <cfRule type="cellIs" dxfId="1976" priority="1813" operator="equal">
      <formula>20</formula>
    </cfRule>
    <cfRule type="cellIs" dxfId="1975" priority="1814" operator="equal">
      <formula>6</formula>
    </cfRule>
  </conditionalFormatting>
  <conditionalFormatting sqref="I2:J3 I65:J67 I88:J97 I99:J111 I237:J277 I71:J71 I73:J79 I113:J127 I129:J135 I137:J184 I186:J194 I209:J214 I216:J222">
    <cfRule type="cellIs" dxfId="1974" priority="1807" operator="equal">
      <formula>50</formula>
    </cfRule>
    <cfRule type="cellIs" dxfId="1973" priority="1808" operator="equal">
      <formula>20</formula>
    </cfRule>
    <cfRule type="cellIs" dxfId="1972" priority="1809" operator="equal">
      <formula>6</formula>
    </cfRule>
    <cfRule type="cellIs" dxfId="1971" priority="1810" operator="equal">
      <formula>3</formula>
    </cfRule>
  </conditionalFormatting>
  <conditionalFormatting sqref="K2:K3 K65:K67 K88:K97 K99:K111 K237:K277 K71 K73:K79 K113:K127 K129:K135 K137:K184 K186:K194 K209:K214 K216:K222">
    <cfRule type="cellIs" dxfId="1970" priority="1803" operator="equal">
      <formula>"4 pt"</formula>
    </cfRule>
    <cfRule type="cellIs" dxfId="1969" priority="1804" operator="equal">
      <formula>"3 pt"</formula>
    </cfRule>
    <cfRule type="cellIs" dxfId="1968" priority="1805" operator="equal">
      <formula>"2 pt"</formula>
    </cfRule>
    <cfRule type="cellIs" dxfId="1967" priority="1806" operator="equal">
      <formula>"1 pt"</formula>
    </cfRule>
  </conditionalFormatting>
  <conditionalFormatting sqref="L207:N207 L205:N205 L199:N202 L197:N197 L141:N144 L97 L74:N79 L13:N15 L8:N11 L4:N5 L67:N67 M5:M6 L18:N39 L42:N63 L66 N66 M64:M66 L81:N86 L88:N95 N97 M96:M97 L99:N106 L109:N111 L113:N121 L137:N138 L146:N156 L158:N167 L224:N234 L237:N275 L71:N71 L123:N127 L129:N135 L170:N184 L186:N194 L209:N214 L216:N222">
    <cfRule type="cellIs" dxfId="1966" priority="601" operator="equal">
      <formula>"!"</formula>
    </cfRule>
  </conditionalFormatting>
  <conditionalFormatting sqref="Y273:Y275 Y268:Y271 Y266 Y262:Y264 Y248:Y255 Y241:Y244 Y231 Y233:Y234 Y237:Y238 Y224:Y229 Y210:Y212 Y207 Y199:Y202 Y197 Y193:Y194 Y187:Y190 Y172:Y177 Y164:Y167 Y158:Y160 Y147:Y156 Y141:Y144 Y137:Y138 Y135 Y125 Y123 Y114 Y116:Y121 Y110:Y111 Y104:Y105 Y102 Y99 Y95 Y90:Y93 Y88 Y79 Y81:Y83 Y77 Y65:Y67 Y50:Y63 Y43:Y48 Y37:Y39 Y33:Y35 Y29:Y30 Y22:Y27 Y18:Y19 Y11 Y13:Y15 Y8:Y9 Y4:Y5 Y71 Y127 Y129:Y132 Y180:Y184 Y214 Y216:Y221">
    <cfRule type="cellIs" dxfId="1965" priority="600" operator="equal">
      <formula>1</formula>
    </cfRule>
  </conditionalFormatting>
  <conditionalFormatting sqref="V237:X275 S237:S275 V224:X234 S224:S234 S207 V207:X207 S205 V205:X205 S199:S202 V199:X202 V197:X197 S197 V158:X167 S158:S167 V146:X156 S146:S156 S141:S144 V141:X144 S137:S138 V137:X138 S113:S121 V113:X121 S109:S111 V109:X111 S99:S106 V99:X106 V97:X97 S97 S88:S95 V88:X95 V81:X86 S81:S86 V74:X79 S74:S79 S42:S63 V42:X63 S18:S39 V18:X39 S13:S15 V13:X15 S8:S11 V8:X11 S4:S5 V4:X5 V65:X67 S65:S67 V71:X71 S71 V123:X127 S123:S127 S129:S135 V129:X135 S170:S184 V170:X184 V186:X194 S186:S194 V209:X214 S209:S214 S216:S222 V216:X222">
    <cfRule type="cellIs" dxfId="1964" priority="599" operator="equal">
      <formula>"!"</formula>
    </cfRule>
  </conditionalFormatting>
  <conditionalFormatting sqref="T237:T275 T224:T234 T207 T205 T199:T202 T197 T158:T167 T146:T156 T141:T144 T137:T138 T113:T121 T109:T111 T99:T106 T97 T88:T95 T81:T86 T74:T79 T42:T63 T18:T39 T13:T15 T8:T11 T4:T5 T65:T67 T71 T123:T127 T129:T135 T170:T184 T186:T194 T209:T214 T216:T222">
    <cfRule type="cellIs" dxfId="1963" priority="597" operator="equal">
      <formula>2</formula>
    </cfRule>
    <cfRule type="cellIs" dxfId="1962" priority="598" operator="equal">
      <formula>1</formula>
    </cfRule>
  </conditionalFormatting>
  <conditionalFormatting sqref="H224:H235 H197:H207 H81:H86 H42:H63 H18:H39 H13:H15 H7:H11 H4:H5">
    <cfRule type="cellIs" dxfId="1961" priority="593" operator="equal">
      <formula>100</formula>
    </cfRule>
    <cfRule type="cellIs" dxfId="1960" priority="594" operator="equal">
      <formula>50</formula>
    </cfRule>
    <cfRule type="cellIs" dxfId="1959" priority="595" operator="equal">
      <formula>20</formula>
    </cfRule>
    <cfRule type="cellIs" dxfId="1958" priority="596" operator="equal">
      <formula>6</formula>
    </cfRule>
  </conditionalFormatting>
  <conditionalFormatting sqref="I224:J235 I197:J207 I81:J86 I42:J63 I18:J39 I13:J15 I7:J11 I4:J5">
    <cfRule type="cellIs" dxfId="1957" priority="589" operator="equal">
      <formula>50</formula>
    </cfRule>
    <cfRule type="cellIs" dxfId="1956" priority="590" operator="equal">
      <formula>20</formula>
    </cfRule>
    <cfRule type="cellIs" dxfId="1955" priority="591" operator="equal">
      <formula>6</formula>
    </cfRule>
    <cfRule type="cellIs" dxfId="1954" priority="592" operator="equal">
      <formula>3</formula>
    </cfRule>
  </conditionalFormatting>
  <conditionalFormatting sqref="K224:K235 K197:K207 K81:K86 K42:K63 K18:K39 K13:K15 K7:K11 K4:K5">
    <cfRule type="cellIs" dxfId="1953" priority="585" operator="equal">
      <formula>"4 pt"</formula>
    </cfRule>
    <cfRule type="cellIs" dxfId="1952" priority="586" operator="equal">
      <formula>"3 pt"</formula>
    </cfRule>
    <cfRule type="cellIs" dxfId="1951" priority="587" operator="equal">
      <formula>"2 pt"</formula>
    </cfRule>
    <cfRule type="cellIs" dxfId="1950" priority="588" operator="equal">
      <formula>"1 pt"</formula>
    </cfRule>
  </conditionalFormatting>
  <conditionalFormatting sqref="Z224:AK235 Z81:AK86 Z88:AK111 Z237:AK277 Z4:AK68 Z70:AK71 Z73:AK79 Z113:AK127 Z129:AK184 Z186:AK214 Z216:AK222">
    <cfRule type="cellIs" dxfId="1949" priority="579" operator="equal">
      <formula>3</formula>
    </cfRule>
    <cfRule type="cellIs" dxfId="1948" priority="580" operator="equal">
      <formula>2</formula>
    </cfRule>
    <cfRule type="cellIs" dxfId="1947" priority="581" operator="equal">
      <formula>1</formula>
    </cfRule>
  </conditionalFormatting>
  <conditionalFormatting sqref="Q224:R235 Q81:R86 Q88:R111 Q237:R277 Q4:R68 Q70:R71 Q73:R79 Q113:R127 Q129:R184 Q186:R214 Q216:R222">
    <cfRule type="cellIs" dxfId="1946" priority="582" operator="greaterThan">
      <formula>1000</formula>
    </cfRule>
    <cfRule type="cellIs" dxfId="1945" priority="583" operator="between">
      <formula>10</formula>
      <formula>1000</formula>
    </cfRule>
    <cfRule type="cellIs" dxfId="1944" priority="584" operator="lessThan">
      <formula>10</formula>
    </cfRule>
  </conditionalFormatting>
  <conditionalFormatting sqref="L6:N6">
    <cfRule type="cellIs" dxfId="1943" priority="578" operator="equal">
      <formula>"!"</formula>
    </cfRule>
  </conditionalFormatting>
  <conditionalFormatting sqref="Y6">
    <cfRule type="cellIs" dxfId="1942" priority="577" operator="equal">
      <formula>1</formula>
    </cfRule>
  </conditionalFormatting>
  <conditionalFormatting sqref="S6 V6:X6">
    <cfRule type="cellIs" dxfId="1941" priority="576" operator="equal">
      <formula>"!"</formula>
    </cfRule>
  </conditionalFormatting>
  <conditionalFormatting sqref="T6">
    <cfRule type="cellIs" dxfId="1940" priority="574" operator="equal">
      <formula>2</formula>
    </cfRule>
    <cfRule type="cellIs" dxfId="1939" priority="575" operator="equal">
      <formula>1</formula>
    </cfRule>
  </conditionalFormatting>
  <conditionalFormatting sqref="H6">
    <cfRule type="cellIs" dxfId="1938" priority="570" operator="equal">
      <formula>100</formula>
    </cfRule>
    <cfRule type="cellIs" dxfId="1937" priority="571" operator="equal">
      <formula>50</formula>
    </cfRule>
    <cfRule type="cellIs" dxfId="1936" priority="572" operator="equal">
      <formula>20</formula>
    </cfRule>
    <cfRule type="cellIs" dxfId="1935" priority="573" operator="equal">
      <formula>6</formula>
    </cfRule>
  </conditionalFormatting>
  <conditionalFormatting sqref="I6:J6">
    <cfRule type="cellIs" dxfId="1934" priority="566" operator="equal">
      <formula>50</formula>
    </cfRule>
    <cfRule type="cellIs" dxfId="1933" priority="567" operator="equal">
      <formula>20</formula>
    </cfRule>
    <cfRule type="cellIs" dxfId="1932" priority="568" operator="equal">
      <formula>6</formula>
    </cfRule>
    <cfRule type="cellIs" dxfId="1931" priority="569" operator="equal">
      <formula>3</formula>
    </cfRule>
  </conditionalFormatting>
  <conditionalFormatting sqref="K6">
    <cfRule type="cellIs" dxfId="1930" priority="562" operator="equal">
      <formula>"4 pt"</formula>
    </cfRule>
    <cfRule type="cellIs" dxfId="1929" priority="563" operator="equal">
      <formula>"3 pt"</formula>
    </cfRule>
    <cfRule type="cellIs" dxfId="1928" priority="564" operator="equal">
      <formula>"2 pt"</formula>
    </cfRule>
    <cfRule type="cellIs" dxfId="1927" priority="565" operator="equal">
      <formula>"1 pt"</formula>
    </cfRule>
  </conditionalFormatting>
  <conditionalFormatting sqref="L7:N7">
    <cfRule type="cellIs" dxfId="1926" priority="561" operator="equal">
      <formula>"!"</formula>
    </cfRule>
  </conditionalFormatting>
  <conditionalFormatting sqref="Y7">
    <cfRule type="cellIs" dxfId="1925" priority="560" operator="equal">
      <formula>1</formula>
    </cfRule>
  </conditionalFormatting>
  <conditionalFormatting sqref="S7 V7:X7">
    <cfRule type="cellIs" dxfId="1924" priority="559" operator="equal">
      <formula>"!"</formula>
    </cfRule>
  </conditionalFormatting>
  <conditionalFormatting sqref="T7">
    <cfRule type="cellIs" dxfId="1923" priority="557" operator="equal">
      <formula>2</formula>
    </cfRule>
    <cfRule type="cellIs" dxfId="1922" priority="558" operator="equal">
      <formula>1</formula>
    </cfRule>
  </conditionalFormatting>
  <conditionalFormatting sqref="Y10">
    <cfRule type="cellIs" dxfId="1921" priority="556" operator="equal">
      <formula>1</formula>
    </cfRule>
  </conditionalFormatting>
  <conditionalFormatting sqref="L12:N12">
    <cfRule type="cellIs" dxfId="1920" priority="555" operator="equal">
      <formula>"!"</formula>
    </cfRule>
  </conditionalFormatting>
  <conditionalFormatting sqref="Y12">
    <cfRule type="cellIs" dxfId="1919" priority="554" operator="equal">
      <formula>1</formula>
    </cfRule>
  </conditionalFormatting>
  <conditionalFormatting sqref="V12:X12 S12">
    <cfRule type="cellIs" dxfId="1918" priority="553" operator="equal">
      <formula>"!"</formula>
    </cfRule>
  </conditionalFormatting>
  <conditionalFormatting sqref="T12">
    <cfRule type="cellIs" dxfId="1917" priority="551" operator="equal">
      <formula>2</formula>
    </cfRule>
    <cfRule type="cellIs" dxfId="1916" priority="552" operator="equal">
      <formula>1</formula>
    </cfRule>
  </conditionalFormatting>
  <conditionalFormatting sqref="H12">
    <cfRule type="cellIs" dxfId="1915" priority="547" operator="equal">
      <formula>100</formula>
    </cfRule>
    <cfRule type="cellIs" dxfId="1914" priority="548" operator="equal">
      <formula>50</formula>
    </cfRule>
    <cfRule type="cellIs" dxfId="1913" priority="549" operator="equal">
      <formula>20</formula>
    </cfRule>
    <cfRule type="cellIs" dxfId="1912" priority="550" operator="equal">
      <formula>6</formula>
    </cfRule>
  </conditionalFormatting>
  <conditionalFormatting sqref="I12:J12">
    <cfRule type="cellIs" dxfId="1911" priority="543" operator="equal">
      <formula>50</formula>
    </cfRule>
    <cfRule type="cellIs" dxfId="1910" priority="544" operator="equal">
      <formula>20</formula>
    </cfRule>
    <cfRule type="cellIs" dxfId="1909" priority="545" operator="equal">
      <formula>6</formula>
    </cfRule>
    <cfRule type="cellIs" dxfId="1908" priority="546" operator="equal">
      <formula>3</formula>
    </cfRule>
  </conditionalFormatting>
  <conditionalFormatting sqref="K12">
    <cfRule type="cellIs" dxfId="1907" priority="539" operator="equal">
      <formula>"4 pt"</formula>
    </cfRule>
    <cfRule type="cellIs" dxfId="1906" priority="540" operator="equal">
      <formula>"3 pt"</formula>
    </cfRule>
    <cfRule type="cellIs" dxfId="1905" priority="541" operator="equal">
      <formula>"2 pt"</formula>
    </cfRule>
    <cfRule type="cellIs" dxfId="1904" priority="542" operator="equal">
      <formula>"1 pt"</formula>
    </cfRule>
  </conditionalFormatting>
  <conditionalFormatting sqref="Y20:Y21">
    <cfRule type="cellIs" dxfId="1903" priority="538" operator="equal">
      <formula>1</formula>
    </cfRule>
  </conditionalFormatting>
  <conditionalFormatting sqref="L19:N19">
    <cfRule type="cellIs" dxfId="1902" priority="537" operator="equal">
      <formula>"!"</formula>
    </cfRule>
  </conditionalFormatting>
  <conditionalFormatting sqref="Y19">
    <cfRule type="cellIs" dxfId="1901" priority="536" operator="equal">
      <formula>1</formula>
    </cfRule>
  </conditionalFormatting>
  <conditionalFormatting sqref="S19 V19:X19">
    <cfRule type="cellIs" dxfId="1900" priority="535" operator="equal">
      <formula>"!"</formula>
    </cfRule>
  </conditionalFormatting>
  <conditionalFormatting sqref="T19">
    <cfRule type="cellIs" dxfId="1899" priority="533" operator="equal">
      <formula>2</formula>
    </cfRule>
    <cfRule type="cellIs" dxfId="1898" priority="534" operator="equal">
      <formula>1</formula>
    </cfRule>
  </conditionalFormatting>
  <conditionalFormatting sqref="L16:N17">
    <cfRule type="cellIs" dxfId="1897" priority="532" operator="equal">
      <formula>"!"</formula>
    </cfRule>
  </conditionalFormatting>
  <conditionalFormatting sqref="Y16:Y17">
    <cfRule type="cellIs" dxfId="1896" priority="531" operator="equal">
      <formula>1</formula>
    </cfRule>
  </conditionalFormatting>
  <conditionalFormatting sqref="V16:X17 S16:S17">
    <cfRule type="cellIs" dxfId="1895" priority="530" operator="equal">
      <formula>"!"</formula>
    </cfRule>
  </conditionalFormatting>
  <conditionalFormatting sqref="T16:T17">
    <cfRule type="cellIs" dxfId="1894" priority="528" operator="equal">
      <formula>2</formula>
    </cfRule>
    <cfRule type="cellIs" dxfId="1893" priority="529" operator="equal">
      <formula>1</formula>
    </cfRule>
  </conditionalFormatting>
  <conditionalFormatting sqref="H16:H17">
    <cfRule type="cellIs" dxfId="1892" priority="524" operator="equal">
      <formula>100</formula>
    </cfRule>
    <cfRule type="cellIs" dxfId="1891" priority="525" operator="equal">
      <formula>50</formula>
    </cfRule>
    <cfRule type="cellIs" dxfId="1890" priority="526" operator="equal">
      <formula>20</formula>
    </cfRule>
    <cfRule type="cellIs" dxfId="1889" priority="527" operator="equal">
      <formula>6</formula>
    </cfRule>
  </conditionalFormatting>
  <conditionalFormatting sqref="I16:J17">
    <cfRule type="cellIs" dxfId="1888" priority="520" operator="equal">
      <formula>50</formula>
    </cfRule>
    <cfRule type="cellIs" dxfId="1887" priority="521" operator="equal">
      <formula>20</formula>
    </cfRule>
    <cfRule type="cellIs" dxfId="1886" priority="522" operator="equal">
      <formula>6</formula>
    </cfRule>
    <cfRule type="cellIs" dxfId="1885" priority="523" operator="equal">
      <formula>3</formula>
    </cfRule>
  </conditionalFormatting>
  <conditionalFormatting sqref="K16:K17">
    <cfRule type="cellIs" dxfId="1884" priority="516" operator="equal">
      <formula>"4 pt"</formula>
    </cfRule>
    <cfRule type="cellIs" dxfId="1883" priority="517" operator="equal">
      <formula>"3 pt"</formula>
    </cfRule>
    <cfRule type="cellIs" dxfId="1882" priority="518" operator="equal">
      <formula>"2 pt"</formula>
    </cfRule>
    <cfRule type="cellIs" dxfId="1881" priority="519" operator="equal">
      <formula>"1 pt"</formula>
    </cfRule>
  </conditionalFormatting>
  <conditionalFormatting sqref="Y28">
    <cfRule type="cellIs" dxfId="1880" priority="515" operator="equal">
      <formula>1</formula>
    </cfRule>
  </conditionalFormatting>
  <conditionalFormatting sqref="Y31">
    <cfRule type="cellIs" dxfId="1879" priority="514" operator="equal">
      <formula>1</formula>
    </cfRule>
  </conditionalFormatting>
  <conditionalFormatting sqref="Y32">
    <cfRule type="cellIs" dxfId="1878" priority="513" operator="equal">
      <formula>1</formula>
    </cfRule>
  </conditionalFormatting>
  <conditionalFormatting sqref="Y35">
    <cfRule type="cellIs" dxfId="1877" priority="512" operator="equal">
      <formula>1</formula>
    </cfRule>
  </conditionalFormatting>
  <conditionalFormatting sqref="Y36">
    <cfRule type="cellIs" dxfId="1876" priority="511" operator="equal">
      <formula>1</formula>
    </cfRule>
  </conditionalFormatting>
  <conditionalFormatting sqref="Y42">
    <cfRule type="cellIs" dxfId="1875" priority="510" operator="equal">
      <formula>1</formula>
    </cfRule>
  </conditionalFormatting>
  <conditionalFormatting sqref="Y49">
    <cfRule type="cellIs" dxfId="1874" priority="509" operator="equal">
      <formula>1</formula>
    </cfRule>
  </conditionalFormatting>
  <conditionalFormatting sqref="L40:N41">
    <cfRule type="cellIs" dxfId="1873" priority="508" operator="equal">
      <formula>"!"</formula>
    </cfRule>
  </conditionalFormatting>
  <conditionalFormatting sqref="Y41">
    <cfRule type="cellIs" dxfId="1872" priority="507" operator="equal">
      <formula>1</formula>
    </cfRule>
  </conditionalFormatting>
  <conditionalFormatting sqref="S40:S41 V40:X41">
    <cfRule type="cellIs" dxfId="1871" priority="506" operator="equal">
      <formula>"!"</formula>
    </cfRule>
  </conditionalFormatting>
  <conditionalFormatting sqref="Y40">
    <cfRule type="cellIs" dxfId="1870" priority="505" operator="equal">
      <formula>1</formula>
    </cfRule>
  </conditionalFormatting>
  <conditionalFormatting sqref="T40:T41">
    <cfRule type="cellIs" dxfId="1869" priority="503" operator="equal">
      <formula>2</formula>
    </cfRule>
    <cfRule type="cellIs" dxfId="1868" priority="504" operator="equal">
      <formula>1</formula>
    </cfRule>
  </conditionalFormatting>
  <conditionalFormatting sqref="H40:H41">
    <cfRule type="cellIs" dxfId="1867" priority="499" operator="equal">
      <formula>100</formula>
    </cfRule>
    <cfRule type="cellIs" dxfId="1866" priority="500" operator="equal">
      <formula>50</formula>
    </cfRule>
    <cfRule type="cellIs" dxfId="1865" priority="501" operator="equal">
      <formula>20</formula>
    </cfRule>
    <cfRule type="cellIs" dxfId="1864" priority="502" operator="equal">
      <formula>6</formula>
    </cfRule>
  </conditionalFormatting>
  <conditionalFormatting sqref="I40:J41">
    <cfRule type="cellIs" dxfId="1863" priority="495" operator="equal">
      <formula>50</formula>
    </cfRule>
    <cfRule type="cellIs" dxfId="1862" priority="496" operator="equal">
      <formula>20</formula>
    </cfRule>
    <cfRule type="cellIs" dxfId="1861" priority="497" operator="equal">
      <formula>6</formula>
    </cfRule>
    <cfRule type="cellIs" dxfId="1860" priority="498" operator="equal">
      <formula>3</formula>
    </cfRule>
  </conditionalFormatting>
  <conditionalFormatting sqref="K40:K41">
    <cfRule type="cellIs" dxfId="1859" priority="491" operator="equal">
      <formula>"4 pt"</formula>
    </cfRule>
    <cfRule type="cellIs" dxfId="1858" priority="492" operator="equal">
      <formula>"3 pt"</formula>
    </cfRule>
    <cfRule type="cellIs" dxfId="1857" priority="493" operator="equal">
      <formula>"2 pt"</formula>
    </cfRule>
    <cfRule type="cellIs" dxfId="1856" priority="494" operator="equal">
      <formula>"1 pt"</formula>
    </cfRule>
  </conditionalFormatting>
  <conditionalFormatting sqref="L64 N64">
    <cfRule type="cellIs" dxfId="1855" priority="490" operator="equal">
      <formula>"!"</formula>
    </cfRule>
  </conditionalFormatting>
  <conditionalFormatting sqref="Y64">
    <cfRule type="cellIs" dxfId="1854" priority="489" operator="equal">
      <formula>1</formula>
    </cfRule>
  </conditionalFormatting>
  <conditionalFormatting sqref="S64 V64:X64">
    <cfRule type="cellIs" dxfId="1853" priority="488" operator="equal">
      <formula>"!"</formula>
    </cfRule>
  </conditionalFormatting>
  <conditionalFormatting sqref="T64">
    <cfRule type="cellIs" dxfId="1852" priority="486" operator="equal">
      <formula>2</formula>
    </cfRule>
    <cfRule type="cellIs" dxfId="1851" priority="487" operator="equal">
      <formula>1</formula>
    </cfRule>
  </conditionalFormatting>
  <conditionalFormatting sqref="H64">
    <cfRule type="cellIs" dxfId="1850" priority="482" operator="equal">
      <formula>100</formula>
    </cfRule>
    <cfRule type="cellIs" dxfId="1849" priority="483" operator="equal">
      <formula>50</formula>
    </cfRule>
    <cfRule type="cellIs" dxfId="1848" priority="484" operator="equal">
      <formula>20</formula>
    </cfRule>
    <cfRule type="cellIs" dxfId="1847" priority="485" operator="equal">
      <formula>6</formula>
    </cfRule>
  </conditionalFormatting>
  <conditionalFormatting sqref="I64:J64">
    <cfRule type="cellIs" dxfId="1846" priority="478" operator="equal">
      <formula>50</formula>
    </cfRule>
    <cfRule type="cellIs" dxfId="1845" priority="479" operator="equal">
      <formula>20</formula>
    </cfRule>
    <cfRule type="cellIs" dxfId="1844" priority="480" operator="equal">
      <formula>6</formula>
    </cfRule>
    <cfRule type="cellIs" dxfId="1843" priority="481" operator="equal">
      <formula>3</formula>
    </cfRule>
  </conditionalFormatting>
  <conditionalFormatting sqref="K64">
    <cfRule type="cellIs" dxfId="1842" priority="474" operator="equal">
      <formula>"4 pt"</formula>
    </cfRule>
    <cfRule type="cellIs" dxfId="1841" priority="475" operator="equal">
      <formula>"3 pt"</formula>
    </cfRule>
    <cfRule type="cellIs" dxfId="1840" priority="476" operator="equal">
      <formula>"2 pt"</formula>
    </cfRule>
    <cfRule type="cellIs" dxfId="1839" priority="477" operator="equal">
      <formula>"1 pt"</formula>
    </cfRule>
  </conditionalFormatting>
  <conditionalFormatting sqref="L65 N65">
    <cfRule type="cellIs" dxfId="1838" priority="473" operator="equal">
      <formula>"!"</formula>
    </cfRule>
  </conditionalFormatting>
  <conditionalFormatting sqref="L68:N68">
    <cfRule type="cellIs" dxfId="1837" priority="471" operator="equal">
      <formula>"!"</formula>
    </cfRule>
  </conditionalFormatting>
  <conditionalFormatting sqref="Y68">
    <cfRule type="cellIs" dxfId="1836" priority="470" operator="equal">
      <formula>1</formula>
    </cfRule>
  </conditionalFormatting>
  <conditionalFormatting sqref="S68 V68:X68">
    <cfRule type="cellIs" dxfId="1835" priority="469" operator="equal">
      <formula>"!"</formula>
    </cfRule>
  </conditionalFormatting>
  <conditionalFormatting sqref="T68">
    <cfRule type="cellIs" dxfId="1834" priority="467" operator="equal">
      <formula>2</formula>
    </cfRule>
    <cfRule type="cellIs" dxfId="1833" priority="468" operator="equal">
      <formula>1</formula>
    </cfRule>
  </conditionalFormatting>
  <conditionalFormatting sqref="H68">
    <cfRule type="cellIs" dxfId="1832" priority="463" operator="equal">
      <formula>100</formula>
    </cfRule>
    <cfRule type="cellIs" dxfId="1831" priority="464" operator="equal">
      <formula>50</formula>
    </cfRule>
    <cfRule type="cellIs" dxfId="1830" priority="465" operator="equal">
      <formula>20</formula>
    </cfRule>
    <cfRule type="cellIs" dxfId="1829" priority="466" operator="equal">
      <formula>6</formula>
    </cfRule>
  </conditionalFormatting>
  <conditionalFormatting sqref="I68:J68">
    <cfRule type="cellIs" dxfId="1828" priority="459" operator="equal">
      <formula>50</formula>
    </cfRule>
    <cfRule type="cellIs" dxfId="1827" priority="460" operator="equal">
      <formula>20</formula>
    </cfRule>
    <cfRule type="cellIs" dxfId="1826" priority="461" operator="equal">
      <formula>6</formula>
    </cfRule>
    <cfRule type="cellIs" dxfId="1825" priority="462" operator="equal">
      <formula>3</formula>
    </cfRule>
  </conditionalFormatting>
  <conditionalFormatting sqref="K68">
    <cfRule type="cellIs" dxfId="1824" priority="455" operator="equal">
      <formula>"4 pt"</formula>
    </cfRule>
    <cfRule type="cellIs" dxfId="1823" priority="456" operator="equal">
      <formula>"3 pt"</formula>
    </cfRule>
    <cfRule type="cellIs" dxfId="1822" priority="457" operator="equal">
      <formula>"2 pt"</formula>
    </cfRule>
    <cfRule type="cellIs" dxfId="1821" priority="458" operator="equal">
      <formula>"1 pt"</formula>
    </cfRule>
  </conditionalFormatting>
  <conditionalFormatting sqref="L70:N70">
    <cfRule type="cellIs" dxfId="1820" priority="454" operator="equal">
      <formula>"!"</formula>
    </cfRule>
  </conditionalFormatting>
  <conditionalFormatting sqref="Y70">
    <cfRule type="cellIs" dxfId="1819" priority="453" operator="equal">
      <formula>1</formula>
    </cfRule>
  </conditionalFormatting>
  <conditionalFormatting sqref="S70 V70:X70">
    <cfRule type="cellIs" dxfId="1818" priority="452" operator="equal">
      <formula>"!"</formula>
    </cfRule>
  </conditionalFormatting>
  <conditionalFormatting sqref="T70">
    <cfRule type="cellIs" dxfId="1817" priority="450" operator="equal">
      <formula>2</formula>
    </cfRule>
    <cfRule type="cellIs" dxfId="1816" priority="451" operator="equal">
      <formula>1</formula>
    </cfRule>
  </conditionalFormatting>
  <conditionalFormatting sqref="H70">
    <cfRule type="cellIs" dxfId="1815" priority="446" operator="equal">
      <formula>100</formula>
    </cfRule>
    <cfRule type="cellIs" dxfId="1814" priority="447" operator="equal">
      <formula>50</formula>
    </cfRule>
    <cfRule type="cellIs" dxfId="1813" priority="448" operator="equal">
      <formula>20</formula>
    </cfRule>
    <cfRule type="cellIs" dxfId="1812" priority="449" operator="equal">
      <formula>6</formula>
    </cfRule>
  </conditionalFormatting>
  <conditionalFormatting sqref="I70:J70">
    <cfRule type="cellIs" dxfId="1811" priority="442" operator="equal">
      <formula>50</formula>
    </cfRule>
    <cfRule type="cellIs" dxfId="1810" priority="443" operator="equal">
      <formula>20</formula>
    </cfRule>
    <cfRule type="cellIs" dxfId="1809" priority="444" operator="equal">
      <formula>6</formula>
    </cfRule>
    <cfRule type="cellIs" dxfId="1808" priority="445" operator="equal">
      <formula>3</formula>
    </cfRule>
  </conditionalFormatting>
  <conditionalFormatting sqref="K70">
    <cfRule type="cellIs" dxfId="1807" priority="438" operator="equal">
      <formula>"4 pt"</formula>
    </cfRule>
    <cfRule type="cellIs" dxfId="1806" priority="439" operator="equal">
      <formula>"3 pt"</formula>
    </cfRule>
    <cfRule type="cellIs" dxfId="1805" priority="440" operator="equal">
      <formula>"2 pt"</formula>
    </cfRule>
    <cfRule type="cellIs" dxfId="1804" priority="441" operator="equal">
      <formula>"1 pt"</formula>
    </cfRule>
  </conditionalFormatting>
  <conditionalFormatting sqref="Y75:Y76">
    <cfRule type="cellIs" dxfId="1803" priority="437" operator="equal">
      <formula>1</formula>
    </cfRule>
  </conditionalFormatting>
  <conditionalFormatting sqref="Y74">
    <cfRule type="cellIs" dxfId="1802" priority="436" operator="equal">
      <formula>1</formula>
    </cfRule>
  </conditionalFormatting>
  <conditionalFormatting sqref="L73:N73">
    <cfRule type="cellIs" dxfId="1801" priority="435" operator="equal">
      <formula>"!"</formula>
    </cfRule>
  </conditionalFormatting>
  <conditionalFormatting sqref="Y73">
    <cfRule type="cellIs" dxfId="1800" priority="434" operator="equal">
      <formula>1</formula>
    </cfRule>
  </conditionalFormatting>
  <conditionalFormatting sqref="S73 V73:X73">
    <cfRule type="cellIs" dxfId="1799" priority="433" operator="equal">
      <formula>"!"</formula>
    </cfRule>
  </conditionalFormatting>
  <conditionalFormatting sqref="T73">
    <cfRule type="cellIs" dxfId="1798" priority="431" operator="equal">
      <formula>2</formula>
    </cfRule>
    <cfRule type="cellIs" dxfId="1797" priority="432" operator="equal">
      <formula>1</formula>
    </cfRule>
  </conditionalFormatting>
  <conditionalFormatting sqref="Y78">
    <cfRule type="cellIs" dxfId="1796" priority="430" operator="equal">
      <formula>1</formula>
    </cfRule>
  </conditionalFormatting>
  <conditionalFormatting sqref="L80:N80">
    <cfRule type="cellIs" dxfId="1795" priority="429" operator="equal">
      <formula>"!"</formula>
    </cfRule>
  </conditionalFormatting>
  <conditionalFormatting sqref="Y80">
    <cfRule type="cellIs" dxfId="1794" priority="428" operator="equal">
      <formula>1</formula>
    </cfRule>
  </conditionalFormatting>
  <conditionalFormatting sqref="V80:X80 S80">
    <cfRule type="cellIs" dxfId="1793" priority="427" operator="equal">
      <formula>"!"</formula>
    </cfRule>
  </conditionalFormatting>
  <conditionalFormatting sqref="T80">
    <cfRule type="cellIs" dxfId="1792" priority="425" operator="equal">
      <formula>2</formula>
    </cfRule>
    <cfRule type="cellIs" dxfId="1791" priority="426" operator="equal">
      <formula>1</formula>
    </cfRule>
  </conditionalFormatting>
  <conditionalFormatting sqref="H80">
    <cfRule type="cellIs" dxfId="1790" priority="421" operator="equal">
      <formula>100</formula>
    </cfRule>
    <cfRule type="cellIs" dxfId="1789" priority="422" operator="equal">
      <formula>50</formula>
    </cfRule>
    <cfRule type="cellIs" dxfId="1788" priority="423" operator="equal">
      <formula>20</formula>
    </cfRule>
    <cfRule type="cellIs" dxfId="1787" priority="424" operator="equal">
      <formula>6</formula>
    </cfRule>
  </conditionalFormatting>
  <conditionalFormatting sqref="I80:J80">
    <cfRule type="cellIs" dxfId="1786" priority="417" operator="equal">
      <formula>50</formula>
    </cfRule>
    <cfRule type="cellIs" dxfId="1785" priority="418" operator="equal">
      <formula>20</formula>
    </cfRule>
    <cfRule type="cellIs" dxfId="1784" priority="419" operator="equal">
      <formula>6</formula>
    </cfRule>
    <cfRule type="cellIs" dxfId="1783" priority="420" operator="equal">
      <formula>3</formula>
    </cfRule>
  </conditionalFormatting>
  <conditionalFormatting sqref="K80">
    <cfRule type="cellIs" dxfId="1782" priority="413" operator="equal">
      <formula>"4 pt"</formula>
    </cfRule>
    <cfRule type="cellIs" dxfId="1781" priority="414" operator="equal">
      <formula>"3 pt"</formula>
    </cfRule>
    <cfRule type="cellIs" dxfId="1780" priority="415" operator="equal">
      <formula>"2 pt"</formula>
    </cfRule>
    <cfRule type="cellIs" dxfId="1779" priority="416" operator="equal">
      <formula>"1 pt"</formula>
    </cfRule>
  </conditionalFormatting>
  <conditionalFormatting sqref="Z80:AK80">
    <cfRule type="cellIs" dxfId="1778" priority="407" operator="equal">
      <formula>3</formula>
    </cfRule>
    <cfRule type="cellIs" dxfId="1777" priority="408" operator="equal">
      <formula>2</formula>
    </cfRule>
    <cfRule type="cellIs" dxfId="1776" priority="409" operator="equal">
      <formula>1</formula>
    </cfRule>
  </conditionalFormatting>
  <conditionalFormatting sqref="Q80:R80">
    <cfRule type="cellIs" dxfId="1775" priority="410" operator="greaterThan">
      <formula>1000</formula>
    </cfRule>
    <cfRule type="cellIs" dxfId="1774" priority="411" operator="between">
      <formula>10</formula>
      <formula>1000</formula>
    </cfRule>
    <cfRule type="cellIs" dxfId="1773" priority="412" operator="lessThan">
      <formula>10</formula>
    </cfRule>
  </conditionalFormatting>
  <conditionalFormatting sqref="Y86">
    <cfRule type="cellIs" dxfId="1772" priority="406" operator="equal">
      <formula>1</formula>
    </cfRule>
  </conditionalFormatting>
  <conditionalFormatting sqref="Y84">
    <cfRule type="cellIs" dxfId="1771" priority="405" operator="equal">
      <formula>1</formula>
    </cfRule>
  </conditionalFormatting>
  <conditionalFormatting sqref="L87:N87">
    <cfRule type="cellIs" dxfId="1770" priority="404" operator="equal">
      <formula>"!"</formula>
    </cfRule>
  </conditionalFormatting>
  <conditionalFormatting sqref="Y87">
    <cfRule type="cellIs" dxfId="1769" priority="403" operator="equal">
      <formula>1</formula>
    </cfRule>
  </conditionalFormatting>
  <conditionalFormatting sqref="V87:X87 S87">
    <cfRule type="cellIs" dxfId="1768" priority="402" operator="equal">
      <formula>"!"</formula>
    </cfRule>
  </conditionalFormatting>
  <conditionalFormatting sqref="T87">
    <cfRule type="cellIs" dxfId="1767" priority="400" operator="equal">
      <formula>2</formula>
    </cfRule>
    <cfRule type="cellIs" dxfId="1766" priority="401" operator="equal">
      <formula>1</formula>
    </cfRule>
  </conditionalFormatting>
  <conditionalFormatting sqref="H87">
    <cfRule type="cellIs" dxfId="1765" priority="396" operator="equal">
      <formula>100</formula>
    </cfRule>
    <cfRule type="cellIs" dxfId="1764" priority="397" operator="equal">
      <formula>50</formula>
    </cfRule>
    <cfRule type="cellIs" dxfId="1763" priority="398" operator="equal">
      <formula>20</formula>
    </cfRule>
    <cfRule type="cellIs" dxfId="1762" priority="399" operator="equal">
      <formula>6</formula>
    </cfRule>
  </conditionalFormatting>
  <conditionalFormatting sqref="I87:J87">
    <cfRule type="cellIs" dxfId="1761" priority="392" operator="equal">
      <formula>50</formula>
    </cfRule>
    <cfRule type="cellIs" dxfId="1760" priority="393" operator="equal">
      <formula>20</formula>
    </cfRule>
    <cfRule type="cellIs" dxfId="1759" priority="394" operator="equal">
      <formula>6</formula>
    </cfRule>
    <cfRule type="cellIs" dxfId="1758" priority="395" operator="equal">
      <formula>3</formula>
    </cfRule>
  </conditionalFormatting>
  <conditionalFormatting sqref="K87">
    <cfRule type="cellIs" dxfId="1757" priority="388" operator="equal">
      <formula>"4 pt"</formula>
    </cfRule>
    <cfRule type="cellIs" dxfId="1756" priority="389" operator="equal">
      <formula>"3 pt"</formula>
    </cfRule>
    <cfRule type="cellIs" dxfId="1755" priority="390" operator="equal">
      <formula>"2 pt"</formula>
    </cfRule>
    <cfRule type="cellIs" dxfId="1754" priority="391" operator="equal">
      <formula>"1 pt"</formula>
    </cfRule>
  </conditionalFormatting>
  <conditionalFormatting sqref="Z87:AK87">
    <cfRule type="cellIs" dxfId="1753" priority="382" operator="equal">
      <formula>3</formula>
    </cfRule>
    <cfRule type="cellIs" dxfId="1752" priority="383" operator="equal">
      <formula>2</formula>
    </cfRule>
    <cfRule type="cellIs" dxfId="1751" priority="384" operator="equal">
      <formula>1</formula>
    </cfRule>
  </conditionalFormatting>
  <conditionalFormatting sqref="Q87:R87">
    <cfRule type="cellIs" dxfId="1750" priority="385" operator="greaterThan">
      <formula>1000</formula>
    </cfRule>
    <cfRule type="cellIs" dxfId="1749" priority="386" operator="between">
      <formula>10</formula>
      <formula>1000</formula>
    </cfRule>
    <cfRule type="cellIs" dxfId="1748" priority="387" operator="lessThan">
      <formula>10</formula>
    </cfRule>
  </conditionalFormatting>
  <conditionalFormatting sqref="Y89">
    <cfRule type="cellIs" dxfId="1747" priority="381" operator="equal">
      <formula>1</formula>
    </cfRule>
  </conditionalFormatting>
  <conditionalFormatting sqref="Y94">
    <cfRule type="cellIs" dxfId="1746" priority="380" operator="equal">
      <formula>1</formula>
    </cfRule>
  </conditionalFormatting>
  <conditionalFormatting sqref="Y97">
    <cfRule type="cellIs" dxfId="1745" priority="379" operator="equal">
      <formula>1</formula>
    </cfRule>
  </conditionalFormatting>
  <conditionalFormatting sqref="L96 N96">
    <cfRule type="cellIs" dxfId="1744" priority="378" operator="equal">
      <formula>"!"</formula>
    </cfRule>
  </conditionalFormatting>
  <conditionalFormatting sqref="V96:X96 S96">
    <cfRule type="cellIs" dxfId="1743" priority="376" operator="equal">
      <formula>"!"</formula>
    </cfRule>
  </conditionalFormatting>
  <conditionalFormatting sqref="Y96">
    <cfRule type="cellIs" dxfId="1742" priority="375" operator="equal">
      <formula>1</formula>
    </cfRule>
  </conditionalFormatting>
  <conditionalFormatting sqref="T96">
    <cfRule type="cellIs" dxfId="1741" priority="373" operator="equal">
      <formula>2</formula>
    </cfRule>
    <cfRule type="cellIs" dxfId="1740" priority="374" operator="equal">
      <formula>1</formula>
    </cfRule>
  </conditionalFormatting>
  <conditionalFormatting sqref="L98:N98">
    <cfRule type="cellIs" dxfId="1739" priority="372" operator="equal">
      <formula>"!"</formula>
    </cfRule>
  </conditionalFormatting>
  <conditionalFormatting sqref="Y98">
    <cfRule type="cellIs" dxfId="1738" priority="371" operator="equal">
      <formula>1</formula>
    </cfRule>
  </conditionalFormatting>
  <conditionalFormatting sqref="S98 V98:X98">
    <cfRule type="cellIs" dxfId="1737" priority="370" operator="equal">
      <formula>"!"</formula>
    </cfRule>
  </conditionalFormatting>
  <conditionalFormatting sqref="T98">
    <cfRule type="cellIs" dxfId="1736" priority="368" operator="equal">
      <formula>2</formula>
    </cfRule>
    <cfRule type="cellIs" dxfId="1735" priority="369" operator="equal">
      <formula>1</formula>
    </cfRule>
  </conditionalFormatting>
  <conditionalFormatting sqref="L98:N98">
    <cfRule type="cellIs" dxfId="1734" priority="367" operator="equal">
      <formula>"!"</formula>
    </cfRule>
  </conditionalFormatting>
  <conditionalFormatting sqref="Y98">
    <cfRule type="cellIs" dxfId="1733" priority="366" operator="equal">
      <formula>1</formula>
    </cfRule>
  </conditionalFormatting>
  <conditionalFormatting sqref="S98 V98:X98">
    <cfRule type="cellIs" dxfId="1732" priority="365" operator="equal">
      <formula>"!"</formula>
    </cfRule>
  </conditionalFormatting>
  <conditionalFormatting sqref="T98">
    <cfRule type="cellIs" dxfId="1731" priority="363" operator="equal">
      <formula>2</formula>
    </cfRule>
    <cfRule type="cellIs" dxfId="1730" priority="364" operator="equal">
      <formula>1</formula>
    </cfRule>
  </conditionalFormatting>
  <conditionalFormatting sqref="H98">
    <cfRule type="cellIs" dxfId="1729" priority="359" operator="equal">
      <formula>100</formula>
    </cfRule>
    <cfRule type="cellIs" dxfId="1728" priority="360" operator="equal">
      <formula>50</formula>
    </cfRule>
    <cfRule type="cellIs" dxfId="1727" priority="361" operator="equal">
      <formula>20</formula>
    </cfRule>
    <cfRule type="cellIs" dxfId="1726" priority="362" operator="equal">
      <formula>6</formula>
    </cfRule>
  </conditionalFormatting>
  <conditionalFormatting sqref="I98:J98">
    <cfRule type="cellIs" dxfId="1725" priority="355" operator="equal">
      <formula>50</formula>
    </cfRule>
    <cfRule type="cellIs" dxfId="1724" priority="356" operator="equal">
      <formula>20</formula>
    </cfRule>
    <cfRule type="cellIs" dxfId="1723" priority="357" operator="equal">
      <formula>6</formula>
    </cfRule>
    <cfRule type="cellIs" dxfId="1722" priority="358" operator="equal">
      <formula>3</formula>
    </cfRule>
  </conditionalFormatting>
  <conditionalFormatting sqref="K98">
    <cfRule type="cellIs" dxfId="1721" priority="351" operator="equal">
      <formula>"4 pt"</formula>
    </cfRule>
    <cfRule type="cellIs" dxfId="1720" priority="352" operator="equal">
      <formula>"3 pt"</formula>
    </cfRule>
    <cfRule type="cellIs" dxfId="1719" priority="353" operator="equal">
      <formula>"2 pt"</formula>
    </cfRule>
    <cfRule type="cellIs" dxfId="1718" priority="354" operator="equal">
      <formula>"1 pt"</formula>
    </cfRule>
  </conditionalFormatting>
  <conditionalFormatting sqref="Y100">
    <cfRule type="cellIs" dxfId="1717" priority="350" operator="equal">
      <formula>1</formula>
    </cfRule>
  </conditionalFormatting>
  <conditionalFormatting sqref="Y101">
    <cfRule type="cellIs" dxfId="1716" priority="349" operator="equal">
      <formula>1</formula>
    </cfRule>
  </conditionalFormatting>
  <conditionalFormatting sqref="Y103">
    <cfRule type="cellIs" dxfId="1715" priority="348" operator="equal">
      <formula>1</formula>
    </cfRule>
  </conditionalFormatting>
  <conditionalFormatting sqref="Y106">
    <cfRule type="cellIs" dxfId="1714" priority="347" operator="equal">
      <formula>1</formula>
    </cfRule>
  </conditionalFormatting>
  <conditionalFormatting sqref="L107:N108">
    <cfRule type="cellIs" dxfId="1713" priority="346" operator="equal">
      <formula>"!"</formula>
    </cfRule>
  </conditionalFormatting>
  <conditionalFormatting sqref="Y108">
    <cfRule type="cellIs" dxfId="1712" priority="345" operator="equal">
      <formula>1</formula>
    </cfRule>
  </conditionalFormatting>
  <conditionalFormatting sqref="V107:X108 S107:S108">
    <cfRule type="cellIs" dxfId="1711" priority="344" operator="equal">
      <formula>"!"</formula>
    </cfRule>
  </conditionalFormatting>
  <conditionalFormatting sqref="Y107">
    <cfRule type="cellIs" dxfId="1710" priority="343" operator="equal">
      <formula>1</formula>
    </cfRule>
  </conditionalFormatting>
  <conditionalFormatting sqref="T107:T108">
    <cfRule type="cellIs" dxfId="1709" priority="341" operator="equal">
      <formula>2</formula>
    </cfRule>
    <cfRule type="cellIs" dxfId="1708" priority="342" operator="equal">
      <formula>1</formula>
    </cfRule>
  </conditionalFormatting>
  <conditionalFormatting sqref="L112:N112">
    <cfRule type="cellIs" dxfId="1707" priority="340" operator="equal">
      <formula>"!"</formula>
    </cfRule>
  </conditionalFormatting>
  <conditionalFormatting sqref="Y112">
    <cfRule type="cellIs" dxfId="1706" priority="339" operator="equal">
      <formula>1</formula>
    </cfRule>
  </conditionalFormatting>
  <conditionalFormatting sqref="V112:X112 S112">
    <cfRule type="cellIs" dxfId="1705" priority="338" operator="equal">
      <formula>"!"</formula>
    </cfRule>
  </conditionalFormatting>
  <conditionalFormatting sqref="T112">
    <cfRule type="cellIs" dxfId="1704" priority="336" operator="equal">
      <formula>2</formula>
    </cfRule>
    <cfRule type="cellIs" dxfId="1703" priority="337" operator="equal">
      <formula>1</formula>
    </cfRule>
  </conditionalFormatting>
  <conditionalFormatting sqref="H112">
    <cfRule type="cellIs" dxfId="1702" priority="332" operator="equal">
      <formula>100</formula>
    </cfRule>
    <cfRule type="cellIs" dxfId="1701" priority="333" operator="equal">
      <formula>50</formula>
    </cfRule>
    <cfRule type="cellIs" dxfId="1700" priority="334" operator="equal">
      <formula>20</formula>
    </cfRule>
    <cfRule type="cellIs" dxfId="1699" priority="335" operator="equal">
      <formula>6</formula>
    </cfRule>
  </conditionalFormatting>
  <conditionalFormatting sqref="I112:J112">
    <cfRule type="cellIs" dxfId="1698" priority="328" operator="equal">
      <formula>50</formula>
    </cfRule>
    <cfRule type="cellIs" dxfId="1697" priority="329" operator="equal">
      <formula>20</formula>
    </cfRule>
    <cfRule type="cellIs" dxfId="1696" priority="330" operator="equal">
      <formula>6</formula>
    </cfRule>
    <cfRule type="cellIs" dxfId="1695" priority="331" operator="equal">
      <formula>3</formula>
    </cfRule>
  </conditionalFormatting>
  <conditionalFormatting sqref="K112">
    <cfRule type="cellIs" dxfId="1694" priority="324" operator="equal">
      <formula>"4 pt"</formula>
    </cfRule>
    <cfRule type="cellIs" dxfId="1693" priority="325" operator="equal">
      <formula>"3 pt"</formula>
    </cfRule>
    <cfRule type="cellIs" dxfId="1692" priority="326" operator="equal">
      <formula>"2 pt"</formula>
    </cfRule>
    <cfRule type="cellIs" dxfId="1691" priority="327" operator="equal">
      <formula>"1 pt"</formula>
    </cfRule>
  </conditionalFormatting>
  <conditionalFormatting sqref="Z112:AK112">
    <cfRule type="cellIs" dxfId="1690" priority="318" operator="equal">
      <formula>3</formula>
    </cfRule>
    <cfRule type="cellIs" dxfId="1689" priority="319" operator="equal">
      <formula>2</formula>
    </cfRule>
    <cfRule type="cellIs" dxfId="1688" priority="320" operator="equal">
      <formula>1</formula>
    </cfRule>
  </conditionalFormatting>
  <conditionalFormatting sqref="Q112:R112">
    <cfRule type="cellIs" dxfId="1687" priority="321" operator="greaterThan">
      <formula>1000</formula>
    </cfRule>
    <cfRule type="cellIs" dxfId="1686" priority="322" operator="between">
      <formula>10</formula>
      <formula>1000</formula>
    </cfRule>
    <cfRule type="cellIs" dxfId="1685" priority="323" operator="lessThan">
      <formula>10</formula>
    </cfRule>
  </conditionalFormatting>
  <conditionalFormatting sqref="Y113">
    <cfRule type="cellIs" dxfId="1684" priority="317" operator="equal">
      <formula>1</formula>
    </cfRule>
  </conditionalFormatting>
  <conditionalFormatting sqref="Y115">
    <cfRule type="cellIs" dxfId="1683" priority="316" operator="equal">
      <formula>1</formula>
    </cfRule>
  </conditionalFormatting>
  <conditionalFormatting sqref="Y124">
    <cfRule type="cellIs" dxfId="1682" priority="315" operator="equal">
      <formula>1</formula>
    </cfRule>
  </conditionalFormatting>
  <conditionalFormatting sqref="Y126">
    <cfRule type="cellIs" dxfId="1681" priority="314" operator="equal">
      <formula>1</formula>
    </cfRule>
  </conditionalFormatting>
  <conditionalFormatting sqref="L122:N122">
    <cfRule type="cellIs" dxfId="1680" priority="313" operator="equal">
      <formula>"!"</formula>
    </cfRule>
  </conditionalFormatting>
  <conditionalFormatting sqref="Y122">
    <cfRule type="cellIs" dxfId="1679" priority="312" operator="equal">
      <formula>1</formula>
    </cfRule>
  </conditionalFormatting>
  <conditionalFormatting sqref="V122:X122 S122">
    <cfRule type="cellIs" dxfId="1678" priority="311" operator="equal">
      <formula>"!"</formula>
    </cfRule>
  </conditionalFormatting>
  <conditionalFormatting sqref="T122">
    <cfRule type="cellIs" dxfId="1677" priority="309" operator="equal">
      <formula>2</formula>
    </cfRule>
    <cfRule type="cellIs" dxfId="1676" priority="310" operator="equal">
      <formula>1</formula>
    </cfRule>
  </conditionalFormatting>
  <conditionalFormatting sqref="Y133">
    <cfRule type="cellIs" dxfId="1675" priority="307" operator="equal">
      <formula>1</formula>
    </cfRule>
  </conditionalFormatting>
  <conditionalFormatting sqref="Y134">
    <cfRule type="cellIs" dxfId="1674" priority="306" operator="equal">
      <formula>1</formula>
    </cfRule>
  </conditionalFormatting>
  <conditionalFormatting sqref="L136:N136">
    <cfRule type="cellIs" dxfId="1673" priority="305" operator="equal">
      <formula>"!"</formula>
    </cfRule>
  </conditionalFormatting>
  <conditionalFormatting sqref="Y136">
    <cfRule type="cellIs" dxfId="1672" priority="304" operator="equal">
      <formula>1</formula>
    </cfRule>
  </conditionalFormatting>
  <conditionalFormatting sqref="S136 V136:X136">
    <cfRule type="cellIs" dxfId="1671" priority="303" operator="equal">
      <formula>"!"</formula>
    </cfRule>
  </conditionalFormatting>
  <conditionalFormatting sqref="T136">
    <cfRule type="cellIs" dxfId="1670" priority="301" operator="equal">
      <formula>2</formula>
    </cfRule>
    <cfRule type="cellIs" dxfId="1669" priority="302" operator="equal">
      <formula>1</formula>
    </cfRule>
  </conditionalFormatting>
  <conditionalFormatting sqref="L136:N136">
    <cfRule type="cellIs" dxfId="1668" priority="300" operator="equal">
      <formula>"!"</formula>
    </cfRule>
  </conditionalFormatting>
  <conditionalFormatting sqref="Y136">
    <cfRule type="cellIs" dxfId="1667" priority="299" operator="equal">
      <formula>1</formula>
    </cfRule>
  </conditionalFormatting>
  <conditionalFormatting sqref="S136 V136:X136">
    <cfRule type="cellIs" dxfId="1666" priority="298" operator="equal">
      <formula>"!"</formula>
    </cfRule>
  </conditionalFormatting>
  <conditionalFormatting sqref="T136">
    <cfRule type="cellIs" dxfId="1665" priority="296" operator="equal">
      <formula>2</formula>
    </cfRule>
    <cfRule type="cellIs" dxfId="1664" priority="297" operator="equal">
      <formula>1</formula>
    </cfRule>
  </conditionalFormatting>
  <conditionalFormatting sqref="H136">
    <cfRule type="cellIs" dxfId="1663" priority="292" operator="equal">
      <formula>100</formula>
    </cfRule>
    <cfRule type="cellIs" dxfId="1662" priority="293" operator="equal">
      <formula>50</formula>
    </cfRule>
    <cfRule type="cellIs" dxfId="1661" priority="294" operator="equal">
      <formula>20</formula>
    </cfRule>
    <cfRule type="cellIs" dxfId="1660" priority="295" operator="equal">
      <formula>6</formula>
    </cfRule>
  </conditionalFormatting>
  <conditionalFormatting sqref="I136:J136">
    <cfRule type="cellIs" dxfId="1659" priority="288" operator="equal">
      <formula>50</formula>
    </cfRule>
    <cfRule type="cellIs" dxfId="1658" priority="289" operator="equal">
      <formula>20</formula>
    </cfRule>
    <cfRule type="cellIs" dxfId="1657" priority="290" operator="equal">
      <formula>6</formula>
    </cfRule>
    <cfRule type="cellIs" dxfId="1656" priority="291" operator="equal">
      <formula>3</formula>
    </cfRule>
  </conditionalFormatting>
  <conditionalFormatting sqref="K136">
    <cfRule type="cellIs" dxfId="1655" priority="284" operator="equal">
      <formula>"4 pt"</formula>
    </cfRule>
    <cfRule type="cellIs" dxfId="1654" priority="285" operator="equal">
      <formula>"3 pt"</formula>
    </cfRule>
    <cfRule type="cellIs" dxfId="1653" priority="286" operator="equal">
      <formula>"2 pt"</formula>
    </cfRule>
    <cfRule type="cellIs" dxfId="1652" priority="287" operator="equal">
      <formula>"1 pt"</formula>
    </cfRule>
  </conditionalFormatting>
  <conditionalFormatting sqref="S139">
    <cfRule type="cellIs" dxfId="1651" priority="283" operator="equal">
      <formula>"!"</formula>
    </cfRule>
  </conditionalFormatting>
  <conditionalFormatting sqref="L140:N140">
    <cfRule type="cellIs" dxfId="1650" priority="282" operator="equal">
      <formula>"!"</formula>
    </cfRule>
  </conditionalFormatting>
  <conditionalFormatting sqref="Y140">
    <cfRule type="cellIs" dxfId="1649" priority="281" operator="equal">
      <formula>1</formula>
    </cfRule>
  </conditionalFormatting>
  <conditionalFormatting sqref="V140:X140 S140">
    <cfRule type="cellIs" dxfId="1648" priority="280" operator="equal">
      <formula>"!"</formula>
    </cfRule>
  </conditionalFormatting>
  <conditionalFormatting sqref="T140">
    <cfRule type="cellIs" dxfId="1647" priority="278" operator="equal">
      <formula>2</formula>
    </cfRule>
    <cfRule type="cellIs" dxfId="1646" priority="279" operator="equal">
      <formula>1</formula>
    </cfRule>
  </conditionalFormatting>
  <conditionalFormatting sqref="Y146">
    <cfRule type="cellIs" dxfId="1645" priority="277" operator="equal">
      <formula>1</formula>
    </cfRule>
  </conditionalFormatting>
  <conditionalFormatting sqref="L145:N145">
    <cfRule type="cellIs" dxfId="1644" priority="276" operator="equal">
      <formula>"!"</formula>
    </cfRule>
  </conditionalFormatting>
  <conditionalFormatting sqref="V145:X145 S145">
    <cfRule type="cellIs" dxfId="1643" priority="275" operator="equal">
      <formula>"!"</formula>
    </cfRule>
  </conditionalFormatting>
  <conditionalFormatting sqref="Y145">
    <cfRule type="cellIs" dxfId="1642" priority="274" operator="equal">
      <formula>1</formula>
    </cfRule>
  </conditionalFormatting>
  <conditionalFormatting sqref="T145">
    <cfRule type="cellIs" dxfId="1641" priority="272" operator="equal">
      <formula>2</formula>
    </cfRule>
    <cfRule type="cellIs" dxfId="1640" priority="273" operator="equal">
      <formula>1</formula>
    </cfRule>
  </conditionalFormatting>
  <conditionalFormatting sqref="L157:N157">
    <cfRule type="cellIs" dxfId="1639" priority="271" operator="equal">
      <formula>"!"</formula>
    </cfRule>
  </conditionalFormatting>
  <conditionalFormatting sqref="Y157">
    <cfRule type="cellIs" dxfId="1638" priority="270" operator="equal">
      <formula>1</formula>
    </cfRule>
  </conditionalFormatting>
  <conditionalFormatting sqref="V157:X157 S157">
    <cfRule type="cellIs" dxfId="1637" priority="269" operator="equal">
      <formula>"!"</formula>
    </cfRule>
  </conditionalFormatting>
  <conditionalFormatting sqref="T157">
    <cfRule type="cellIs" dxfId="1636" priority="267" operator="equal">
      <formula>2</formula>
    </cfRule>
    <cfRule type="cellIs" dxfId="1635" priority="268" operator="equal">
      <formula>1</formula>
    </cfRule>
  </conditionalFormatting>
  <conditionalFormatting sqref="Y162:Y163">
    <cfRule type="cellIs" dxfId="1634" priority="266" operator="equal">
      <formula>1</formula>
    </cfRule>
  </conditionalFormatting>
  <conditionalFormatting sqref="Y161">
    <cfRule type="cellIs" dxfId="1633" priority="265" operator="equal">
      <formula>1</formula>
    </cfRule>
  </conditionalFormatting>
  <conditionalFormatting sqref="L169:N169">
    <cfRule type="cellIs" dxfId="1632" priority="264" operator="equal">
      <formula>"!"</formula>
    </cfRule>
  </conditionalFormatting>
  <conditionalFormatting sqref="Y168:Y169">
    <cfRule type="cellIs" dxfId="1631" priority="263" operator="equal">
      <formula>1</formula>
    </cfRule>
  </conditionalFormatting>
  <conditionalFormatting sqref="S168:S169 V168:X169">
    <cfRule type="cellIs" dxfId="1630" priority="262" operator="equal">
      <formula>"!"</formula>
    </cfRule>
  </conditionalFormatting>
  <conditionalFormatting sqref="T168:T169">
    <cfRule type="cellIs" dxfId="1629" priority="260" operator="equal">
      <formula>2</formula>
    </cfRule>
    <cfRule type="cellIs" dxfId="1628" priority="261" operator="equal">
      <formula>1</formula>
    </cfRule>
  </conditionalFormatting>
  <conditionalFormatting sqref="L168:N168">
    <cfRule type="cellIs" dxfId="1627" priority="259" operator="equal">
      <formula>"!"</formula>
    </cfRule>
  </conditionalFormatting>
  <conditionalFormatting sqref="Y170:Y171">
    <cfRule type="cellIs" dxfId="1626" priority="258" operator="equal">
      <formula>1</formula>
    </cfRule>
  </conditionalFormatting>
  <conditionalFormatting sqref="Y179">
    <cfRule type="cellIs" dxfId="1625" priority="257" operator="equal">
      <formula>1</formula>
    </cfRule>
  </conditionalFormatting>
  <conditionalFormatting sqref="Y178">
    <cfRule type="cellIs" dxfId="1624" priority="256" operator="equal">
      <formula>1</formula>
    </cfRule>
  </conditionalFormatting>
  <conditionalFormatting sqref="Y186">
    <cfRule type="cellIs" dxfId="1623" priority="255" operator="equal">
      <formula>1</formula>
    </cfRule>
  </conditionalFormatting>
  <conditionalFormatting sqref="Y192">
    <cfRule type="cellIs" dxfId="1622" priority="254" operator="equal">
      <formula>1</formula>
    </cfRule>
  </conditionalFormatting>
  <conditionalFormatting sqref="Y191">
    <cfRule type="cellIs" dxfId="1621" priority="253" operator="equal">
      <formula>1</formula>
    </cfRule>
  </conditionalFormatting>
  <conditionalFormatting sqref="L195:N196">
    <cfRule type="cellIs" dxfId="1620" priority="252" operator="equal">
      <formula>"!"</formula>
    </cfRule>
  </conditionalFormatting>
  <conditionalFormatting sqref="Y196">
    <cfRule type="cellIs" dxfId="1619" priority="251" operator="equal">
      <formula>1</formula>
    </cfRule>
  </conditionalFormatting>
  <conditionalFormatting sqref="S195:S196 V195:X196">
    <cfRule type="cellIs" dxfId="1618" priority="250" operator="equal">
      <formula>"!"</formula>
    </cfRule>
  </conditionalFormatting>
  <conditionalFormatting sqref="Y195">
    <cfRule type="cellIs" dxfId="1617" priority="249" operator="equal">
      <formula>1</formula>
    </cfRule>
  </conditionalFormatting>
  <conditionalFormatting sqref="T195:T196">
    <cfRule type="cellIs" dxfId="1616" priority="247" operator="equal">
      <formula>2</formula>
    </cfRule>
    <cfRule type="cellIs" dxfId="1615" priority="248" operator="equal">
      <formula>1</formula>
    </cfRule>
  </conditionalFormatting>
  <conditionalFormatting sqref="H195:H196">
    <cfRule type="cellIs" dxfId="1614" priority="243" operator="equal">
      <formula>100</formula>
    </cfRule>
    <cfRule type="cellIs" dxfId="1613" priority="244" operator="equal">
      <formula>50</formula>
    </cfRule>
    <cfRule type="cellIs" dxfId="1612" priority="245" operator="equal">
      <formula>20</formula>
    </cfRule>
    <cfRule type="cellIs" dxfId="1611" priority="246" operator="equal">
      <formula>6</formula>
    </cfRule>
  </conditionalFormatting>
  <conditionalFormatting sqref="I195:J196">
    <cfRule type="cellIs" dxfId="1610" priority="239" operator="equal">
      <formula>50</formula>
    </cfRule>
    <cfRule type="cellIs" dxfId="1609" priority="240" operator="equal">
      <formula>20</formula>
    </cfRule>
    <cfRule type="cellIs" dxfId="1608" priority="241" operator="equal">
      <formula>6</formula>
    </cfRule>
    <cfRule type="cellIs" dxfId="1607" priority="242" operator="equal">
      <formula>3</formula>
    </cfRule>
  </conditionalFormatting>
  <conditionalFormatting sqref="K195:K196">
    <cfRule type="cellIs" dxfId="1606" priority="235" operator="equal">
      <formula>"4 pt"</formula>
    </cfRule>
    <cfRule type="cellIs" dxfId="1605" priority="236" operator="equal">
      <formula>"3 pt"</formula>
    </cfRule>
    <cfRule type="cellIs" dxfId="1604" priority="237" operator="equal">
      <formula>"2 pt"</formula>
    </cfRule>
    <cfRule type="cellIs" dxfId="1603" priority="238" operator="equal">
      <formula>"1 pt"</formula>
    </cfRule>
  </conditionalFormatting>
  <conditionalFormatting sqref="L198:N198">
    <cfRule type="cellIs" dxfId="1602" priority="234" operator="equal">
      <formula>"!"</formula>
    </cfRule>
  </conditionalFormatting>
  <conditionalFormatting sqref="Y198">
    <cfRule type="cellIs" dxfId="1601" priority="233" operator="equal">
      <formula>1</formula>
    </cfRule>
  </conditionalFormatting>
  <conditionalFormatting sqref="S198 V198:X198">
    <cfRule type="cellIs" dxfId="1600" priority="232" operator="equal">
      <formula>"!"</formula>
    </cfRule>
  </conditionalFormatting>
  <conditionalFormatting sqref="T198">
    <cfRule type="cellIs" dxfId="1599" priority="230" operator="equal">
      <formula>2</formula>
    </cfRule>
    <cfRule type="cellIs" dxfId="1598" priority="231" operator="equal">
      <formula>1</formula>
    </cfRule>
  </conditionalFormatting>
  <conditionalFormatting sqref="L203:N203">
    <cfRule type="cellIs" dxfId="1597" priority="229" operator="equal">
      <formula>"!"</formula>
    </cfRule>
  </conditionalFormatting>
  <conditionalFormatting sqref="Y203">
    <cfRule type="cellIs" dxfId="1596" priority="228" operator="equal">
      <formula>1</formula>
    </cfRule>
  </conditionalFormatting>
  <conditionalFormatting sqref="S203 V203:X203">
    <cfRule type="cellIs" dxfId="1595" priority="227" operator="equal">
      <formula>"!"</formula>
    </cfRule>
  </conditionalFormatting>
  <conditionalFormatting sqref="T203">
    <cfRule type="cellIs" dxfId="1594" priority="225" operator="equal">
      <formula>2</formula>
    </cfRule>
    <cfRule type="cellIs" dxfId="1593" priority="226" operator="equal">
      <formula>1</formula>
    </cfRule>
  </conditionalFormatting>
  <conditionalFormatting sqref="Y205">
    <cfRule type="cellIs" dxfId="1592" priority="224" operator="equal">
      <formula>1</formula>
    </cfRule>
  </conditionalFormatting>
  <conditionalFormatting sqref="L206:N206">
    <cfRule type="cellIs" dxfId="1591" priority="223" operator="equal">
      <formula>"!"</formula>
    </cfRule>
  </conditionalFormatting>
  <conditionalFormatting sqref="Y206">
    <cfRule type="cellIs" dxfId="1590" priority="222" operator="equal">
      <formula>1</formula>
    </cfRule>
  </conditionalFormatting>
  <conditionalFormatting sqref="V206:X206 S206">
    <cfRule type="cellIs" dxfId="1589" priority="221" operator="equal">
      <formula>"!"</formula>
    </cfRule>
  </conditionalFormatting>
  <conditionalFormatting sqref="T206">
    <cfRule type="cellIs" dxfId="1588" priority="219" operator="equal">
      <formula>2</formula>
    </cfRule>
    <cfRule type="cellIs" dxfId="1587" priority="220" operator="equal">
      <formula>1</formula>
    </cfRule>
  </conditionalFormatting>
  <conditionalFormatting sqref="L204:N204">
    <cfRule type="cellIs" dxfId="1586" priority="218" operator="equal">
      <formula>"!"</formula>
    </cfRule>
  </conditionalFormatting>
  <conditionalFormatting sqref="Y204">
    <cfRule type="cellIs" dxfId="1585" priority="217" operator="equal">
      <formula>1</formula>
    </cfRule>
  </conditionalFormatting>
  <conditionalFormatting sqref="S204 V204:X204">
    <cfRule type="cellIs" dxfId="1584" priority="216" operator="equal">
      <formula>"!"</formula>
    </cfRule>
  </conditionalFormatting>
  <conditionalFormatting sqref="T204">
    <cfRule type="cellIs" dxfId="1583" priority="214" operator="equal">
      <formula>2</formula>
    </cfRule>
    <cfRule type="cellIs" dxfId="1582" priority="215" operator="equal">
      <formula>1</formula>
    </cfRule>
  </conditionalFormatting>
  <conditionalFormatting sqref="Y209">
    <cfRule type="cellIs" dxfId="1581" priority="213" operator="equal">
      <formula>1</formula>
    </cfRule>
  </conditionalFormatting>
  <conditionalFormatting sqref="L208:N208">
    <cfRule type="cellIs" dxfId="1580" priority="212" operator="equal">
      <formula>"!"</formula>
    </cfRule>
  </conditionalFormatting>
  <conditionalFormatting sqref="S208 V208:X208">
    <cfRule type="cellIs" dxfId="1579" priority="211" operator="equal">
      <formula>"!"</formula>
    </cfRule>
  </conditionalFormatting>
  <conditionalFormatting sqref="T208">
    <cfRule type="cellIs" dxfId="1578" priority="209" operator="equal">
      <formula>2</formula>
    </cfRule>
    <cfRule type="cellIs" dxfId="1577" priority="210" operator="equal">
      <formula>1</formula>
    </cfRule>
  </conditionalFormatting>
  <conditionalFormatting sqref="Y208">
    <cfRule type="cellIs" dxfId="1576" priority="208" operator="equal">
      <formula>1</formula>
    </cfRule>
  </conditionalFormatting>
  <conditionalFormatting sqref="H208">
    <cfRule type="cellIs" dxfId="1575" priority="204" operator="equal">
      <formula>100</formula>
    </cfRule>
    <cfRule type="cellIs" dxfId="1574" priority="205" operator="equal">
      <formula>50</formula>
    </cfRule>
    <cfRule type="cellIs" dxfId="1573" priority="206" operator="equal">
      <formula>20</formula>
    </cfRule>
    <cfRule type="cellIs" dxfId="1572" priority="207" operator="equal">
      <formula>6</formula>
    </cfRule>
  </conditionalFormatting>
  <conditionalFormatting sqref="I208:J208">
    <cfRule type="cellIs" dxfId="1571" priority="200" operator="equal">
      <formula>50</formula>
    </cfRule>
    <cfRule type="cellIs" dxfId="1570" priority="201" operator="equal">
      <formula>20</formula>
    </cfRule>
    <cfRule type="cellIs" dxfId="1569" priority="202" operator="equal">
      <formula>6</formula>
    </cfRule>
    <cfRule type="cellIs" dxfId="1568" priority="203" operator="equal">
      <formula>3</formula>
    </cfRule>
  </conditionalFormatting>
  <conditionalFormatting sqref="K208">
    <cfRule type="cellIs" dxfId="1567" priority="196" operator="equal">
      <formula>"4 pt"</formula>
    </cfRule>
    <cfRule type="cellIs" dxfId="1566" priority="197" operator="equal">
      <formula>"3 pt"</formula>
    </cfRule>
    <cfRule type="cellIs" dxfId="1565" priority="198" operator="equal">
      <formula>"2 pt"</formula>
    </cfRule>
    <cfRule type="cellIs" dxfId="1564" priority="199" operator="equal">
      <formula>"1 pt"</formula>
    </cfRule>
  </conditionalFormatting>
  <conditionalFormatting sqref="Y213">
    <cfRule type="cellIs" dxfId="1563" priority="195" operator="equal">
      <formula>1</formula>
    </cfRule>
  </conditionalFormatting>
  <conditionalFormatting sqref="Y222">
    <cfRule type="cellIs" dxfId="1562" priority="194" operator="equal">
      <formula>1</formula>
    </cfRule>
  </conditionalFormatting>
  <conditionalFormatting sqref="L223:N223">
    <cfRule type="cellIs" dxfId="1561" priority="193" operator="equal">
      <formula>"!"</formula>
    </cfRule>
  </conditionalFormatting>
  <conditionalFormatting sqref="Y223">
    <cfRule type="cellIs" dxfId="1560" priority="192" operator="equal">
      <formula>1</formula>
    </cfRule>
  </conditionalFormatting>
  <conditionalFormatting sqref="V223:X223 S223">
    <cfRule type="cellIs" dxfId="1559" priority="191" operator="equal">
      <formula>"!"</formula>
    </cfRule>
  </conditionalFormatting>
  <conditionalFormatting sqref="T223">
    <cfRule type="cellIs" dxfId="1558" priority="189" operator="equal">
      <formula>2</formula>
    </cfRule>
    <cfRule type="cellIs" dxfId="1557" priority="190" operator="equal">
      <formula>1</formula>
    </cfRule>
  </conditionalFormatting>
  <conditionalFormatting sqref="H223">
    <cfRule type="cellIs" dxfId="1556" priority="185" operator="equal">
      <formula>100</formula>
    </cfRule>
    <cfRule type="cellIs" dxfId="1555" priority="186" operator="equal">
      <formula>50</formula>
    </cfRule>
    <cfRule type="cellIs" dxfId="1554" priority="187" operator="equal">
      <formula>20</formula>
    </cfRule>
    <cfRule type="cellIs" dxfId="1553" priority="188" operator="equal">
      <formula>6</formula>
    </cfRule>
  </conditionalFormatting>
  <conditionalFormatting sqref="I223:J223">
    <cfRule type="cellIs" dxfId="1552" priority="181" operator="equal">
      <formula>50</formula>
    </cfRule>
    <cfRule type="cellIs" dxfId="1551" priority="182" operator="equal">
      <formula>20</formula>
    </cfRule>
    <cfRule type="cellIs" dxfId="1550" priority="183" operator="equal">
      <formula>6</formula>
    </cfRule>
    <cfRule type="cellIs" dxfId="1549" priority="184" operator="equal">
      <formula>3</formula>
    </cfRule>
  </conditionalFormatting>
  <conditionalFormatting sqref="K223">
    <cfRule type="cellIs" dxfId="1548" priority="177" operator="equal">
      <formula>"4 pt"</formula>
    </cfRule>
    <cfRule type="cellIs" dxfId="1547" priority="178" operator="equal">
      <formula>"3 pt"</formula>
    </cfRule>
    <cfRule type="cellIs" dxfId="1546" priority="179" operator="equal">
      <formula>"2 pt"</formula>
    </cfRule>
    <cfRule type="cellIs" dxfId="1545" priority="180" operator="equal">
      <formula>"1 pt"</formula>
    </cfRule>
  </conditionalFormatting>
  <conditionalFormatting sqref="Z223:AK223">
    <cfRule type="cellIs" dxfId="1544" priority="171" operator="equal">
      <formula>3</formula>
    </cfRule>
    <cfRule type="cellIs" dxfId="1543" priority="172" operator="equal">
      <formula>2</formula>
    </cfRule>
    <cfRule type="cellIs" dxfId="1542" priority="173" operator="equal">
      <formula>1</formula>
    </cfRule>
  </conditionalFormatting>
  <conditionalFormatting sqref="Q223:R223">
    <cfRule type="cellIs" dxfId="1541" priority="174" operator="greaterThan">
      <formula>1000</formula>
    </cfRule>
    <cfRule type="cellIs" dxfId="1540" priority="175" operator="between">
      <formula>10</formula>
      <formula>1000</formula>
    </cfRule>
    <cfRule type="cellIs" dxfId="1539" priority="176" operator="lessThan">
      <formula>10</formula>
    </cfRule>
  </conditionalFormatting>
  <conditionalFormatting sqref="Y230">
    <cfRule type="cellIs" dxfId="1538" priority="170" operator="equal">
      <formula>1</formula>
    </cfRule>
  </conditionalFormatting>
  <conditionalFormatting sqref="Y232">
    <cfRule type="cellIs" dxfId="1537" priority="169" operator="equal">
      <formula>1</formula>
    </cfRule>
  </conditionalFormatting>
  <conditionalFormatting sqref="L235:N235">
    <cfRule type="cellIs" dxfId="1536" priority="168" operator="equal">
      <formula>"!"</formula>
    </cfRule>
  </conditionalFormatting>
  <conditionalFormatting sqref="Y235">
    <cfRule type="cellIs" dxfId="1535" priority="167" operator="equal">
      <formula>1</formula>
    </cfRule>
  </conditionalFormatting>
  <conditionalFormatting sqref="V235:X235 S235">
    <cfRule type="cellIs" dxfId="1534" priority="166" operator="equal">
      <formula>"!"</formula>
    </cfRule>
  </conditionalFormatting>
  <conditionalFormatting sqref="T235">
    <cfRule type="cellIs" dxfId="1533" priority="164" operator="equal">
      <formula>2</formula>
    </cfRule>
    <cfRule type="cellIs" dxfId="1532" priority="165" operator="equal">
      <formula>1</formula>
    </cfRule>
  </conditionalFormatting>
  <conditionalFormatting sqref="L236:N236">
    <cfRule type="cellIs" dxfId="1531" priority="163" operator="equal">
      <formula>"!"</formula>
    </cfRule>
  </conditionalFormatting>
  <conditionalFormatting sqref="Y236">
    <cfRule type="cellIs" dxfId="1530" priority="162" operator="equal">
      <formula>1</formula>
    </cfRule>
  </conditionalFormatting>
  <conditionalFormatting sqref="V236:X236 S236">
    <cfRule type="cellIs" dxfId="1529" priority="161" operator="equal">
      <formula>"!"</formula>
    </cfRule>
  </conditionalFormatting>
  <conditionalFormatting sqref="T236">
    <cfRule type="cellIs" dxfId="1528" priority="159" operator="equal">
      <formula>2</formula>
    </cfRule>
    <cfRule type="cellIs" dxfId="1527" priority="160" operator="equal">
      <formula>1</formula>
    </cfRule>
  </conditionalFormatting>
  <conditionalFormatting sqref="H236">
    <cfRule type="cellIs" dxfId="1526" priority="155" operator="equal">
      <formula>100</formula>
    </cfRule>
    <cfRule type="cellIs" dxfId="1525" priority="156" operator="equal">
      <formula>50</formula>
    </cfRule>
    <cfRule type="cellIs" dxfId="1524" priority="157" operator="equal">
      <formula>20</formula>
    </cfRule>
    <cfRule type="cellIs" dxfId="1523" priority="158" operator="equal">
      <formula>6</formula>
    </cfRule>
  </conditionalFormatting>
  <conditionalFormatting sqref="I236:J236">
    <cfRule type="cellIs" dxfId="1522" priority="151" operator="equal">
      <formula>50</formula>
    </cfRule>
    <cfRule type="cellIs" dxfId="1521" priority="152" operator="equal">
      <formula>20</formula>
    </cfRule>
    <cfRule type="cellIs" dxfId="1520" priority="153" operator="equal">
      <formula>6</formula>
    </cfRule>
    <cfRule type="cellIs" dxfId="1519" priority="154" operator="equal">
      <formula>3</formula>
    </cfRule>
  </conditionalFormatting>
  <conditionalFormatting sqref="K236">
    <cfRule type="cellIs" dxfId="1518" priority="147" operator="equal">
      <formula>"4 pt"</formula>
    </cfRule>
    <cfRule type="cellIs" dxfId="1517" priority="148" operator="equal">
      <formula>"3 pt"</formula>
    </cfRule>
    <cfRule type="cellIs" dxfId="1516" priority="149" operator="equal">
      <formula>"2 pt"</formula>
    </cfRule>
    <cfRule type="cellIs" dxfId="1515" priority="150" operator="equal">
      <formula>"1 pt"</formula>
    </cfRule>
  </conditionalFormatting>
  <conditionalFormatting sqref="Z236:AK236">
    <cfRule type="cellIs" dxfId="1514" priority="141" operator="equal">
      <formula>3</formula>
    </cfRule>
    <cfRule type="cellIs" dxfId="1513" priority="142" operator="equal">
      <formula>2</formula>
    </cfRule>
    <cfRule type="cellIs" dxfId="1512" priority="143" operator="equal">
      <formula>1</formula>
    </cfRule>
  </conditionalFormatting>
  <conditionalFormatting sqref="Q236:R236">
    <cfRule type="cellIs" dxfId="1511" priority="144" operator="greaterThan">
      <formula>1000</formula>
    </cfRule>
    <cfRule type="cellIs" dxfId="1510" priority="145" operator="between">
      <formula>10</formula>
      <formula>1000</formula>
    </cfRule>
    <cfRule type="cellIs" dxfId="1509" priority="146" operator="lessThan">
      <formula>10</formula>
    </cfRule>
  </conditionalFormatting>
  <conditionalFormatting sqref="Y239">
    <cfRule type="cellIs" dxfId="1508" priority="140" operator="equal">
      <formula>1</formula>
    </cfRule>
  </conditionalFormatting>
  <conditionalFormatting sqref="Y245">
    <cfRule type="cellIs" dxfId="1507" priority="139" operator="equal">
      <formula>1</formula>
    </cfRule>
  </conditionalFormatting>
  <conditionalFormatting sqref="Y246:Y247">
    <cfRule type="cellIs" dxfId="1506" priority="138" operator="equal">
      <formula>1</formula>
    </cfRule>
  </conditionalFormatting>
  <conditionalFormatting sqref="Y259">
    <cfRule type="cellIs" dxfId="1505" priority="137" operator="equal">
      <formula>1</formula>
    </cfRule>
  </conditionalFormatting>
  <conditionalFormatting sqref="Y258">
    <cfRule type="cellIs" dxfId="1504" priority="136" operator="equal">
      <formula>1</formula>
    </cfRule>
  </conditionalFormatting>
  <conditionalFormatting sqref="Y260">
    <cfRule type="cellIs" dxfId="1503" priority="135" operator="equal">
      <formula>1</formula>
    </cfRule>
  </conditionalFormatting>
  <conditionalFormatting sqref="Y261">
    <cfRule type="cellIs" dxfId="1502" priority="134" operator="equal">
      <formula>1</formula>
    </cfRule>
  </conditionalFormatting>
  <conditionalFormatting sqref="Y265">
    <cfRule type="cellIs" dxfId="1501" priority="133" operator="equal">
      <formula>1</formula>
    </cfRule>
  </conditionalFormatting>
  <conditionalFormatting sqref="Y267">
    <cfRule type="cellIs" dxfId="1500" priority="132" operator="equal">
      <formula>1</formula>
    </cfRule>
  </conditionalFormatting>
  <conditionalFormatting sqref="Y272">
    <cfRule type="cellIs" dxfId="1499" priority="126" operator="equal">
      <formula>1</formula>
    </cfRule>
  </conditionalFormatting>
  <conditionalFormatting sqref="L277:N277">
    <cfRule type="cellIs" dxfId="1498" priority="125" operator="equal">
      <formula>"!"</formula>
    </cfRule>
  </conditionalFormatting>
  <conditionalFormatting sqref="Y277">
    <cfRule type="cellIs" dxfId="1497" priority="124" operator="equal">
      <formula>1</formula>
    </cfRule>
  </conditionalFormatting>
  <conditionalFormatting sqref="V277:X277 S277">
    <cfRule type="cellIs" dxfId="1496" priority="123" operator="equal">
      <formula>"!"</formula>
    </cfRule>
  </conditionalFormatting>
  <conditionalFormatting sqref="T277">
    <cfRule type="cellIs" dxfId="1495" priority="121" operator="equal">
      <formula>2</formula>
    </cfRule>
    <cfRule type="cellIs" dxfId="1494" priority="122" operator="equal">
      <formula>1</formula>
    </cfRule>
  </conditionalFormatting>
  <conditionalFormatting sqref="L276:N276">
    <cfRule type="cellIs" dxfId="1493" priority="120" operator="equal">
      <formula>"!"</formula>
    </cfRule>
  </conditionalFormatting>
  <conditionalFormatting sqref="Y276">
    <cfRule type="cellIs" dxfId="1492" priority="119" operator="equal">
      <formula>1</formula>
    </cfRule>
  </conditionalFormatting>
  <conditionalFormatting sqref="V276:X276 S276">
    <cfRule type="cellIs" dxfId="1491" priority="118" operator="equal">
      <formula>"!"</formula>
    </cfRule>
  </conditionalFormatting>
  <conditionalFormatting sqref="T276">
    <cfRule type="cellIs" dxfId="1490" priority="116" operator="equal">
      <formula>2</formula>
    </cfRule>
    <cfRule type="cellIs" dxfId="1489" priority="117" operator="equal">
      <formula>1</formula>
    </cfRule>
  </conditionalFormatting>
  <conditionalFormatting sqref="H69">
    <cfRule type="cellIs" dxfId="1488" priority="112" operator="equal">
      <formula>100</formula>
    </cfRule>
    <cfRule type="cellIs" dxfId="1487" priority="113" operator="equal">
      <formula>50</formula>
    </cfRule>
    <cfRule type="cellIs" dxfId="1486" priority="114" operator="equal">
      <formula>20</formula>
    </cfRule>
    <cfRule type="cellIs" dxfId="1485" priority="115" operator="equal">
      <formula>6</formula>
    </cfRule>
  </conditionalFormatting>
  <conditionalFormatting sqref="K69">
    <cfRule type="cellIs" dxfId="1484" priority="108" operator="equal">
      <formula>"4 pt"</formula>
    </cfRule>
    <cfRule type="cellIs" dxfId="1483" priority="109" operator="equal">
      <formula>"3 pt"</formula>
    </cfRule>
    <cfRule type="cellIs" dxfId="1482" priority="110" operator="equal">
      <formula>"2 pt"</formula>
    </cfRule>
    <cfRule type="cellIs" dxfId="1481" priority="111" operator="equal">
      <formula>"1 pt"</formula>
    </cfRule>
  </conditionalFormatting>
  <conditionalFormatting sqref="Z69:AK69">
    <cfRule type="cellIs" dxfId="1480" priority="102" operator="equal">
      <formula>3</formula>
    </cfRule>
    <cfRule type="cellIs" dxfId="1479" priority="103" operator="equal">
      <formula>2</formula>
    </cfRule>
    <cfRule type="cellIs" dxfId="1478" priority="104" operator="equal">
      <formula>1</formula>
    </cfRule>
  </conditionalFormatting>
  <conditionalFormatting sqref="Q69:R69">
    <cfRule type="cellIs" dxfId="1477" priority="105" operator="greaterThan">
      <formula>1000</formula>
    </cfRule>
    <cfRule type="cellIs" dxfId="1476" priority="106" operator="between">
      <formula>10</formula>
      <formula>1000</formula>
    </cfRule>
    <cfRule type="cellIs" dxfId="1475" priority="107" operator="lessThan">
      <formula>10</formula>
    </cfRule>
  </conditionalFormatting>
  <conditionalFormatting sqref="L69:N69">
    <cfRule type="cellIs" dxfId="1474" priority="101" operator="equal">
      <formula>"!"</formula>
    </cfRule>
  </conditionalFormatting>
  <conditionalFormatting sqref="Y69">
    <cfRule type="cellIs" dxfId="1473" priority="100" operator="equal">
      <formula>1</formula>
    </cfRule>
  </conditionalFormatting>
  <conditionalFormatting sqref="S69 V69:X69">
    <cfRule type="cellIs" dxfId="1472" priority="99" operator="equal">
      <formula>"!"</formula>
    </cfRule>
  </conditionalFormatting>
  <conditionalFormatting sqref="T69">
    <cfRule type="cellIs" dxfId="1471" priority="97" operator="equal">
      <formula>2</formula>
    </cfRule>
    <cfRule type="cellIs" dxfId="1470" priority="98" operator="equal">
      <formula>1</formula>
    </cfRule>
  </conditionalFormatting>
  <conditionalFormatting sqref="I69:J69">
    <cfRule type="cellIs" dxfId="1469" priority="93" operator="equal">
      <formula>50</formula>
    </cfRule>
    <cfRule type="cellIs" dxfId="1468" priority="94" operator="equal">
      <formula>20</formula>
    </cfRule>
    <cfRule type="cellIs" dxfId="1467" priority="95" operator="equal">
      <formula>6</formula>
    </cfRule>
    <cfRule type="cellIs" dxfId="1466" priority="96" operator="equal">
      <formula>3</formula>
    </cfRule>
  </conditionalFormatting>
  <conditionalFormatting sqref="L72:N72">
    <cfRule type="cellIs" dxfId="1465" priority="92" operator="equal">
      <formula>"!"</formula>
    </cfRule>
  </conditionalFormatting>
  <conditionalFormatting sqref="Y72">
    <cfRule type="cellIs" dxfId="1464" priority="91" operator="equal">
      <formula>1</formula>
    </cfRule>
  </conditionalFormatting>
  <conditionalFormatting sqref="V72:X72 S72">
    <cfRule type="cellIs" dxfId="1463" priority="90" operator="equal">
      <formula>"!"</formula>
    </cfRule>
  </conditionalFormatting>
  <conditionalFormatting sqref="T72">
    <cfRule type="cellIs" dxfId="1462" priority="88" operator="equal">
      <formula>2</formula>
    </cfRule>
    <cfRule type="cellIs" dxfId="1461" priority="89" operator="equal">
      <formula>1</formula>
    </cfRule>
  </conditionalFormatting>
  <conditionalFormatting sqref="H72">
    <cfRule type="cellIs" dxfId="1460" priority="84" operator="equal">
      <formula>100</formula>
    </cfRule>
    <cfRule type="cellIs" dxfId="1459" priority="85" operator="equal">
      <formula>50</formula>
    </cfRule>
    <cfRule type="cellIs" dxfId="1458" priority="86" operator="equal">
      <formula>20</formula>
    </cfRule>
    <cfRule type="cellIs" dxfId="1457" priority="87" operator="equal">
      <formula>6</formula>
    </cfRule>
  </conditionalFormatting>
  <conditionalFormatting sqref="I72:J72">
    <cfRule type="cellIs" dxfId="1456" priority="80" operator="equal">
      <formula>50</formula>
    </cfRule>
    <cfRule type="cellIs" dxfId="1455" priority="81" operator="equal">
      <formula>20</formula>
    </cfRule>
    <cfRule type="cellIs" dxfId="1454" priority="82" operator="equal">
      <formula>6</formula>
    </cfRule>
    <cfRule type="cellIs" dxfId="1453" priority="83" operator="equal">
      <formula>3</formula>
    </cfRule>
  </conditionalFormatting>
  <conditionalFormatting sqref="K72">
    <cfRule type="cellIs" dxfId="1452" priority="76" operator="equal">
      <formula>"4 pt"</formula>
    </cfRule>
    <cfRule type="cellIs" dxfId="1451" priority="77" operator="equal">
      <formula>"3 pt"</formula>
    </cfRule>
    <cfRule type="cellIs" dxfId="1450" priority="78" operator="equal">
      <formula>"2 pt"</formula>
    </cfRule>
    <cfRule type="cellIs" dxfId="1449" priority="79" operator="equal">
      <formula>"1 pt"</formula>
    </cfRule>
  </conditionalFormatting>
  <conditionalFormatting sqref="Z72:AK72">
    <cfRule type="cellIs" dxfId="1448" priority="70" operator="equal">
      <formula>3</formula>
    </cfRule>
    <cfRule type="cellIs" dxfId="1447" priority="71" operator="equal">
      <formula>2</formula>
    </cfRule>
    <cfRule type="cellIs" dxfId="1446" priority="72" operator="equal">
      <formula>1</formula>
    </cfRule>
  </conditionalFormatting>
  <conditionalFormatting sqref="Q72:R72">
    <cfRule type="cellIs" dxfId="1445" priority="73" operator="greaterThan">
      <formula>1000</formula>
    </cfRule>
    <cfRule type="cellIs" dxfId="1444" priority="74" operator="between">
      <formula>10</formula>
      <formula>1000</formula>
    </cfRule>
    <cfRule type="cellIs" dxfId="1443" priority="75" operator="lessThan">
      <formula>10</formula>
    </cfRule>
  </conditionalFormatting>
  <conditionalFormatting sqref="H128">
    <cfRule type="cellIs" dxfId="1442" priority="66" operator="equal">
      <formula>100</formula>
    </cfRule>
    <cfRule type="cellIs" dxfId="1441" priority="67" operator="equal">
      <formula>50</formula>
    </cfRule>
    <cfRule type="cellIs" dxfId="1440" priority="68" operator="equal">
      <formula>20</formula>
    </cfRule>
    <cfRule type="cellIs" dxfId="1439" priority="69" operator="equal">
      <formula>6</formula>
    </cfRule>
  </conditionalFormatting>
  <conditionalFormatting sqref="I128:J128">
    <cfRule type="cellIs" dxfId="1438" priority="62" operator="equal">
      <formula>50</formula>
    </cfRule>
    <cfRule type="cellIs" dxfId="1437" priority="63" operator="equal">
      <formula>20</formula>
    </cfRule>
    <cfRule type="cellIs" dxfId="1436" priority="64" operator="equal">
      <formula>6</formula>
    </cfRule>
    <cfRule type="cellIs" dxfId="1435" priority="65" operator="equal">
      <formula>3</formula>
    </cfRule>
  </conditionalFormatting>
  <conditionalFormatting sqref="K128">
    <cfRule type="cellIs" dxfId="1434" priority="58" operator="equal">
      <formula>"4 pt"</formula>
    </cfRule>
    <cfRule type="cellIs" dxfId="1433" priority="59" operator="equal">
      <formula>"3 pt"</formula>
    </cfRule>
    <cfRule type="cellIs" dxfId="1432" priority="60" operator="equal">
      <formula>"2 pt"</formula>
    </cfRule>
    <cfRule type="cellIs" dxfId="1431" priority="61" operator="equal">
      <formula>"1 pt"</formula>
    </cfRule>
  </conditionalFormatting>
  <conditionalFormatting sqref="Z128:AK128">
    <cfRule type="cellIs" dxfId="1430" priority="52" operator="equal">
      <formula>3</formula>
    </cfRule>
    <cfRule type="cellIs" dxfId="1429" priority="53" operator="equal">
      <formula>2</formula>
    </cfRule>
    <cfRule type="cellIs" dxfId="1428" priority="54" operator="equal">
      <formula>1</formula>
    </cfRule>
  </conditionalFormatting>
  <conditionalFormatting sqref="Q128:R128">
    <cfRule type="cellIs" dxfId="1427" priority="55" operator="greaterThan">
      <formula>1000</formula>
    </cfRule>
    <cfRule type="cellIs" dxfId="1426" priority="56" operator="between">
      <formula>10</formula>
      <formula>1000</formula>
    </cfRule>
    <cfRule type="cellIs" dxfId="1425" priority="57" operator="lessThan">
      <formula>10</formula>
    </cfRule>
  </conditionalFormatting>
  <conditionalFormatting sqref="L128:N128">
    <cfRule type="cellIs" dxfId="1424" priority="51" operator="equal">
      <formula>"!"</formula>
    </cfRule>
  </conditionalFormatting>
  <conditionalFormatting sqref="Y128">
    <cfRule type="cellIs" dxfId="1423" priority="50" operator="equal">
      <formula>1</formula>
    </cfRule>
  </conditionalFormatting>
  <conditionalFormatting sqref="V128:X128 S128">
    <cfRule type="cellIs" dxfId="1422" priority="49" operator="equal">
      <formula>"!"</formula>
    </cfRule>
  </conditionalFormatting>
  <conditionalFormatting sqref="T128">
    <cfRule type="cellIs" dxfId="1421" priority="47" operator="equal">
      <formula>2</formula>
    </cfRule>
    <cfRule type="cellIs" dxfId="1420" priority="48" operator="equal">
      <formula>1</formula>
    </cfRule>
  </conditionalFormatting>
  <conditionalFormatting sqref="L185:N185">
    <cfRule type="cellIs" dxfId="1419" priority="46" operator="equal">
      <formula>"!"</formula>
    </cfRule>
  </conditionalFormatting>
  <conditionalFormatting sqref="Y185">
    <cfRule type="cellIs" dxfId="1418" priority="45" operator="equal">
      <formula>1</formula>
    </cfRule>
  </conditionalFormatting>
  <conditionalFormatting sqref="V185:X185 S185">
    <cfRule type="cellIs" dxfId="1417" priority="44" operator="equal">
      <formula>"!"</formula>
    </cfRule>
  </conditionalFormatting>
  <conditionalFormatting sqref="T185">
    <cfRule type="cellIs" dxfId="1416" priority="42" operator="equal">
      <formula>2</formula>
    </cfRule>
    <cfRule type="cellIs" dxfId="1415" priority="43" operator="equal">
      <formula>1</formula>
    </cfRule>
  </conditionalFormatting>
  <conditionalFormatting sqref="H185">
    <cfRule type="cellIs" dxfId="1414" priority="38" operator="equal">
      <formula>100</formula>
    </cfRule>
    <cfRule type="cellIs" dxfId="1413" priority="39" operator="equal">
      <formula>50</formula>
    </cfRule>
    <cfRule type="cellIs" dxfId="1412" priority="40" operator="equal">
      <formula>20</formula>
    </cfRule>
    <cfRule type="cellIs" dxfId="1411" priority="41" operator="equal">
      <formula>6</formula>
    </cfRule>
  </conditionalFormatting>
  <conditionalFormatting sqref="I185:J185">
    <cfRule type="cellIs" dxfId="1410" priority="34" operator="equal">
      <formula>50</formula>
    </cfRule>
    <cfRule type="cellIs" dxfId="1409" priority="35" operator="equal">
      <formula>20</formula>
    </cfRule>
    <cfRule type="cellIs" dxfId="1408" priority="36" operator="equal">
      <formula>6</formula>
    </cfRule>
    <cfRule type="cellIs" dxfId="1407" priority="37" operator="equal">
      <formula>3</formula>
    </cfRule>
  </conditionalFormatting>
  <conditionalFormatting sqref="K185">
    <cfRule type="cellIs" dxfId="1406" priority="30" operator="equal">
      <formula>"4 pt"</formula>
    </cfRule>
    <cfRule type="cellIs" dxfId="1405" priority="31" operator="equal">
      <formula>"3 pt"</formula>
    </cfRule>
    <cfRule type="cellIs" dxfId="1404" priority="32" operator="equal">
      <formula>"2 pt"</formula>
    </cfRule>
    <cfRule type="cellIs" dxfId="1403" priority="33" operator="equal">
      <formula>"1 pt"</formula>
    </cfRule>
  </conditionalFormatting>
  <conditionalFormatting sqref="Z185:AK185">
    <cfRule type="cellIs" dxfId="1402" priority="24" operator="equal">
      <formula>3</formula>
    </cfRule>
    <cfRule type="cellIs" dxfId="1401" priority="25" operator="equal">
      <formula>2</formula>
    </cfRule>
    <cfRule type="cellIs" dxfId="1400" priority="26" operator="equal">
      <formula>1</formula>
    </cfRule>
  </conditionalFormatting>
  <conditionalFormatting sqref="Q185:R185">
    <cfRule type="cellIs" dxfId="1399" priority="27" operator="greaterThan">
      <formula>1000</formula>
    </cfRule>
    <cfRule type="cellIs" dxfId="1398" priority="28" operator="between">
      <formula>10</formula>
      <formula>1000</formula>
    </cfRule>
    <cfRule type="cellIs" dxfId="1397" priority="29" operator="lessThan">
      <formula>10</formula>
    </cfRule>
  </conditionalFormatting>
  <conditionalFormatting sqref="L215:N215">
    <cfRule type="cellIs" dxfId="1396" priority="23" operator="equal">
      <formula>"!"</formula>
    </cfRule>
  </conditionalFormatting>
  <conditionalFormatting sqref="Y215">
    <cfRule type="cellIs" dxfId="1395" priority="22" operator="equal">
      <formula>1</formula>
    </cfRule>
  </conditionalFormatting>
  <conditionalFormatting sqref="S215 V215:X215">
    <cfRule type="cellIs" dxfId="1394" priority="21" operator="equal">
      <formula>"!"</formula>
    </cfRule>
  </conditionalFormatting>
  <conditionalFormatting sqref="T215">
    <cfRule type="cellIs" dxfId="1393" priority="19" operator="equal">
      <formula>2</formula>
    </cfRule>
    <cfRule type="cellIs" dxfId="1392" priority="20" operator="equal">
      <formula>1</formula>
    </cfRule>
  </conditionalFormatting>
  <conditionalFormatting sqref="H215">
    <cfRule type="cellIs" dxfId="1391" priority="15" operator="equal">
      <formula>100</formula>
    </cfRule>
    <cfRule type="cellIs" dxfId="1390" priority="16" operator="equal">
      <formula>50</formula>
    </cfRule>
    <cfRule type="cellIs" dxfId="1389" priority="17" operator="equal">
      <formula>20</formula>
    </cfRule>
    <cfRule type="cellIs" dxfId="1388" priority="18" operator="equal">
      <formula>6</formula>
    </cfRule>
  </conditionalFormatting>
  <conditionalFormatting sqref="I215:J215">
    <cfRule type="cellIs" dxfId="1387" priority="11" operator="equal">
      <formula>50</formula>
    </cfRule>
    <cfRule type="cellIs" dxfId="1386" priority="12" operator="equal">
      <formula>20</formula>
    </cfRule>
    <cfRule type="cellIs" dxfId="1385" priority="13" operator="equal">
      <formula>6</formula>
    </cfRule>
    <cfRule type="cellIs" dxfId="1384" priority="14" operator="equal">
      <formula>3</formula>
    </cfRule>
  </conditionalFormatting>
  <conditionalFormatting sqref="K215">
    <cfRule type="cellIs" dxfId="1383" priority="7" operator="equal">
      <formula>"4 pt"</formula>
    </cfRule>
    <cfRule type="cellIs" dxfId="1382" priority="8" operator="equal">
      <formula>"3 pt"</formula>
    </cfRule>
    <cfRule type="cellIs" dxfId="1381" priority="9" operator="equal">
      <formula>"2 pt"</formula>
    </cfRule>
    <cfRule type="cellIs" dxfId="1380" priority="10" operator="equal">
      <formula>"1 pt"</formula>
    </cfRule>
  </conditionalFormatting>
  <conditionalFormatting sqref="Z215:AK215">
    <cfRule type="cellIs" dxfId="1379" priority="1" operator="equal">
      <formula>3</formula>
    </cfRule>
    <cfRule type="cellIs" dxfId="1378" priority="2" operator="equal">
      <formula>2</formula>
    </cfRule>
    <cfRule type="cellIs" dxfId="1377" priority="3" operator="equal">
      <formula>1</formula>
    </cfRule>
  </conditionalFormatting>
  <conditionalFormatting sqref="Q215:R215">
    <cfRule type="cellIs" dxfId="1376" priority="4" operator="greaterThan">
      <formula>1000</formula>
    </cfRule>
    <cfRule type="cellIs" dxfId="1375" priority="5" operator="between">
      <formula>10</formula>
      <formula>1000</formula>
    </cfRule>
    <cfRule type="cellIs" dxfId="1374" priority="6" operator="lessThan">
      <formula>10</formula>
    </cfRule>
  </conditionalFormatting>
  <hyperlinks>
    <hyperlink ref="A1" location="Parcelle!A1" display="Parcelle!A1" xr:uid="{00000000-0004-0000-0300-000000000000}"/>
  </hyperlinks>
  <pageMargins left="0.23622047244094491" right="0.23622047244094491" top="0.74803149606299213" bottom="0.74803149606299213" header="0.31496062992125984" footer="0.31496062992125984"/>
  <pageSetup paperSize="9" scale="41" fitToHeight="0" orientation="landscape" r:id="rId1"/>
  <headerFooter>
    <oddFooter>&amp;LSPP-DGAV&amp;Rwww.vd.ch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86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11.42578125" defaultRowHeight="14.25" x14ac:dyDescent="0.2"/>
  <cols>
    <col min="1" max="2" width="19.7109375" style="1" customWidth="1"/>
    <col min="3" max="3" width="6.85546875" style="3" customWidth="1"/>
    <col min="4" max="4" width="10.7109375" style="3" customWidth="1"/>
    <col min="5" max="5" width="7.5703125" style="3" customWidth="1"/>
    <col min="6" max="6" width="7.140625" style="3" customWidth="1"/>
    <col min="7" max="7" width="7.5703125" style="3" customWidth="1"/>
    <col min="8" max="8" width="6.5703125" style="3" customWidth="1"/>
    <col min="9" max="9" width="9.5703125" style="3" customWidth="1"/>
    <col min="10" max="10" width="11.42578125" style="3"/>
    <col min="11" max="11" width="9.5703125" style="3" customWidth="1"/>
    <col min="12" max="13" width="5.85546875" style="3" customWidth="1"/>
    <col min="14" max="14" width="4.7109375" style="3" customWidth="1"/>
    <col min="15" max="15" width="17.140625" style="3" customWidth="1"/>
    <col min="16" max="16" width="7.5703125" style="3" customWidth="1"/>
    <col min="17" max="18" width="9.42578125" style="3" customWidth="1"/>
    <col min="19" max="19" width="3.85546875" style="3" customWidth="1"/>
    <col min="20" max="20" width="6.85546875" style="3" customWidth="1"/>
    <col min="21" max="21" width="6.85546875" style="3" hidden="1" customWidth="1"/>
    <col min="22" max="23" width="6.85546875" style="3" customWidth="1"/>
    <col min="24" max="33" width="4.5703125" style="3" customWidth="1"/>
    <col min="34" max="35" width="4.5703125" style="1" customWidth="1"/>
    <col min="36" max="37" width="3.5703125" style="1" bestFit="1" customWidth="1"/>
    <col min="38" max="38" width="11.140625" style="1" customWidth="1"/>
    <col min="39" max="39" width="15.140625" style="1" customWidth="1"/>
    <col min="40" max="40" width="14.42578125" style="1" customWidth="1"/>
    <col min="41" max="41" width="15.5703125" style="1" customWidth="1"/>
    <col min="42" max="16384" width="11.42578125" style="1"/>
  </cols>
  <sheetData>
    <row r="1" spans="1:47" customFormat="1" ht="15" x14ac:dyDescent="0.25">
      <c r="A1" s="24" t="str">
        <f>+Textes!A3</f>
        <v>Retour</v>
      </c>
      <c r="B1" s="24"/>
      <c r="C1" s="10"/>
      <c r="E1" s="346" t="str">
        <f>+Textes!A4</f>
        <v>Groupes de résistance RAC</v>
      </c>
      <c r="F1" s="347"/>
      <c r="G1" s="348"/>
      <c r="H1" s="346" t="str">
        <f>+Textes!A5</f>
        <v>Distance en m sans traitement</v>
      </c>
      <c r="I1" s="347"/>
      <c r="J1" s="348"/>
      <c r="K1" s="170"/>
      <c r="L1" s="344" t="str">
        <f>+Textes!A6</f>
        <v>Réduction d'utilisation</v>
      </c>
      <c r="M1" s="343"/>
      <c r="N1" s="343"/>
      <c r="O1" s="343"/>
      <c r="P1" s="345"/>
      <c r="Q1" s="344" t="str">
        <f>+Textes!A7</f>
        <v>Risques</v>
      </c>
      <c r="R1" s="343"/>
      <c r="S1" s="343"/>
      <c r="T1" s="343"/>
      <c r="U1" s="345"/>
      <c r="V1" s="346" t="str">
        <f>+Textes!A8</f>
        <v>Protection utilisateur</v>
      </c>
      <c r="W1" s="347"/>
      <c r="X1" s="347"/>
      <c r="Y1" s="347"/>
      <c r="Z1" s="342" t="str">
        <f>+Textes!A9</f>
        <v>Utilisation en PER</v>
      </c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</row>
    <row r="2" spans="1:47" ht="75" customHeight="1" x14ac:dyDescent="0.2">
      <c r="A2" s="4" t="str">
        <f>Fongicides!A2</f>
        <v>Produit</v>
      </c>
      <c r="B2" s="4" t="str">
        <f>Fongicides!B2</f>
        <v>No homologation</v>
      </c>
      <c r="C2" s="11" t="str">
        <f>Fongicides!C2</f>
        <v>Type</v>
      </c>
      <c r="D2" s="7" t="str">
        <f>Fongicides!D2</f>
        <v>Firme</v>
      </c>
      <c r="E2" s="11" t="str">
        <f>Fongicides!E2</f>
        <v>SA 1</v>
      </c>
      <c r="F2" s="11" t="str">
        <f>Fongicides!F2</f>
        <v>SA 2</v>
      </c>
      <c r="G2" s="11" t="str">
        <f>Fongicides!G2</f>
        <v>SA3</v>
      </c>
      <c r="H2" s="11" t="str">
        <f>Fongicides!H2</f>
        <v>Eau surface</v>
      </c>
      <c r="I2" s="11" t="str">
        <f>Fongicides!I2</f>
        <v>Biotopes</v>
      </c>
      <c r="J2" s="11" t="str">
        <f>Fongicides!J2</f>
        <v>Public</v>
      </c>
      <c r="K2" s="11" t="str">
        <f>Fongicides!K2</f>
        <v>Ruissellement</v>
      </c>
      <c r="L2" s="11" t="str">
        <f>Fongicides!L2</f>
        <v>S2</v>
      </c>
      <c r="M2" s="11" t="s">
        <v>957</v>
      </c>
      <c r="N2" s="11" t="str">
        <f>Fongicides!N2</f>
        <v>K</v>
      </c>
      <c r="O2" s="11" t="str">
        <f>Fongicides!O2</f>
        <v>Fréquence</v>
      </c>
      <c r="P2" s="11" t="str">
        <f>Fongicides!P2</f>
        <v>PAP</v>
      </c>
      <c r="Q2" s="151" t="str">
        <f>+Textes!A89</f>
        <v>Org. aquatiques</v>
      </c>
      <c r="R2" s="151" t="str">
        <f>+Textes!A215</f>
        <v>Org. terrestres</v>
      </c>
      <c r="S2" s="91" t="str">
        <f>Fongicides!S2</f>
        <v>Poisson</v>
      </c>
      <c r="T2" s="91" t="str">
        <f>Fongicides!T2</f>
        <v>Abeille</v>
      </c>
      <c r="U2" s="91" t="str">
        <f>Fongicides!U2</f>
        <v>Eau surface</v>
      </c>
      <c r="V2" s="91" t="str">
        <f>Fongicides!V2</f>
        <v>Visière</v>
      </c>
      <c r="W2" s="91" t="str">
        <f>Fongicides!W2</f>
        <v>Masque</v>
      </c>
      <c r="X2" s="91" t="str">
        <f>Fongicides!X2</f>
        <v>Application</v>
      </c>
      <c r="Y2" s="91" t="str">
        <f>Fongicides!Y2</f>
        <v>Réentrée</v>
      </c>
      <c r="Z2" s="91" t="str">
        <f>Fongicides!Z2</f>
        <v>Céréales</v>
      </c>
      <c r="AA2" s="91" t="str">
        <f>Fongicides!AA2</f>
        <v>Betteraves</v>
      </c>
      <c r="AB2" s="91" t="str">
        <f>Fongicides!AB2</f>
        <v>Pdt</v>
      </c>
      <c r="AC2" s="91" t="str">
        <f>Fongicides!AC2</f>
        <v>Maïs</v>
      </c>
      <c r="AD2" s="91" t="str">
        <f>Fongicides!AD2</f>
        <v>Colza</v>
      </c>
      <c r="AE2" s="91" t="str">
        <f>Fongicides!AE2</f>
        <v>Tournesol</v>
      </c>
      <c r="AF2" s="91" t="str">
        <f>Fongicides!AF2</f>
        <v>Pois</v>
      </c>
      <c r="AG2" s="91" t="str">
        <f>Fongicides!AG2</f>
        <v>Soja</v>
      </c>
      <c r="AH2" s="91" t="str">
        <f>Fongicides!AH2</f>
        <v>Féverole</v>
      </c>
      <c r="AI2" s="91" t="str">
        <f>Fongicides!AI2</f>
        <v>Lupin</v>
      </c>
      <c r="AJ2" s="91" t="str">
        <f>Fongicides!AJ2</f>
        <v>Tabac</v>
      </c>
      <c r="AK2" s="91" t="str">
        <f>Fongicides!AK2</f>
        <v>Prairie</v>
      </c>
      <c r="AL2" s="4" t="str">
        <f>Fongicides!AL2</f>
        <v>Etat</v>
      </c>
      <c r="AM2" s="4" t="str">
        <f>Fongicides!AM2</f>
        <v>Délai utilisation</v>
      </c>
      <c r="AN2" s="4" t="str">
        <f>Fongicides!AN2</f>
        <v>SA 1</v>
      </c>
      <c r="AO2" s="4" t="str">
        <f>Fongicides!AO2</f>
        <v>SA 2</v>
      </c>
      <c r="AP2" s="4" t="str">
        <f>Fongicides!AP2</f>
        <v>SA3</v>
      </c>
      <c r="AQ2" s="4" t="str">
        <f>Fongicides!AQ2</f>
        <v>SA4</v>
      </c>
      <c r="AR2" s="11" t="str">
        <f>Fongicides!AR2</f>
        <v>g/kg SA 1</v>
      </c>
      <c r="AS2" s="11" t="str">
        <f>Fongicides!AS2</f>
        <v>g/kg SA 2</v>
      </c>
      <c r="AT2" s="11" t="str">
        <f>Fongicides!AT2</f>
        <v>g/kg SA3</v>
      </c>
      <c r="AU2" s="11" t="str">
        <f>Fongicides!AU2</f>
        <v>g/kg SA4</v>
      </c>
    </row>
    <row r="3" spans="1:47" x14ac:dyDescent="0.2">
      <c r="A3" s="27"/>
      <c r="B3" s="27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28.5" x14ac:dyDescent="0.25">
      <c r="A4" s="113" t="s">
        <v>312</v>
      </c>
      <c r="B4" s="6" t="s">
        <v>1042</v>
      </c>
      <c r="C4" s="8" t="s">
        <v>5</v>
      </c>
      <c r="D4" s="8" t="s">
        <v>29</v>
      </c>
      <c r="E4" s="9">
        <v>6</v>
      </c>
      <c r="F4" s="9"/>
      <c r="G4" s="9"/>
      <c r="H4" s="7">
        <v>6</v>
      </c>
      <c r="I4" s="7">
        <v>20</v>
      </c>
      <c r="J4" s="7"/>
      <c r="K4" s="7" t="s">
        <v>14</v>
      </c>
      <c r="L4" s="122"/>
      <c r="M4" s="122"/>
      <c r="N4" s="122"/>
      <c r="O4" s="96"/>
      <c r="P4" s="14">
        <v>0.3</v>
      </c>
      <c r="Q4" s="93">
        <v>1936.3315145548024</v>
      </c>
      <c r="R4" s="93">
        <v>29698.174157303321</v>
      </c>
      <c r="S4" s="122" t="s">
        <v>1518</v>
      </c>
      <c r="T4" s="7">
        <v>1</v>
      </c>
      <c r="U4" s="7"/>
      <c r="V4" s="122"/>
      <c r="W4" s="122"/>
      <c r="X4" s="122"/>
      <c r="Y4" s="7"/>
      <c r="Z4" s="7"/>
      <c r="AA4" s="7"/>
      <c r="AB4" s="7"/>
      <c r="AC4" s="7"/>
      <c r="AD4" s="7"/>
      <c r="AE4" s="7"/>
      <c r="AF4" s="7">
        <v>3</v>
      </c>
      <c r="AG4" s="7"/>
      <c r="AH4" s="7"/>
      <c r="AI4" s="7"/>
      <c r="AJ4" s="7"/>
      <c r="AK4" s="7"/>
      <c r="AL4" s="16">
        <v>45295</v>
      </c>
      <c r="AM4" s="4"/>
      <c r="AN4" s="6" t="s">
        <v>1002</v>
      </c>
      <c r="AO4" s="4"/>
      <c r="AP4" s="4"/>
      <c r="AQ4" s="4"/>
      <c r="AR4" s="11">
        <v>950</v>
      </c>
      <c r="AS4" s="11"/>
      <c r="AT4" s="11"/>
      <c r="AU4" s="11"/>
    </row>
    <row r="5" spans="1:47" ht="28.5" x14ac:dyDescent="0.25">
      <c r="A5" s="112" t="s">
        <v>1606</v>
      </c>
      <c r="B5" s="6" t="s">
        <v>1651</v>
      </c>
      <c r="C5" s="8" t="s">
        <v>5</v>
      </c>
      <c r="D5" s="8" t="s">
        <v>109</v>
      </c>
      <c r="E5" s="9" t="s">
        <v>339</v>
      </c>
      <c r="F5" s="9"/>
      <c r="G5" s="9"/>
      <c r="H5" s="7"/>
      <c r="I5" s="7"/>
      <c r="J5" s="7"/>
      <c r="K5" s="7"/>
      <c r="L5" s="122"/>
      <c r="M5" s="122"/>
      <c r="N5" s="122"/>
      <c r="O5" s="96"/>
      <c r="P5" s="7"/>
      <c r="Q5" s="93">
        <v>0.72544658231387604</v>
      </c>
      <c r="R5" s="93">
        <v>4.6174513124470865E-2</v>
      </c>
      <c r="S5" s="122" t="s">
        <v>1518</v>
      </c>
      <c r="T5" s="7"/>
      <c r="U5" s="7"/>
      <c r="V5" s="122"/>
      <c r="W5" s="122"/>
      <c r="X5" s="122"/>
      <c r="Y5" s="7"/>
      <c r="Z5" s="7"/>
      <c r="AA5" s="7"/>
      <c r="AB5" s="7">
        <v>2</v>
      </c>
      <c r="AC5" s="7"/>
      <c r="AD5" s="7"/>
      <c r="AE5" s="7"/>
      <c r="AF5" s="7"/>
      <c r="AG5" s="7"/>
      <c r="AH5" s="7"/>
      <c r="AI5" s="7"/>
      <c r="AJ5" s="7"/>
      <c r="AK5" s="7"/>
      <c r="AL5" s="16">
        <v>45295</v>
      </c>
      <c r="AM5" s="4"/>
      <c r="AN5" s="6" t="s">
        <v>995</v>
      </c>
      <c r="AO5" s="4"/>
      <c r="AP5" s="4"/>
      <c r="AQ5" s="4"/>
      <c r="AR5" s="11">
        <v>9.8000000000000007</v>
      </c>
      <c r="AS5" s="11"/>
      <c r="AT5" s="11"/>
      <c r="AU5" s="11"/>
    </row>
    <row r="6" spans="1:47" ht="15.75" x14ac:dyDescent="0.25">
      <c r="A6" s="114" t="s">
        <v>313</v>
      </c>
      <c r="B6" s="6" t="s">
        <v>1658</v>
      </c>
      <c r="C6" s="8" t="s">
        <v>5</v>
      </c>
      <c r="D6" s="9" t="s">
        <v>26</v>
      </c>
      <c r="E6" s="9" t="s">
        <v>314</v>
      </c>
      <c r="F6" s="9"/>
      <c r="G6" s="9"/>
      <c r="H6" s="7">
        <v>100</v>
      </c>
      <c r="I6" s="7"/>
      <c r="J6" s="7"/>
      <c r="K6" s="7" t="s">
        <v>14</v>
      </c>
      <c r="L6" s="122"/>
      <c r="M6" s="122"/>
      <c r="N6" s="122"/>
      <c r="O6" s="96"/>
      <c r="P6" s="7"/>
      <c r="Q6" s="93">
        <v>112734.46673207216</v>
      </c>
      <c r="R6" s="93">
        <v>148.38666666666592</v>
      </c>
      <c r="S6" s="122" t="s">
        <v>1518</v>
      </c>
      <c r="T6" s="7">
        <v>2</v>
      </c>
      <c r="U6" s="7"/>
      <c r="V6" s="122" t="s">
        <v>1518</v>
      </c>
      <c r="W6" s="122"/>
      <c r="X6" s="122"/>
      <c r="Y6" s="7"/>
      <c r="Z6" s="7"/>
      <c r="AA6" s="7">
        <v>3</v>
      </c>
      <c r="AB6" s="7"/>
      <c r="AC6" s="7"/>
      <c r="AD6" s="7">
        <v>3</v>
      </c>
      <c r="AE6" s="7"/>
      <c r="AF6" s="7"/>
      <c r="AG6" s="7"/>
      <c r="AH6" s="7"/>
      <c r="AI6" s="7"/>
      <c r="AJ6" s="7"/>
      <c r="AK6" s="7"/>
      <c r="AL6" s="16">
        <v>45295</v>
      </c>
      <c r="AM6" s="4"/>
      <c r="AN6" s="4" t="s">
        <v>316</v>
      </c>
      <c r="AO6" s="4"/>
      <c r="AP6" s="4"/>
      <c r="AQ6" s="4"/>
      <c r="AR6" s="11">
        <v>25</v>
      </c>
      <c r="AS6" s="11"/>
      <c r="AT6" s="11"/>
      <c r="AU6" s="11"/>
    </row>
    <row r="7" spans="1:47" ht="15.75" x14ac:dyDescent="0.25">
      <c r="A7" s="114" t="s">
        <v>315</v>
      </c>
      <c r="B7" s="6" t="s">
        <v>1658</v>
      </c>
      <c r="C7" s="8" t="s">
        <v>5</v>
      </c>
      <c r="D7" s="9" t="s">
        <v>26</v>
      </c>
      <c r="E7" s="9" t="s">
        <v>314</v>
      </c>
      <c r="F7" s="9"/>
      <c r="G7" s="9"/>
      <c r="H7" s="7">
        <v>50</v>
      </c>
      <c r="I7" s="7"/>
      <c r="J7" s="7"/>
      <c r="K7" s="7" t="s">
        <v>14</v>
      </c>
      <c r="L7" s="122"/>
      <c r="M7" s="122"/>
      <c r="N7" s="122"/>
      <c r="O7" s="96"/>
      <c r="P7" s="7"/>
      <c r="Q7" s="93">
        <v>84550.850049054119</v>
      </c>
      <c r="R7" s="93">
        <v>111.28999999999944</v>
      </c>
      <c r="S7" s="122" t="s">
        <v>1518</v>
      </c>
      <c r="T7" s="7">
        <v>2</v>
      </c>
      <c r="U7" s="7"/>
      <c r="V7" s="122" t="s">
        <v>1518</v>
      </c>
      <c r="W7" s="122"/>
      <c r="X7" s="122"/>
      <c r="Y7" s="7"/>
      <c r="Z7" s="7">
        <v>3</v>
      </c>
      <c r="AA7" s="7">
        <v>3</v>
      </c>
      <c r="AB7" s="7">
        <v>3</v>
      </c>
      <c r="AC7" s="7">
        <v>3</v>
      </c>
      <c r="AD7" s="7">
        <v>3</v>
      </c>
      <c r="AE7" s="7"/>
      <c r="AF7" s="7">
        <v>3</v>
      </c>
      <c r="AG7" s="7">
        <v>3</v>
      </c>
      <c r="AH7" s="7"/>
      <c r="AI7" s="7"/>
      <c r="AJ7" s="7"/>
      <c r="AK7" s="7"/>
      <c r="AL7" s="16">
        <v>45295</v>
      </c>
      <c r="AM7" s="4"/>
      <c r="AN7" s="4" t="s">
        <v>316</v>
      </c>
      <c r="AO7" s="4"/>
      <c r="AP7" s="4"/>
      <c r="AQ7" s="4"/>
      <c r="AR7" s="11">
        <v>25</v>
      </c>
      <c r="AS7" s="11"/>
      <c r="AT7" s="11"/>
      <c r="AU7" s="11"/>
    </row>
    <row r="8" spans="1:47" ht="28.5" x14ac:dyDescent="0.25">
      <c r="A8" s="113" t="s">
        <v>1604</v>
      </c>
      <c r="B8" s="6" t="s">
        <v>1605</v>
      </c>
      <c r="C8" s="8" t="s">
        <v>5</v>
      </c>
      <c r="D8" s="8" t="s">
        <v>17</v>
      </c>
      <c r="E8" s="8">
        <v>6</v>
      </c>
      <c r="F8" s="8"/>
      <c r="G8" s="8"/>
      <c r="H8" s="7">
        <v>6</v>
      </c>
      <c r="I8" s="7">
        <v>20</v>
      </c>
      <c r="J8" s="7"/>
      <c r="K8" s="7" t="s">
        <v>14</v>
      </c>
      <c r="L8" s="122"/>
      <c r="M8" s="122"/>
      <c r="N8" s="122"/>
      <c r="O8" s="96"/>
      <c r="P8" s="14">
        <v>0.3</v>
      </c>
      <c r="Q8" s="93">
        <v>1936.3315145548024</v>
      </c>
      <c r="R8" s="93">
        <v>29698.174157303321</v>
      </c>
      <c r="S8" s="122" t="s">
        <v>1518</v>
      </c>
      <c r="T8" s="7">
        <v>1</v>
      </c>
      <c r="U8" s="7"/>
      <c r="V8" s="122"/>
      <c r="W8" s="122"/>
      <c r="X8" s="122"/>
      <c r="Y8" s="7"/>
      <c r="Z8" s="7"/>
      <c r="AA8" s="7"/>
      <c r="AB8" s="7"/>
      <c r="AC8" s="7"/>
      <c r="AD8" s="7"/>
      <c r="AE8" s="7"/>
      <c r="AF8" s="7">
        <v>3</v>
      </c>
      <c r="AG8" s="7"/>
      <c r="AH8" s="7"/>
      <c r="AI8" s="7"/>
      <c r="AJ8" s="7"/>
      <c r="AK8" s="7"/>
      <c r="AL8" s="16">
        <v>45295</v>
      </c>
      <c r="AM8" s="4"/>
      <c r="AN8" s="6" t="s">
        <v>1002</v>
      </c>
      <c r="AO8" s="4"/>
      <c r="AP8" s="4"/>
      <c r="AQ8" s="4"/>
      <c r="AR8" s="11">
        <v>950</v>
      </c>
      <c r="AS8" s="11"/>
      <c r="AT8" s="11"/>
      <c r="AU8" s="11"/>
    </row>
    <row r="9" spans="1:47" ht="28.5" x14ac:dyDescent="0.25">
      <c r="A9" s="114" t="s">
        <v>1509</v>
      </c>
      <c r="B9" s="6"/>
      <c r="C9" s="8" t="s">
        <v>5</v>
      </c>
      <c r="D9" s="9" t="s">
        <v>26</v>
      </c>
      <c r="E9" s="8"/>
      <c r="F9" s="8"/>
      <c r="G9" s="8"/>
      <c r="H9" s="7"/>
      <c r="I9" s="7"/>
      <c r="J9" s="7"/>
      <c r="K9" s="7"/>
      <c r="L9" s="122"/>
      <c r="M9" s="122"/>
      <c r="N9" s="122"/>
      <c r="O9" s="96"/>
      <c r="P9" s="7"/>
      <c r="Q9" s="93">
        <v>0</v>
      </c>
      <c r="R9" s="93">
        <v>0</v>
      </c>
      <c r="S9" s="122"/>
      <c r="T9" s="7"/>
      <c r="U9" s="7"/>
      <c r="V9" s="122"/>
      <c r="W9" s="122" t="s">
        <v>1518</v>
      </c>
      <c r="X9" s="122"/>
      <c r="Y9" s="7"/>
      <c r="Z9" s="7"/>
      <c r="AA9" s="7"/>
      <c r="AB9" s="7">
        <v>1</v>
      </c>
      <c r="AC9" s="7"/>
      <c r="AD9" s="7"/>
      <c r="AE9" s="7"/>
      <c r="AF9" s="7"/>
      <c r="AG9" s="7"/>
      <c r="AH9" s="7"/>
      <c r="AI9" s="7"/>
      <c r="AJ9" s="7"/>
      <c r="AK9" s="7"/>
      <c r="AL9" s="16">
        <v>45295</v>
      </c>
      <c r="AM9" s="4"/>
      <c r="AN9" s="6" t="s">
        <v>1510</v>
      </c>
      <c r="AO9" s="6"/>
      <c r="AP9" s="6"/>
      <c r="AQ9" s="4"/>
      <c r="AR9" s="11"/>
      <c r="AS9" s="11"/>
      <c r="AT9" s="11"/>
      <c r="AU9" s="11"/>
    </row>
    <row r="10" spans="1:47" ht="28.5" x14ac:dyDescent="0.25">
      <c r="A10" s="114" t="s">
        <v>317</v>
      </c>
      <c r="B10" s="6" t="s">
        <v>1072</v>
      </c>
      <c r="C10" s="8" t="s">
        <v>5</v>
      </c>
      <c r="D10" s="9" t="s">
        <v>1652</v>
      </c>
      <c r="E10" s="8">
        <v>5</v>
      </c>
      <c r="F10" s="8"/>
      <c r="G10" s="8"/>
      <c r="H10" s="7"/>
      <c r="I10" s="7"/>
      <c r="J10" s="7"/>
      <c r="K10" s="7"/>
      <c r="L10" s="122"/>
      <c r="M10" s="122"/>
      <c r="N10" s="122"/>
      <c r="O10" s="96"/>
      <c r="P10" s="7"/>
      <c r="Q10" s="93">
        <v>11.141451527874835</v>
      </c>
      <c r="R10" s="93">
        <v>593.54666666666719</v>
      </c>
      <c r="S10" s="122" t="s">
        <v>1518</v>
      </c>
      <c r="T10" s="7">
        <v>1</v>
      </c>
      <c r="U10" s="7"/>
      <c r="V10" s="122"/>
      <c r="W10" s="122"/>
      <c r="X10" s="122"/>
      <c r="Y10" s="7"/>
      <c r="Z10" s="7">
        <v>1</v>
      </c>
      <c r="AA10" s="7"/>
      <c r="AB10" s="7">
        <v>1</v>
      </c>
      <c r="AC10" s="7">
        <v>3</v>
      </c>
      <c r="AD10" s="7">
        <v>1</v>
      </c>
      <c r="AE10" s="7"/>
      <c r="AF10" s="7"/>
      <c r="AG10" s="7"/>
      <c r="AH10" s="7"/>
      <c r="AI10" s="7"/>
      <c r="AJ10" s="7"/>
      <c r="AK10" s="7"/>
      <c r="AL10" s="16">
        <v>45295</v>
      </c>
      <c r="AM10" s="4"/>
      <c r="AN10" s="11" t="s">
        <v>318</v>
      </c>
      <c r="AO10" s="4"/>
      <c r="AP10" s="4"/>
      <c r="AQ10" s="4"/>
      <c r="AR10" s="11">
        <v>480</v>
      </c>
      <c r="AS10" s="11"/>
      <c r="AT10" s="11"/>
      <c r="AU10" s="11"/>
    </row>
    <row r="11" spans="1:47" ht="15.75" x14ac:dyDescent="0.25">
      <c r="A11" s="112" t="s">
        <v>320</v>
      </c>
      <c r="B11" s="6" t="s">
        <v>1931</v>
      </c>
      <c r="C11" s="8" t="s">
        <v>5</v>
      </c>
      <c r="D11" s="9" t="s">
        <v>26</v>
      </c>
      <c r="E11" s="8" t="s">
        <v>321</v>
      </c>
      <c r="F11" s="8"/>
      <c r="G11" s="8"/>
      <c r="H11" s="7">
        <v>100</v>
      </c>
      <c r="I11" s="7"/>
      <c r="J11" s="7"/>
      <c r="K11" s="7" t="s">
        <v>14</v>
      </c>
      <c r="L11" s="122"/>
      <c r="M11" s="122"/>
      <c r="N11" s="122"/>
      <c r="O11" s="96"/>
      <c r="P11" s="14">
        <v>0.3</v>
      </c>
      <c r="Q11" s="93">
        <v>313.50001597708842</v>
      </c>
      <c r="R11" s="93">
        <v>85.322333333333148</v>
      </c>
      <c r="S11" s="122" t="s">
        <v>1518</v>
      </c>
      <c r="T11" s="7">
        <v>2</v>
      </c>
      <c r="U11" s="7"/>
      <c r="V11" s="122" t="s">
        <v>1518</v>
      </c>
      <c r="W11" s="122"/>
      <c r="X11" s="122"/>
      <c r="Y11" s="7"/>
      <c r="Z11" s="7"/>
      <c r="AA11" s="7"/>
      <c r="AB11" s="7"/>
      <c r="AC11" s="7"/>
      <c r="AD11" s="7">
        <v>3</v>
      </c>
      <c r="AE11" s="7"/>
      <c r="AF11" s="7"/>
      <c r="AG11" s="7"/>
      <c r="AH11" s="7"/>
      <c r="AI11" s="7"/>
      <c r="AJ11" s="7"/>
      <c r="AK11" s="7"/>
      <c r="AL11" s="16">
        <v>45295</v>
      </c>
      <c r="AM11" s="4"/>
      <c r="AN11" s="11" t="s">
        <v>322</v>
      </c>
      <c r="AO11" s="4"/>
      <c r="AP11" s="4"/>
      <c r="AQ11" s="4"/>
      <c r="AR11" s="11">
        <v>287.5</v>
      </c>
      <c r="AS11" s="11"/>
      <c r="AT11" s="11"/>
      <c r="AU11" s="11"/>
    </row>
    <row r="12" spans="1:47" ht="15.75" x14ac:dyDescent="0.25">
      <c r="A12" s="112" t="s">
        <v>1120</v>
      </c>
      <c r="B12" s="6" t="s">
        <v>1121</v>
      </c>
      <c r="C12" s="8" t="s">
        <v>5</v>
      </c>
      <c r="D12" s="8" t="s">
        <v>13</v>
      </c>
      <c r="E12" s="8"/>
      <c r="F12" s="8"/>
      <c r="G12" s="8"/>
      <c r="H12" s="7"/>
      <c r="I12" s="7"/>
      <c r="J12" s="7"/>
      <c r="K12" s="7"/>
      <c r="L12" s="122"/>
      <c r="M12" s="122"/>
      <c r="N12" s="122"/>
      <c r="O12" s="96"/>
      <c r="P12" s="7"/>
      <c r="Q12" s="93">
        <v>0</v>
      </c>
      <c r="R12" s="93">
        <v>0</v>
      </c>
      <c r="S12" s="122"/>
      <c r="T12" s="7"/>
      <c r="U12" s="7"/>
      <c r="V12" s="122"/>
      <c r="W12" s="122"/>
      <c r="X12" s="122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16">
        <v>45295</v>
      </c>
      <c r="AM12" s="4"/>
      <c r="AN12" s="11" t="s">
        <v>332</v>
      </c>
      <c r="AO12" s="4"/>
      <c r="AP12" s="4"/>
      <c r="AQ12" s="4"/>
      <c r="AR12" s="11">
        <v>876</v>
      </c>
      <c r="AS12" s="11"/>
      <c r="AT12" s="11"/>
      <c r="AU12" s="11"/>
    </row>
    <row r="13" spans="1:47" ht="36.75" x14ac:dyDescent="0.25">
      <c r="A13" s="112" t="s">
        <v>323</v>
      </c>
      <c r="B13" s="6" t="s">
        <v>1129</v>
      </c>
      <c r="C13" s="8" t="s">
        <v>5</v>
      </c>
      <c r="D13" s="9" t="s">
        <v>13</v>
      </c>
      <c r="E13" s="8">
        <v>28</v>
      </c>
      <c r="F13" s="8"/>
      <c r="G13" s="8"/>
      <c r="H13" s="7"/>
      <c r="I13" s="7"/>
      <c r="J13" s="7"/>
      <c r="K13" s="7"/>
      <c r="L13" s="122"/>
      <c r="M13" s="122"/>
      <c r="N13" s="122"/>
      <c r="O13" s="96" t="s">
        <v>939</v>
      </c>
      <c r="P13" s="7"/>
      <c r="Q13" s="93">
        <v>1.2458455965097499</v>
      </c>
      <c r="R13" s="93">
        <v>2.9032173913043469</v>
      </c>
      <c r="S13" s="122" t="s">
        <v>1518</v>
      </c>
      <c r="T13" s="7"/>
      <c r="U13" s="7"/>
      <c r="V13" s="122"/>
      <c r="W13" s="122"/>
      <c r="X13" s="122"/>
      <c r="Y13" s="7"/>
      <c r="Z13" s="7"/>
      <c r="AA13" s="7"/>
      <c r="AB13" s="7">
        <v>3</v>
      </c>
      <c r="AC13" s="7"/>
      <c r="AD13" s="7"/>
      <c r="AE13" s="7"/>
      <c r="AF13" s="7"/>
      <c r="AG13" s="7"/>
      <c r="AH13" s="7"/>
      <c r="AI13" s="7"/>
      <c r="AJ13" s="7"/>
      <c r="AK13" s="7"/>
      <c r="AL13" s="16">
        <v>45295</v>
      </c>
      <c r="AM13" s="4"/>
      <c r="AN13" s="4" t="s">
        <v>324</v>
      </c>
      <c r="AO13" s="4"/>
      <c r="AP13" s="4"/>
      <c r="AQ13" s="4"/>
      <c r="AR13" s="11">
        <v>200</v>
      </c>
      <c r="AS13" s="11"/>
      <c r="AT13" s="11"/>
      <c r="AU13" s="11"/>
    </row>
    <row r="14" spans="1:47" ht="28.5" x14ac:dyDescent="0.25">
      <c r="A14" s="112" t="s">
        <v>325</v>
      </c>
      <c r="B14" s="6" t="s">
        <v>1519</v>
      </c>
      <c r="C14" s="8" t="s">
        <v>5</v>
      </c>
      <c r="D14" s="8" t="s">
        <v>64</v>
      </c>
      <c r="E14" s="8" t="s">
        <v>314</v>
      </c>
      <c r="F14" s="8"/>
      <c r="G14" s="8"/>
      <c r="H14" s="7">
        <v>100</v>
      </c>
      <c r="I14" s="7"/>
      <c r="J14" s="7"/>
      <c r="K14" s="7" t="s">
        <v>14</v>
      </c>
      <c r="L14" s="122"/>
      <c r="M14" s="122"/>
      <c r="N14" s="122"/>
      <c r="O14" s="96"/>
      <c r="P14" s="7"/>
      <c r="Q14" s="93">
        <v>81556.66337289309</v>
      </c>
      <c r="R14" s="93">
        <v>4796.9827586206793</v>
      </c>
      <c r="S14" s="122" t="s">
        <v>1518</v>
      </c>
      <c r="T14" s="7">
        <v>2</v>
      </c>
      <c r="U14" s="7"/>
      <c r="V14" s="122" t="s">
        <v>1518</v>
      </c>
      <c r="W14" s="122" t="s">
        <v>1518</v>
      </c>
      <c r="X14" s="122"/>
      <c r="Y14" s="7"/>
      <c r="Z14" s="7">
        <v>3</v>
      </c>
      <c r="AA14" s="7">
        <v>3</v>
      </c>
      <c r="AB14" s="7">
        <v>3</v>
      </c>
      <c r="AC14" s="7">
        <v>3</v>
      </c>
      <c r="AD14" s="7">
        <v>3</v>
      </c>
      <c r="AE14" s="7">
        <v>3</v>
      </c>
      <c r="AF14" s="7">
        <v>3</v>
      </c>
      <c r="AG14" s="7">
        <v>3</v>
      </c>
      <c r="AH14" s="7">
        <v>3</v>
      </c>
      <c r="AI14" s="7">
        <v>3</v>
      </c>
      <c r="AJ14" s="7">
        <v>3</v>
      </c>
      <c r="AK14" s="7">
        <v>3</v>
      </c>
      <c r="AL14" s="16">
        <v>45295</v>
      </c>
      <c r="AM14" s="4"/>
      <c r="AN14" s="6" t="s">
        <v>1035</v>
      </c>
      <c r="AO14" s="4"/>
      <c r="AP14" s="4"/>
      <c r="AQ14" s="4"/>
      <c r="AR14" s="11">
        <v>100</v>
      </c>
      <c r="AS14" s="11"/>
      <c r="AT14" s="11"/>
      <c r="AU14" s="11"/>
    </row>
    <row r="15" spans="1:47" ht="28.5" x14ac:dyDescent="0.25">
      <c r="A15" s="112" t="s">
        <v>326</v>
      </c>
      <c r="B15" s="6" t="s">
        <v>1148</v>
      </c>
      <c r="C15" s="8" t="s">
        <v>5</v>
      </c>
      <c r="D15" s="8" t="s">
        <v>1534</v>
      </c>
      <c r="E15" s="8" t="s">
        <v>314</v>
      </c>
      <c r="F15" s="8"/>
      <c r="G15" s="8"/>
      <c r="H15" s="7">
        <v>100</v>
      </c>
      <c r="I15" s="7"/>
      <c r="J15" s="7"/>
      <c r="K15" s="7" t="s">
        <v>14</v>
      </c>
      <c r="L15" s="122"/>
      <c r="M15" s="122"/>
      <c r="N15" s="122"/>
      <c r="O15" s="96"/>
      <c r="P15" s="7"/>
      <c r="Q15" s="93">
        <v>109916.10506377036</v>
      </c>
      <c r="R15" s="93">
        <v>144.67699999999928</v>
      </c>
      <c r="S15" s="122" t="s">
        <v>1518</v>
      </c>
      <c r="T15" s="7">
        <v>2</v>
      </c>
      <c r="U15" s="7"/>
      <c r="V15" s="122"/>
      <c r="W15" s="122"/>
      <c r="X15" s="122"/>
      <c r="Y15" s="7"/>
      <c r="Z15" s="7"/>
      <c r="AA15" s="7">
        <v>3</v>
      </c>
      <c r="AB15" s="7"/>
      <c r="AC15" s="7"/>
      <c r="AD15" s="7">
        <v>3</v>
      </c>
      <c r="AE15" s="7"/>
      <c r="AF15" s="7"/>
      <c r="AG15" s="7"/>
      <c r="AH15" s="7"/>
      <c r="AI15" s="7"/>
      <c r="AJ15" s="7"/>
      <c r="AK15" s="7"/>
      <c r="AL15" s="16">
        <v>45295</v>
      </c>
      <c r="AM15" s="4"/>
      <c r="AN15" s="11" t="s">
        <v>316</v>
      </c>
      <c r="AO15" s="4"/>
      <c r="AP15" s="4"/>
      <c r="AQ15" s="4"/>
      <c r="AR15" s="11">
        <v>15</v>
      </c>
      <c r="AS15" s="11"/>
      <c r="AT15" s="11"/>
      <c r="AU15" s="11"/>
    </row>
    <row r="16" spans="1:47" ht="28.5" x14ac:dyDescent="0.25">
      <c r="A16" s="112" t="s">
        <v>327</v>
      </c>
      <c r="B16" s="6" t="s">
        <v>1148</v>
      </c>
      <c r="C16" s="8" t="s">
        <v>5</v>
      </c>
      <c r="D16" s="8" t="s">
        <v>1534</v>
      </c>
      <c r="E16" s="8" t="s">
        <v>314</v>
      </c>
      <c r="F16" s="8"/>
      <c r="G16" s="8"/>
      <c r="H16" s="7">
        <v>50</v>
      </c>
      <c r="I16" s="7"/>
      <c r="J16" s="7"/>
      <c r="K16" s="7" t="s">
        <v>14</v>
      </c>
      <c r="L16" s="122"/>
      <c r="M16" s="122"/>
      <c r="N16" s="122"/>
      <c r="O16" s="96"/>
      <c r="P16" s="7"/>
      <c r="Q16" s="93">
        <v>84550.850049054119</v>
      </c>
      <c r="R16" s="93">
        <v>111.28999999999944</v>
      </c>
      <c r="S16" s="122" t="s">
        <v>1518</v>
      </c>
      <c r="T16" s="7">
        <v>2</v>
      </c>
      <c r="U16" s="7"/>
      <c r="V16" s="122"/>
      <c r="W16" s="122"/>
      <c r="X16" s="122"/>
      <c r="Y16" s="7"/>
      <c r="Z16" s="7">
        <v>3</v>
      </c>
      <c r="AA16" s="7">
        <v>3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7">
        <v>3</v>
      </c>
      <c r="AH16" s="7"/>
      <c r="AI16" s="7"/>
      <c r="AJ16" s="7"/>
      <c r="AK16" s="7"/>
      <c r="AL16" s="16">
        <v>45295</v>
      </c>
      <c r="AM16" s="4"/>
      <c r="AN16" s="11" t="s">
        <v>316</v>
      </c>
      <c r="AO16" s="4"/>
      <c r="AP16" s="4"/>
      <c r="AQ16" s="4"/>
      <c r="AR16" s="11">
        <v>15</v>
      </c>
      <c r="AS16" s="11"/>
      <c r="AT16" s="11"/>
      <c r="AU16" s="11"/>
    </row>
    <row r="17" spans="1:47" ht="15.75" x14ac:dyDescent="0.25">
      <c r="A17" s="112" t="s">
        <v>328</v>
      </c>
      <c r="B17" s="6" t="s">
        <v>1665</v>
      </c>
      <c r="C17" s="8" t="s">
        <v>5</v>
      </c>
      <c r="D17" s="8" t="s">
        <v>54</v>
      </c>
      <c r="E17" s="8" t="s">
        <v>314</v>
      </c>
      <c r="F17" s="8"/>
      <c r="G17" s="8"/>
      <c r="H17" s="7">
        <v>100</v>
      </c>
      <c r="I17" s="7"/>
      <c r="J17" s="7"/>
      <c r="K17" s="7" t="s">
        <v>14</v>
      </c>
      <c r="L17" s="122"/>
      <c r="M17" s="122"/>
      <c r="N17" s="122"/>
      <c r="O17" s="96"/>
      <c r="P17" s="7"/>
      <c r="Q17" s="93">
        <v>112734.46673207216</v>
      </c>
      <c r="R17" s="93">
        <v>148.38666666666592</v>
      </c>
      <c r="S17" s="122" t="s">
        <v>1518</v>
      </c>
      <c r="T17" s="7">
        <v>2</v>
      </c>
      <c r="U17" s="7"/>
      <c r="V17" s="122" t="s">
        <v>1518</v>
      </c>
      <c r="W17" s="122"/>
      <c r="X17" s="122"/>
      <c r="Y17" s="7"/>
      <c r="Z17" s="7"/>
      <c r="AA17" s="7">
        <v>3</v>
      </c>
      <c r="AB17" s="7"/>
      <c r="AC17" s="7"/>
      <c r="AD17" s="7">
        <v>3</v>
      </c>
      <c r="AE17" s="7"/>
      <c r="AF17" s="7"/>
      <c r="AG17" s="7"/>
      <c r="AH17" s="7"/>
      <c r="AI17" s="7"/>
      <c r="AJ17" s="7"/>
      <c r="AK17" s="7"/>
      <c r="AL17" s="16">
        <v>45295</v>
      </c>
      <c r="AM17" s="4"/>
      <c r="AN17" s="4" t="s">
        <v>316</v>
      </c>
      <c r="AO17" s="4"/>
      <c r="AP17" s="4"/>
      <c r="AQ17" s="4"/>
      <c r="AR17" s="11">
        <v>25</v>
      </c>
      <c r="AS17" s="11"/>
      <c r="AT17" s="11"/>
      <c r="AU17" s="11"/>
    </row>
    <row r="18" spans="1:47" ht="15.75" x14ac:dyDescent="0.25">
      <c r="A18" s="112" t="s">
        <v>329</v>
      </c>
      <c r="B18" s="6" t="s">
        <v>1665</v>
      </c>
      <c r="C18" s="8" t="s">
        <v>5</v>
      </c>
      <c r="D18" s="8" t="s">
        <v>54</v>
      </c>
      <c r="E18" s="8" t="s">
        <v>314</v>
      </c>
      <c r="F18" s="8"/>
      <c r="G18" s="8"/>
      <c r="H18" s="7">
        <v>50</v>
      </c>
      <c r="I18" s="7"/>
      <c r="J18" s="7"/>
      <c r="K18" s="7" t="s">
        <v>14</v>
      </c>
      <c r="L18" s="122"/>
      <c r="M18" s="122"/>
      <c r="N18" s="122"/>
      <c r="O18" s="96"/>
      <c r="P18" s="7"/>
      <c r="Q18" s="93">
        <v>84550.850049054119</v>
      </c>
      <c r="R18" s="93">
        <v>111.28999999999944</v>
      </c>
      <c r="S18" s="122" t="s">
        <v>1518</v>
      </c>
      <c r="T18" s="7">
        <v>2</v>
      </c>
      <c r="U18" s="7"/>
      <c r="V18" s="122" t="s">
        <v>1518</v>
      </c>
      <c r="W18" s="122"/>
      <c r="X18" s="122"/>
      <c r="Y18" s="7"/>
      <c r="Z18" s="7">
        <v>3</v>
      </c>
      <c r="AA18" s="7">
        <v>3</v>
      </c>
      <c r="AB18" s="7">
        <v>3</v>
      </c>
      <c r="AC18" s="7">
        <v>3</v>
      </c>
      <c r="AD18" s="7">
        <v>3</v>
      </c>
      <c r="AE18" s="7">
        <v>3</v>
      </c>
      <c r="AF18" s="7">
        <v>3</v>
      </c>
      <c r="AG18" s="7">
        <v>3</v>
      </c>
      <c r="AH18" s="7"/>
      <c r="AI18" s="7"/>
      <c r="AJ18" s="7"/>
      <c r="AK18" s="7"/>
      <c r="AL18" s="16">
        <v>45295</v>
      </c>
      <c r="AM18" s="4"/>
      <c r="AN18" s="4" t="s">
        <v>316</v>
      </c>
      <c r="AO18" s="4"/>
      <c r="AP18" s="4"/>
      <c r="AQ18" s="4"/>
      <c r="AR18" s="11">
        <v>25</v>
      </c>
      <c r="AS18" s="11"/>
      <c r="AT18" s="11"/>
      <c r="AU18" s="11"/>
    </row>
    <row r="19" spans="1:47" ht="15.75" x14ac:dyDescent="0.25">
      <c r="A19" s="112" t="s">
        <v>1862</v>
      </c>
      <c r="B19" s="6" t="s">
        <v>1666</v>
      </c>
      <c r="C19" s="8" t="s">
        <v>5</v>
      </c>
      <c r="D19" s="8" t="s">
        <v>17</v>
      </c>
      <c r="E19" s="8" t="s">
        <v>314</v>
      </c>
      <c r="F19" s="8"/>
      <c r="G19" s="8"/>
      <c r="H19" s="7">
        <v>100</v>
      </c>
      <c r="I19" s="7"/>
      <c r="J19" s="7"/>
      <c r="K19" s="7" t="s">
        <v>14</v>
      </c>
      <c r="L19" s="122"/>
      <c r="M19" s="122"/>
      <c r="N19" s="122"/>
      <c r="O19" s="96"/>
      <c r="P19" s="7"/>
      <c r="Q19" s="93">
        <v>112734.46673207216</v>
      </c>
      <c r="R19" s="93">
        <v>148.38666666666592</v>
      </c>
      <c r="S19" s="122" t="s">
        <v>1518</v>
      </c>
      <c r="T19" s="7">
        <v>2</v>
      </c>
      <c r="U19" s="7"/>
      <c r="V19" s="122" t="s">
        <v>1518</v>
      </c>
      <c r="W19" s="122"/>
      <c r="X19" s="122"/>
      <c r="Y19" s="7"/>
      <c r="Z19" s="7"/>
      <c r="AA19" s="7">
        <v>3</v>
      </c>
      <c r="AB19" s="7"/>
      <c r="AC19" s="7"/>
      <c r="AD19" s="7">
        <v>3</v>
      </c>
      <c r="AE19" s="7"/>
      <c r="AF19" s="7"/>
      <c r="AG19" s="7"/>
      <c r="AH19" s="7"/>
      <c r="AI19" s="7"/>
      <c r="AJ19" s="7"/>
      <c r="AK19" s="7"/>
      <c r="AL19" s="16">
        <v>45295</v>
      </c>
      <c r="AM19" s="4"/>
      <c r="AN19" s="4" t="s">
        <v>316</v>
      </c>
      <c r="AO19" s="4"/>
      <c r="AP19" s="4"/>
      <c r="AQ19" s="4"/>
      <c r="AR19" s="11">
        <v>25</v>
      </c>
      <c r="AS19" s="11"/>
      <c r="AT19" s="11"/>
      <c r="AU19" s="11"/>
    </row>
    <row r="20" spans="1:47" ht="15.75" x14ac:dyDescent="0.25">
      <c r="A20" s="112" t="s">
        <v>1863</v>
      </c>
      <c r="B20" s="6" t="s">
        <v>1666</v>
      </c>
      <c r="C20" s="8" t="s">
        <v>5</v>
      </c>
      <c r="D20" s="8" t="s">
        <v>17</v>
      </c>
      <c r="E20" s="8" t="s">
        <v>314</v>
      </c>
      <c r="F20" s="8"/>
      <c r="G20" s="8"/>
      <c r="H20" s="7">
        <v>50</v>
      </c>
      <c r="I20" s="7"/>
      <c r="J20" s="7"/>
      <c r="K20" s="7" t="s">
        <v>14</v>
      </c>
      <c r="L20" s="122"/>
      <c r="M20" s="122"/>
      <c r="N20" s="122"/>
      <c r="O20" s="96"/>
      <c r="P20" s="7"/>
      <c r="Q20" s="93">
        <v>84550.850049054119</v>
      </c>
      <c r="R20" s="93">
        <v>111.28999999999944</v>
      </c>
      <c r="S20" s="122" t="s">
        <v>1518</v>
      </c>
      <c r="T20" s="7">
        <v>2</v>
      </c>
      <c r="U20" s="7"/>
      <c r="V20" s="122" t="s">
        <v>1518</v>
      </c>
      <c r="W20" s="122"/>
      <c r="X20" s="122"/>
      <c r="Y20" s="7"/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/>
      <c r="AI20" s="7"/>
      <c r="AJ20" s="7"/>
      <c r="AK20" s="7"/>
      <c r="AL20" s="16">
        <v>45295</v>
      </c>
      <c r="AM20" s="4"/>
      <c r="AN20" s="4" t="s">
        <v>316</v>
      </c>
      <c r="AO20" s="4"/>
      <c r="AP20" s="4"/>
      <c r="AQ20" s="4"/>
      <c r="AR20" s="11">
        <v>25</v>
      </c>
      <c r="AS20" s="11"/>
      <c r="AT20" s="11"/>
      <c r="AU20" s="11"/>
    </row>
    <row r="21" spans="1:47" ht="15.75" x14ac:dyDescent="0.25">
      <c r="A21" s="114" t="s">
        <v>1600</v>
      </c>
      <c r="B21" s="6" t="s">
        <v>1601</v>
      </c>
      <c r="C21" s="8" t="s">
        <v>5</v>
      </c>
      <c r="D21" s="9" t="s">
        <v>17</v>
      </c>
      <c r="E21" s="8">
        <v>5</v>
      </c>
      <c r="F21" s="8"/>
      <c r="G21" s="8"/>
      <c r="H21" s="7"/>
      <c r="I21" s="7"/>
      <c r="J21" s="7"/>
      <c r="K21" s="7"/>
      <c r="L21" s="122"/>
      <c r="M21" s="122"/>
      <c r="N21" s="122"/>
      <c r="O21" s="96"/>
      <c r="P21" s="7"/>
      <c r="Q21" s="93">
        <v>11.141451527874835</v>
      </c>
      <c r="R21" s="93">
        <v>593.54666666666719</v>
      </c>
      <c r="S21" s="122" t="s">
        <v>1518</v>
      </c>
      <c r="T21" s="7">
        <v>1</v>
      </c>
      <c r="U21" s="7"/>
      <c r="V21" s="122"/>
      <c r="W21" s="122"/>
      <c r="X21" s="122"/>
      <c r="Y21" s="7"/>
      <c r="Z21" s="7">
        <v>1</v>
      </c>
      <c r="AA21" s="7"/>
      <c r="AB21" s="7">
        <v>1</v>
      </c>
      <c r="AC21" s="7">
        <v>3</v>
      </c>
      <c r="AD21" s="7">
        <v>1</v>
      </c>
      <c r="AE21" s="7"/>
      <c r="AF21" s="7"/>
      <c r="AG21" s="7"/>
      <c r="AH21" s="7"/>
      <c r="AI21" s="7"/>
      <c r="AJ21" s="7"/>
      <c r="AK21" s="7"/>
      <c r="AL21" s="16">
        <v>45295</v>
      </c>
      <c r="AM21" s="4"/>
      <c r="AN21" s="11" t="s">
        <v>318</v>
      </c>
      <c r="AO21" s="4"/>
      <c r="AP21" s="4"/>
      <c r="AQ21" s="4"/>
      <c r="AR21" s="11">
        <v>480</v>
      </c>
      <c r="AS21" s="11"/>
      <c r="AT21" s="11"/>
      <c r="AU21" s="11"/>
    </row>
    <row r="22" spans="1:47" ht="15.75" x14ac:dyDescent="0.25">
      <c r="A22" s="112" t="s">
        <v>947</v>
      </c>
      <c r="B22" s="6" t="s">
        <v>1209</v>
      </c>
      <c r="C22" s="8" t="s">
        <v>5</v>
      </c>
      <c r="D22" s="9" t="s">
        <v>17</v>
      </c>
      <c r="E22" s="8" t="s">
        <v>319</v>
      </c>
      <c r="F22" s="8"/>
      <c r="G22" s="8"/>
      <c r="H22" s="7">
        <v>20</v>
      </c>
      <c r="I22" s="7"/>
      <c r="J22" s="7"/>
      <c r="K22" s="7"/>
      <c r="L22" s="122"/>
      <c r="M22" s="122"/>
      <c r="N22" s="122"/>
      <c r="O22" s="96"/>
      <c r="P22" s="7"/>
      <c r="Q22" s="93">
        <v>19.203803321960542</v>
      </c>
      <c r="R22" s="93">
        <v>730.34062499999982</v>
      </c>
      <c r="S22" s="122" t="s">
        <v>1518</v>
      </c>
      <c r="T22" s="7"/>
      <c r="U22" s="7"/>
      <c r="V22" s="122" t="s">
        <v>1518</v>
      </c>
      <c r="W22" s="122"/>
      <c r="X22" s="122"/>
      <c r="Y22" s="7"/>
      <c r="Z22" s="7">
        <v>3</v>
      </c>
      <c r="AA22" s="7"/>
      <c r="AB22" s="7"/>
      <c r="AC22" s="7"/>
      <c r="AD22" s="7">
        <v>1</v>
      </c>
      <c r="AE22" s="7"/>
      <c r="AF22" s="7"/>
      <c r="AG22" s="7"/>
      <c r="AH22" s="7"/>
      <c r="AI22" s="7"/>
      <c r="AJ22" s="7"/>
      <c r="AK22" s="7"/>
      <c r="AL22" s="16">
        <v>45295</v>
      </c>
      <c r="AM22" s="4"/>
      <c r="AN22" s="11" t="s">
        <v>331</v>
      </c>
      <c r="AO22" s="4"/>
      <c r="AP22" s="4"/>
      <c r="AQ22" s="4"/>
      <c r="AR22" s="11">
        <v>120</v>
      </c>
      <c r="AS22" s="11"/>
      <c r="AT22" s="11"/>
      <c r="AU22" s="11"/>
    </row>
    <row r="23" spans="1:47" ht="15.75" x14ac:dyDescent="0.25">
      <c r="A23" s="112" t="s">
        <v>330</v>
      </c>
      <c r="B23" s="6" t="s">
        <v>1210</v>
      </c>
      <c r="C23" s="8" t="s">
        <v>5</v>
      </c>
      <c r="D23" s="9" t="s">
        <v>17</v>
      </c>
      <c r="E23" s="8" t="s">
        <v>319</v>
      </c>
      <c r="F23" s="8"/>
      <c r="G23" s="8"/>
      <c r="H23" s="7"/>
      <c r="I23" s="7"/>
      <c r="J23" s="7"/>
      <c r="K23" s="7" t="s">
        <v>14</v>
      </c>
      <c r="L23" s="122"/>
      <c r="M23" s="122"/>
      <c r="N23" s="122"/>
      <c r="O23" s="96"/>
      <c r="P23" s="7"/>
      <c r="Q23" s="93">
        <v>18.289336497105278</v>
      </c>
      <c r="R23" s="93">
        <v>695.56249999999977</v>
      </c>
      <c r="S23" s="122" t="s">
        <v>1518</v>
      </c>
      <c r="T23" s="7"/>
      <c r="U23" s="7"/>
      <c r="V23" s="122"/>
      <c r="W23" s="122"/>
      <c r="X23" s="122"/>
      <c r="Y23" s="7"/>
      <c r="Z23" s="7"/>
      <c r="AA23" s="7">
        <v>3</v>
      </c>
      <c r="AB23" s="7">
        <v>3</v>
      </c>
      <c r="AC23" s="7"/>
      <c r="AD23" s="7">
        <v>1</v>
      </c>
      <c r="AE23" s="7"/>
      <c r="AF23" s="7"/>
      <c r="AG23" s="7"/>
      <c r="AH23" s="7"/>
      <c r="AI23" s="7"/>
      <c r="AJ23" s="7">
        <v>3</v>
      </c>
      <c r="AK23" s="7"/>
      <c r="AL23" s="16">
        <v>45295</v>
      </c>
      <c r="AM23" s="4"/>
      <c r="AN23" s="11" t="s">
        <v>331</v>
      </c>
      <c r="AO23" s="4"/>
      <c r="AP23" s="4"/>
      <c r="AQ23" s="4"/>
      <c r="AR23" s="11">
        <v>200</v>
      </c>
      <c r="AS23" s="11"/>
      <c r="AT23" s="11"/>
      <c r="AU23" s="11"/>
    </row>
    <row r="24" spans="1:47" ht="15.75" x14ac:dyDescent="0.25">
      <c r="A24" s="112" t="s">
        <v>333</v>
      </c>
      <c r="B24" s="6" t="s">
        <v>1430</v>
      </c>
      <c r="C24" s="8" t="s">
        <v>5</v>
      </c>
      <c r="D24" s="9" t="s">
        <v>26</v>
      </c>
      <c r="E24" s="8"/>
      <c r="F24" s="8"/>
      <c r="G24" s="8"/>
      <c r="H24" s="7"/>
      <c r="I24" s="7"/>
      <c r="J24" s="7"/>
      <c r="K24" s="7"/>
      <c r="L24" s="122"/>
      <c r="M24" s="122"/>
      <c r="N24" s="122"/>
      <c r="O24" s="96"/>
      <c r="P24" s="7"/>
      <c r="Q24" s="93">
        <v>6.2131739044268661</v>
      </c>
      <c r="R24" s="93">
        <v>0.60316688432835652</v>
      </c>
      <c r="S24" s="122"/>
      <c r="T24" s="7"/>
      <c r="U24" s="7"/>
      <c r="V24" s="122"/>
      <c r="W24" s="122"/>
      <c r="X24" s="122"/>
      <c r="Y24" s="7"/>
      <c r="Z24" s="7"/>
      <c r="AA24" s="7"/>
      <c r="AB24" s="7">
        <v>2</v>
      </c>
      <c r="AC24" s="7"/>
      <c r="AD24" s="7"/>
      <c r="AE24" s="7"/>
      <c r="AF24" s="7"/>
      <c r="AG24" s="7"/>
      <c r="AH24" s="7"/>
      <c r="AI24" s="7"/>
      <c r="AJ24" s="7"/>
      <c r="AK24" s="7"/>
      <c r="AL24" s="16">
        <v>45295</v>
      </c>
      <c r="AM24" s="4"/>
      <c r="AN24" s="11" t="s">
        <v>334</v>
      </c>
      <c r="AO24" s="4"/>
      <c r="AP24" s="4"/>
      <c r="AQ24" s="4"/>
      <c r="AR24" s="11">
        <v>830</v>
      </c>
      <c r="AS24" s="11"/>
      <c r="AT24" s="11"/>
      <c r="AU24" s="11"/>
    </row>
    <row r="25" spans="1:47" ht="28.5" x14ac:dyDescent="0.25">
      <c r="A25" s="112" t="s">
        <v>335</v>
      </c>
      <c r="B25" s="6" t="s">
        <v>1238</v>
      </c>
      <c r="C25" s="8" t="s">
        <v>5</v>
      </c>
      <c r="D25" s="8" t="s">
        <v>958</v>
      </c>
      <c r="E25" s="8" t="s">
        <v>314</v>
      </c>
      <c r="F25" s="8"/>
      <c r="G25" s="8"/>
      <c r="H25" s="7">
        <v>20</v>
      </c>
      <c r="I25" s="7"/>
      <c r="J25" s="7"/>
      <c r="K25" s="7"/>
      <c r="L25" s="122"/>
      <c r="M25" s="122"/>
      <c r="N25" s="122"/>
      <c r="O25" s="96"/>
      <c r="P25" s="14">
        <v>0.3</v>
      </c>
      <c r="Q25" s="93">
        <v>46545.179756510835</v>
      </c>
      <c r="R25" s="93">
        <v>4909.852941176463</v>
      </c>
      <c r="S25" s="122" t="s">
        <v>1518</v>
      </c>
      <c r="T25" s="7">
        <v>2</v>
      </c>
      <c r="U25" s="7"/>
      <c r="V25" s="122"/>
      <c r="W25" s="122"/>
      <c r="X25" s="122"/>
      <c r="Y25" s="7"/>
      <c r="Z25" s="7">
        <v>3</v>
      </c>
      <c r="AA25" s="7">
        <v>3</v>
      </c>
      <c r="AB25" s="7">
        <v>3</v>
      </c>
      <c r="AC25" s="7">
        <v>3</v>
      </c>
      <c r="AD25" s="7">
        <v>3</v>
      </c>
      <c r="AE25" s="7">
        <v>3</v>
      </c>
      <c r="AF25" s="7">
        <v>3</v>
      </c>
      <c r="AG25" s="7">
        <v>3</v>
      </c>
      <c r="AH25" s="7">
        <v>3</v>
      </c>
      <c r="AI25" s="7">
        <v>3</v>
      </c>
      <c r="AJ25" s="7">
        <v>3</v>
      </c>
      <c r="AK25" s="7">
        <v>3</v>
      </c>
      <c r="AL25" s="16">
        <v>45295</v>
      </c>
      <c r="AM25" s="4"/>
      <c r="AN25" s="6" t="s">
        <v>1029</v>
      </c>
      <c r="AO25" s="4"/>
      <c r="AP25" s="4"/>
      <c r="AQ25" s="4"/>
      <c r="AR25" s="11">
        <v>100</v>
      </c>
      <c r="AS25" s="11"/>
      <c r="AT25" s="11"/>
      <c r="AU25" s="11"/>
    </row>
    <row r="26" spans="1:47" ht="15.75" x14ac:dyDescent="0.25">
      <c r="A26" s="112" t="s">
        <v>337</v>
      </c>
      <c r="B26" s="6" t="s">
        <v>1298</v>
      </c>
      <c r="C26" s="9" t="s">
        <v>5</v>
      </c>
      <c r="D26" s="8" t="s">
        <v>959</v>
      </c>
      <c r="E26" s="9">
        <v>23</v>
      </c>
      <c r="F26" s="9"/>
      <c r="G26" s="9"/>
      <c r="H26" s="7"/>
      <c r="I26" s="7"/>
      <c r="J26" s="7"/>
      <c r="K26" s="7"/>
      <c r="L26" s="122"/>
      <c r="M26" s="122"/>
      <c r="N26" s="122"/>
      <c r="O26" s="96"/>
      <c r="P26" s="7"/>
      <c r="Q26" s="93">
        <v>3.2087053571428541E-2</v>
      </c>
      <c r="R26" s="93">
        <v>52.561397984886533</v>
      </c>
      <c r="S26" s="122" t="s">
        <v>1518</v>
      </c>
      <c r="T26" s="7"/>
      <c r="U26" s="7"/>
      <c r="V26" s="122"/>
      <c r="W26" s="122"/>
      <c r="X26" s="122" t="s">
        <v>1518</v>
      </c>
      <c r="Y26" s="7"/>
      <c r="Z26" s="7"/>
      <c r="AA26" s="7">
        <v>1</v>
      </c>
      <c r="AB26" s="7">
        <v>1</v>
      </c>
      <c r="AC26" s="7"/>
      <c r="AD26" s="7"/>
      <c r="AE26" s="7"/>
      <c r="AF26" s="7"/>
      <c r="AG26" s="7"/>
      <c r="AH26" s="7"/>
      <c r="AI26" s="7"/>
      <c r="AJ26" s="7"/>
      <c r="AK26" s="7"/>
      <c r="AL26" s="16">
        <v>45295</v>
      </c>
      <c r="AM26" s="4"/>
      <c r="AN26" s="6" t="s">
        <v>1031</v>
      </c>
      <c r="AO26" s="4"/>
      <c r="AP26" s="4"/>
      <c r="AQ26" s="4"/>
      <c r="AR26" s="11">
        <v>100</v>
      </c>
      <c r="AS26" s="11"/>
      <c r="AT26" s="11"/>
      <c r="AU26" s="11"/>
    </row>
    <row r="27" spans="1:47" ht="28.5" x14ac:dyDescent="0.25">
      <c r="A27" s="112" t="s">
        <v>338</v>
      </c>
      <c r="B27" s="6" t="s">
        <v>1302</v>
      </c>
      <c r="C27" s="8" t="s">
        <v>5</v>
      </c>
      <c r="D27" s="8" t="s">
        <v>24</v>
      </c>
      <c r="E27" s="8" t="s">
        <v>339</v>
      </c>
      <c r="F27" s="8"/>
      <c r="G27" s="8"/>
      <c r="H27" s="7"/>
      <c r="I27" s="7"/>
      <c r="J27" s="7"/>
      <c r="K27" s="7"/>
      <c r="L27" s="122"/>
      <c r="M27" s="122"/>
      <c r="N27" s="122"/>
      <c r="O27" s="96"/>
      <c r="P27" s="7"/>
      <c r="Q27" s="93">
        <v>0.72544658231387604</v>
      </c>
      <c r="R27" s="93">
        <v>4.6174513124470865E-2</v>
      </c>
      <c r="S27" s="122" t="s">
        <v>1518</v>
      </c>
      <c r="T27" s="7"/>
      <c r="U27" s="7"/>
      <c r="V27" s="122"/>
      <c r="W27" s="122"/>
      <c r="X27" s="122"/>
      <c r="Y27" s="7"/>
      <c r="Z27" s="7"/>
      <c r="AA27" s="7"/>
      <c r="AB27" s="7">
        <v>2</v>
      </c>
      <c r="AC27" s="7"/>
      <c r="AD27" s="7"/>
      <c r="AE27" s="7"/>
      <c r="AF27" s="7"/>
      <c r="AG27" s="7"/>
      <c r="AH27" s="7"/>
      <c r="AI27" s="7"/>
      <c r="AJ27" s="7"/>
      <c r="AK27" s="7"/>
      <c r="AL27" s="16">
        <v>45295</v>
      </c>
      <c r="AM27" s="4"/>
      <c r="AN27" s="6" t="s">
        <v>995</v>
      </c>
      <c r="AO27" s="4"/>
      <c r="AP27" s="4"/>
      <c r="AQ27" s="4"/>
      <c r="AR27" s="11">
        <v>9.8000000000000007</v>
      </c>
      <c r="AS27" s="11"/>
      <c r="AT27" s="11"/>
      <c r="AU27" s="11"/>
    </row>
    <row r="28" spans="1:47" ht="28.5" x14ac:dyDescent="0.25">
      <c r="A28" s="112" t="s">
        <v>1892</v>
      </c>
      <c r="B28" s="6" t="s">
        <v>1893</v>
      </c>
      <c r="C28" s="8" t="s">
        <v>5</v>
      </c>
      <c r="D28" s="8" t="s">
        <v>29</v>
      </c>
      <c r="E28" s="8" t="s">
        <v>339</v>
      </c>
      <c r="F28" s="8"/>
      <c r="G28" s="8"/>
      <c r="H28" s="7"/>
      <c r="I28" s="7"/>
      <c r="J28" s="7"/>
      <c r="K28" s="7"/>
      <c r="L28" s="122"/>
      <c r="M28" s="122"/>
      <c r="N28" s="122"/>
      <c r="O28" s="96"/>
      <c r="P28" s="7"/>
      <c r="Q28" s="93">
        <v>0.72544658231387604</v>
      </c>
      <c r="R28" s="93">
        <v>4.6174513124470865E-2</v>
      </c>
      <c r="S28" s="122" t="s">
        <v>1518</v>
      </c>
      <c r="T28" s="7"/>
      <c r="U28" s="7"/>
      <c r="V28" s="122"/>
      <c r="W28" s="122"/>
      <c r="X28" s="122"/>
      <c r="Y28" s="7"/>
      <c r="Z28" s="7"/>
      <c r="AA28" s="7"/>
      <c r="AB28" s="7">
        <v>2</v>
      </c>
      <c r="AC28" s="7"/>
      <c r="AD28" s="7"/>
      <c r="AE28" s="7"/>
      <c r="AF28" s="7"/>
      <c r="AG28" s="7"/>
      <c r="AH28" s="7"/>
      <c r="AI28" s="7"/>
      <c r="AJ28" s="7"/>
      <c r="AK28" s="7"/>
      <c r="AL28" s="16">
        <v>45295</v>
      </c>
      <c r="AM28" s="4"/>
      <c r="AN28" s="6" t="s">
        <v>995</v>
      </c>
      <c r="AO28" s="4"/>
      <c r="AP28" s="4"/>
      <c r="AQ28" s="4"/>
      <c r="AR28" s="11">
        <v>9.8000000000000007</v>
      </c>
      <c r="AS28" s="11"/>
      <c r="AT28" s="11"/>
      <c r="AU28" s="11"/>
    </row>
    <row r="29" spans="1:47" ht="15.75" x14ac:dyDescent="0.25">
      <c r="A29" s="112" t="s">
        <v>340</v>
      </c>
      <c r="B29" s="6" t="s">
        <v>1307</v>
      </c>
      <c r="C29" s="8" t="s">
        <v>5</v>
      </c>
      <c r="D29" s="8" t="s">
        <v>13</v>
      </c>
      <c r="E29" s="8">
        <v>11</v>
      </c>
      <c r="F29" s="8"/>
      <c r="G29" s="8"/>
      <c r="H29" s="7"/>
      <c r="I29" s="7"/>
      <c r="J29" s="7"/>
      <c r="K29" s="7"/>
      <c r="L29" s="122"/>
      <c r="M29" s="122"/>
      <c r="N29" s="122"/>
      <c r="O29" s="96"/>
      <c r="P29" s="7"/>
      <c r="Q29" s="93">
        <v>0</v>
      </c>
      <c r="R29" s="93">
        <v>0</v>
      </c>
      <c r="S29" s="122"/>
      <c r="T29" s="7"/>
      <c r="U29" s="7"/>
      <c r="V29" s="122"/>
      <c r="W29" s="122"/>
      <c r="X29" s="122"/>
      <c r="Y29" s="7"/>
      <c r="Z29" s="7"/>
      <c r="AA29" s="7"/>
      <c r="AB29" s="7">
        <v>2</v>
      </c>
      <c r="AC29" s="7"/>
      <c r="AD29" s="7"/>
      <c r="AE29" s="7"/>
      <c r="AF29" s="7"/>
      <c r="AG29" s="7"/>
      <c r="AH29" s="7"/>
      <c r="AI29" s="7"/>
      <c r="AJ29" s="7"/>
      <c r="AK29" s="7"/>
      <c r="AL29" s="16">
        <v>45295</v>
      </c>
      <c r="AM29" s="4"/>
      <c r="AN29" s="4" t="s">
        <v>341</v>
      </c>
      <c r="AO29" s="4"/>
      <c r="AP29" s="4"/>
      <c r="AQ29" s="4"/>
      <c r="AR29" s="11">
        <v>30</v>
      </c>
      <c r="AS29" s="11"/>
      <c r="AT29" s="11"/>
      <c r="AU29" s="11"/>
    </row>
    <row r="30" spans="1:47" ht="28.5" x14ac:dyDescent="0.25">
      <c r="A30" s="112" t="s">
        <v>1940</v>
      </c>
      <c r="B30" s="6" t="s">
        <v>1954</v>
      </c>
      <c r="C30" s="8" t="s">
        <v>5</v>
      </c>
      <c r="D30" s="8" t="s">
        <v>13</v>
      </c>
      <c r="E30" s="8" t="s">
        <v>339</v>
      </c>
      <c r="F30" s="8"/>
      <c r="G30" s="8"/>
      <c r="H30" s="7"/>
      <c r="I30" s="7"/>
      <c r="J30" s="7"/>
      <c r="K30" s="7"/>
      <c r="L30" s="122"/>
      <c r="M30" s="122"/>
      <c r="N30" s="122"/>
      <c r="O30" s="96"/>
      <c r="P30" s="7"/>
      <c r="Q30" s="93">
        <v>1.1547925187853538</v>
      </c>
      <c r="R30" s="93">
        <v>7.3502286198137298E-2</v>
      </c>
      <c r="S30" s="122" t="s">
        <v>1518</v>
      </c>
      <c r="T30" s="7"/>
      <c r="U30" s="7"/>
      <c r="V30" s="122"/>
      <c r="W30" s="122"/>
      <c r="X30" s="122"/>
      <c r="Y30" s="7" t="s">
        <v>7</v>
      </c>
      <c r="Z30" s="7"/>
      <c r="AA30" s="7"/>
      <c r="AB30" s="7">
        <v>2</v>
      </c>
      <c r="AC30" s="7"/>
      <c r="AD30" s="7"/>
      <c r="AE30" s="7"/>
      <c r="AF30" s="7"/>
      <c r="AG30" s="7"/>
      <c r="AH30" s="7"/>
      <c r="AI30" s="7"/>
      <c r="AJ30" s="7"/>
      <c r="AK30" s="7"/>
      <c r="AL30" s="16">
        <v>45295</v>
      </c>
      <c r="AM30" s="4"/>
      <c r="AN30" s="6" t="s">
        <v>995</v>
      </c>
      <c r="AO30" s="4"/>
      <c r="AP30" s="4"/>
      <c r="AQ30" s="4"/>
      <c r="AR30" s="11">
        <v>26</v>
      </c>
      <c r="AS30" s="11"/>
      <c r="AT30" s="11"/>
      <c r="AU30" s="11"/>
    </row>
    <row r="31" spans="1:47" ht="15.75" x14ac:dyDescent="0.25">
      <c r="A31" s="112" t="s">
        <v>342</v>
      </c>
      <c r="B31" s="6" t="s">
        <v>1312</v>
      </c>
      <c r="C31" s="8" t="s">
        <v>5</v>
      </c>
      <c r="D31" s="8" t="s">
        <v>29</v>
      </c>
      <c r="E31" s="8" t="s">
        <v>319</v>
      </c>
      <c r="F31" s="8"/>
      <c r="G31" s="8"/>
      <c r="H31" s="7"/>
      <c r="I31" s="7"/>
      <c r="J31" s="7"/>
      <c r="K31" s="7" t="s">
        <v>14</v>
      </c>
      <c r="L31" s="122"/>
      <c r="M31" s="122"/>
      <c r="N31" s="122"/>
      <c r="O31" s="96"/>
      <c r="P31" s="7"/>
      <c r="Q31" s="93">
        <v>18.289336497105278</v>
      </c>
      <c r="R31" s="93">
        <v>695.56249999999977</v>
      </c>
      <c r="S31" s="122" t="s">
        <v>1518</v>
      </c>
      <c r="T31" s="7"/>
      <c r="U31" s="7"/>
      <c r="V31" s="122"/>
      <c r="W31" s="122"/>
      <c r="X31" s="122"/>
      <c r="Y31" s="7"/>
      <c r="Z31" s="7"/>
      <c r="AA31" s="7">
        <v>3</v>
      </c>
      <c r="AB31" s="7">
        <v>3</v>
      </c>
      <c r="AC31" s="7"/>
      <c r="AD31" s="7">
        <v>1</v>
      </c>
      <c r="AE31" s="7"/>
      <c r="AF31" s="7"/>
      <c r="AG31" s="7"/>
      <c r="AH31" s="7"/>
      <c r="AI31" s="7"/>
      <c r="AJ31" s="7">
        <v>3</v>
      </c>
      <c r="AK31" s="7"/>
      <c r="AL31" s="16">
        <v>45295</v>
      </c>
      <c r="AM31" s="4"/>
      <c r="AN31" s="11" t="s">
        <v>331</v>
      </c>
      <c r="AO31" s="4"/>
      <c r="AP31" s="4"/>
      <c r="AQ31" s="4"/>
      <c r="AR31" s="11">
        <v>200</v>
      </c>
      <c r="AS31" s="11"/>
      <c r="AT31" s="11"/>
      <c r="AU31" s="11"/>
    </row>
    <row r="32" spans="1:47" ht="15.75" x14ac:dyDescent="0.25">
      <c r="A32" s="112" t="s">
        <v>2049</v>
      </c>
      <c r="B32" s="6" t="s">
        <v>2050</v>
      </c>
      <c r="C32" s="9" t="s">
        <v>5</v>
      </c>
      <c r="D32" s="9" t="s">
        <v>109</v>
      </c>
      <c r="E32" s="9"/>
      <c r="F32" s="9"/>
      <c r="G32" s="9"/>
      <c r="H32" s="7"/>
      <c r="I32" s="7"/>
      <c r="J32" s="7"/>
      <c r="K32" s="7"/>
      <c r="L32" s="122"/>
      <c r="M32" s="122"/>
      <c r="N32" s="122"/>
      <c r="O32" s="96"/>
      <c r="P32" s="7"/>
      <c r="Q32" s="93">
        <f t="shared" ref="Q32" si="0">ROUND(BM32,0)</f>
        <v>0</v>
      </c>
      <c r="R32" s="93">
        <f t="shared" ref="R32" si="1">ROUND(BR32,0)</f>
        <v>0</v>
      </c>
      <c r="S32" s="122"/>
      <c r="T32" s="7"/>
      <c r="U32" s="7"/>
      <c r="V32" s="122"/>
      <c r="W32" s="122"/>
      <c r="X32" s="122"/>
      <c r="Y32" s="7"/>
      <c r="Z32" s="7"/>
      <c r="AA32" s="7"/>
      <c r="AB32" s="7">
        <v>2</v>
      </c>
      <c r="AC32" s="7"/>
      <c r="AD32" s="7"/>
      <c r="AE32" s="7"/>
      <c r="AF32" s="7"/>
      <c r="AG32" s="7"/>
      <c r="AH32" s="7"/>
      <c r="AI32" s="7"/>
      <c r="AJ32" s="7"/>
      <c r="AK32" s="7"/>
      <c r="AL32" s="16">
        <v>45295</v>
      </c>
      <c r="AM32" s="4"/>
      <c r="AN32" s="11" t="s">
        <v>334</v>
      </c>
      <c r="AO32" s="4"/>
      <c r="AP32" s="4"/>
      <c r="AQ32" s="4"/>
      <c r="AR32" s="11">
        <v>830</v>
      </c>
      <c r="AS32" s="11"/>
      <c r="AT32" s="11"/>
      <c r="AU32" s="11"/>
    </row>
    <row r="33" spans="1:47" ht="28.5" x14ac:dyDescent="0.25">
      <c r="A33" s="92" t="s">
        <v>343</v>
      </c>
      <c r="B33" s="6" t="s">
        <v>1328</v>
      </c>
      <c r="C33" s="8" t="s">
        <v>5</v>
      </c>
      <c r="D33" s="9" t="s">
        <v>203</v>
      </c>
      <c r="E33" s="8" t="s">
        <v>336</v>
      </c>
      <c r="F33" s="8"/>
      <c r="G33" s="8"/>
      <c r="H33" s="7"/>
      <c r="I33" s="7"/>
      <c r="J33" s="7"/>
      <c r="K33" s="7" t="s">
        <v>14</v>
      </c>
      <c r="L33" s="122"/>
      <c r="M33" s="122"/>
      <c r="N33" s="122"/>
      <c r="O33" s="96"/>
      <c r="P33" s="14">
        <v>0.3</v>
      </c>
      <c r="Q33" s="93">
        <v>9.3311822408081024</v>
      </c>
      <c r="R33" s="93">
        <v>1.3462499999999968</v>
      </c>
      <c r="S33" s="122" t="s">
        <v>1518</v>
      </c>
      <c r="T33" s="7">
        <v>2</v>
      </c>
      <c r="U33" s="7"/>
      <c r="V33" s="122" t="s">
        <v>1518</v>
      </c>
      <c r="W33" s="122" t="s">
        <v>1518</v>
      </c>
      <c r="X33" s="122"/>
      <c r="Y33" s="7"/>
      <c r="Z33" s="7">
        <v>3</v>
      </c>
      <c r="AA33" s="7">
        <v>1</v>
      </c>
      <c r="AB33" s="7"/>
      <c r="AC33" s="7"/>
      <c r="AD33" s="7">
        <v>3</v>
      </c>
      <c r="AE33" s="7"/>
      <c r="AF33" s="7">
        <v>1</v>
      </c>
      <c r="AG33" s="7"/>
      <c r="AH33" s="7">
        <v>1</v>
      </c>
      <c r="AI33" s="7">
        <v>1</v>
      </c>
      <c r="AJ33" s="7"/>
      <c r="AK33" s="7"/>
      <c r="AL33" s="16">
        <v>45295</v>
      </c>
      <c r="AM33" s="4"/>
      <c r="AN33" s="11" t="s">
        <v>344</v>
      </c>
      <c r="AO33" s="4"/>
      <c r="AP33" s="4"/>
      <c r="AQ33" s="4"/>
      <c r="AR33" s="11">
        <v>500</v>
      </c>
      <c r="AS33" s="11"/>
      <c r="AT33" s="11"/>
      <c r="AU33" s="11"/>
    </row>
    <row r="34" spans="1:47" ht="28.5" x14ac:dyDescent="0.25">
      <c r="A34" s="92" t="s">
        <v>345</v>
      </c>
      <c r="B34" s="6" t="s">
        <v>1688</v>
      </c>
      <c r="C34" s="8" t="s">
        <v>5</v>
      </c>
      <c r="D34" s="8" t="s">
        <v>1689</v>
      </c>
      <c r="E34" s="8" t="s">
        <v>336</v>
      </c>
      <c r="F34" s="8"/>
      <c r="G34" s="8"/>
      <c r="H34" s="7"/>
      <c r="I34" s="7"/>
      <c r="J34" s="7"/>
      <c r="K34" s="7" t="s">
        <v>14</v>
      </c>
      <c r="L34" s="122"/>
      <c r="M34" s="122"/>
      <c r="N34" s="122"/>
      <c r="O34" s="96"/>
      <c r="P34" s="14">
        <v>0.3</v>
      </c>
      <c r="Q34" s="93">
        <v>9.3311822408081024</v>
      </c>
      <c r="R34" s="93">
        <v>1.3462499999999968</v>
      </c>
      <c r="S34" s="122" t="s">
        <v>1518</v>
      </c>
      <c r="T34" s="7">
        <v>2</v>
      </c>
      <c r="U34" s="7"/>
      <c r="V34" s="122" t="s">
        <v>1518</v>
      </c>
      <c r="W34" s="122" t="s">
        <v>1518</v>
      </c>
      <c r="X34" s="122"/>
      <c r="Y34" s="7"/>
      <c r="Z34" s="7">
        <v>3</v>
      </c>
      <c r="AA34" s="7">
        <v>1</v>
      </c>
      <c r="AB34" s="7"/>
      <c r="AC34" s="7"/>
      <c r="AD34" s="7">
        <v>3</v>
      </c>
      <c r="AE34" s="7"/>
      <c r="AF34" s="7">
        <v>1</v>
      </c>
      <c r="AG34" s="7"/>
      <c r="AH34" s="7">
        <v>1</v>
      </c>
      <c r="AI34" s="7">
        <v>1</v>
      </c>
      <c r="AJ34" s="7"/>
      <c r="AK34" s="7"/>
      <c r="AL34" s="16">
        <v>45295</v>
      </c>
      <c r="AM34" s="4"/>
      <c r="AN34" s="11" t="s">
        <v>344</v>
      </c>
      <c r="AO34" s="4"/>
      <c r="AP34" s="4"/>
      <c r="AQ34" s="4"/>
      <c r="AR34" s="11">
        <v>500</v>
      </c>
      <c r="AS34" s="11"/>
      <c r="AT34" s="11"/>
      <c r="AU34" s="11"/>
    </row>
    <row r="35" spans="1:47" ht="15.75" x14ac:dyDescent="0.25">
      <c r="A35" s="112" t="s">
        <v>1598</v>
      </c>
      <c r="B35" s="6" t="s">
        <v>1599</v>
      </c>
      <c r="C35" s="8" t="s">
        <v>5</v>
      </c>
      <c r="D35" s="9" t="s">
        <v>26</v>
      </c>
      <c r="E35" s="8" t="s">
        <v>319</v>
      </c>
      <c r="F35" s="8"/>
      <c r="G35" s="8"/>
      <c r="H35" s="7"/>
      <c r="I35" s="7"/>
      <c r="J35" s="7"/>
      <c r="K35" s="7" t="s">
        <v>14</v>
      </c>
      <c r="L35" s="122"/>
      <c r="M35" s="122"/>
      <c r="N35" s="122"/>
      <c r="O35" s="96"/>
      <c r="P35" s="7"/>
      <c r="Q35" s="93">
        <v>18.289336497105278</v>
      </c>
      <c r="R35" s="93">
        <v>695.56249999999977</v>
      </c>
      <c r="S35" s="122" t="s">
        <v>1518</v>
      </c>
      <c r="T35" s="7"/>
      <c r="U35" s="7"/>
      <c r="V35" s="122"/>
      <c r="W35" s="122"/>
      <c r="X35" s="122"/>
      <c r="Y35" s="7"/>
      <c r="Z35" s="7"/>
      <c r="AA35" s="7">
        <v>3</v>
      </c>
      <c r="AB35" s="7">
        <v>3</v>
      </c>
      <c r="AC35" s="7"/>
      <c r="AD35" s="7">
        <v>1</v>
      </c>
      <c r="AE35" s="7"/>
      <c r="AF35" s="7"/>
      <c r="AG35" s="7"/>
      <c r="AH35" s="7"/>
      <c r="AI35" s="7"/>
      <c r="AJ35" s="7">
        <v>3</v>
      </c>
      <c r="AK35" s="7"/>
      <c r="AL35" s="16">
        <v>45295</v>
      </c>
      <c r="AM35" s="4"/>
      <c r="AN35" s="11" t="s">
        <v>331</v>
      </c>
      <c r="AO35" s="4"/>
      <c r="AP35" s="4"/>
      <c r="AQ35" s="4"/>
      <c r="AR35" s="11">
        <v>200</v>
      </c>
      <c r="AS35" s="11"/>
      <c r="AT35" s="11"/>
      <c r="AU35" s="11"/>
    </row>
    <row r="36" spans="1:47" ht="28.5" x14ac:dyDescent="0.25">
      <c r="A36" s="116" t="s">
        <v>346</v>
      </c>
      <c r="B36" s="6" t="s">
        <v>1351</v>
      </c>
      <c r="C36" s="54" t="s">
        <v>5</v>
      </c>
      <c r="D36" s="8" t="s">
        <v>13</v>
      </c>
      <c r="E36" s="54">
        <v>6</v>
      </c>
      <c r="F36" s="54"/>
      <c r="G36" s="54"/>
      <c r="H36" s="50">
        <v>6</v>
      </c>
      <c r="I36" s="50">
        <v>20</v>
      </c>
      <c r="J36" s="50"/>
      <c r="K36" s="50" t="s">
        <v>14</v>
      </c>
      <c r="L36" s="123"/>
      <c r="M36" s="123"/>
      <c r="N36" s="123"/>
      <c r="O36" s="97"/>
      <c r="P36" s="55">
        <v>0.3</v>
      </c>
      <c r="Q36" s="93">
        <v>1936.3315145548024</v>
      </c>
      <c r="R36" s="93">
        <v>29698.174157303321</v>
      </c>
      <c r="S36" s="123" t="s">
        <v>1518</v>
      </c>
      <c r="T36" s="50">
        <v>1</v>
      </c>
      <c r="U36" s="50"/>
      <c r="V36" s="123"/>
      <c r="W36" s="123"/>
      <c r="X36" s="123"/>
      <c r="Y36" s="50"/>
      <c r="Z36" s="50"/>
      <c r="AA36" s="50"/>
      <c r="AB36" s="50"/>
      <c r="AC36" s="50"/>
      <c r="AD36" s="50"/>
      <c r="AE36" s="50"/>
      <c r="AF36" s="50">
        <v>3</v>
      </c>
      <c r="AG36" s="50"/>
      <c r="AH36" s="50"/>
      <c r="AI36" s="50"/>
      <c r="AJ36" s="50"/>
      <c r="AK36" s="50"/>
      <c r="AL36" s="16">
        <v>45295</v>
      </c>
      <c r="AM36" s="51"/>
      <c r="AN36" s="6" t="s">
        <v>1002</v>
      </c>
      <c r="AO36" s="51"/>
      <c r="AP36" s="51"/>
      <c r="AQ36" s="51"/>
      <c r="AR36" s="53">
        <v>950</v>
      </c>
      <c r="AS36" s="53"/>
      <c r="AT36" s="53"/>
      <c r="AU36" s="53"/>
    </row>
    <row r="37" spans="1:47" ht="28.5" x14ac:dyDescent="0.25">
      <c r="A37" s="112" t="s">
        <v>347</v>
      </c>
      <c r="B37" s="6" t="s">
        <v>1353</v>
      </c>
      <c r="C37" s="8" t="s">
        <v>5</v>
      </c>
      <c r="D37" s="8" t="s">
        <v>54</v>
      </c>
      <c r="E37" s="8" t="s">
        <v>314</v>
      </c>
      <c r="F37" s="8"/>
      <c r="G37" s="8"/>
      <c r="H37" s="7">
        <v>20</v>
      </c>
      <c r="I37" s="7"/>
      <c r="J37" s="7"/>
      <c r="K37" s="7"/>
      <c r="L37" s="122"/>
      <c r="M37" s="122"/>
      <c r="N37" s="122"/>
      <c r="O37" s="96"/>
      <c r="P37" s="14">
        <v>0.3</v>
      </c>
      <c r="Q37" s="93">
        <v>46545.179756510835</v>
      </c>
      <c r="R37" s="93">
        <v>4909.852941176463</v>
      </c>
      <c r="S37" s="122" t="s">
        <v>1518</v>
      </c>
      <c r="T37" s="7">
        <v>2</v>
      </c>
      <c r="U37" s="7"/>
      <c r="V37" s="122" t="s">
        <v>1518</v>
      </c>
      <c r="W37" s="122" t="s">
        <v>1518</v>
      </c>
      <c r="X37" s="122" t="s">
        <v>1518</v>
      </c>
      <c r="Y37" s="7"/>
      <c r="Z37" s="7">
        <v>3</v>
      </c>
      <c r="AA37" s="7">
        <v>3</v>
      </c>
      <c r="AB37" s="7">
        <v>3</v>
      </c>
      <c r="AC37" s="7">
        <v>3</v>
      </c>
      <c r="AD37" s="7">
        <v>3</v>
      </c>
      <c r="AE37" s="7">
        <v>3</v>
      </c>
      <c r="AF37" s="7">
        <v>3</v>
      </c>
      <c r="AG37" s="7">
        <v>3</v>
      </c>
      <c r="AH37" s="7">
        <v>3</v>
      </c>
      <c r="AI37" s="7">
        <v>3</v>
      </c>
      <c r="AJ37" s="7">
        <v>3</v>
      </c>
      <c r="AK37" s="7">
        <v>3</v>
      </c>
      <c r="AL37" s="16">
        <v>45295</v>
      </c>
      <c r="AM37" s="4"/>
      <c r="AN37" s="6" t="s">
        <v>1029</v>
      </c>
      <c r="AO37" s="4"/>
      <c r="AP37" s="4"/>
      <c r="AQ37" s="4"/>
      <c r="AR37" s="11">
        <v>50</v>
      </c>
      <c r="AS37" s="11"/>
      <c r="AT37" s="11"/>
      <c r="AU37" s="11"/>
    </row>
    <row r="38" spans="1:47" ht="28.5" x14ac:dyDescent="0.25">
      <c r="A38" s="112" t="s">
        <v>1945</v>
      </c>
      <c r="B38" s="263" t="s">
        <v>1946</v>
      </c>
      <c r="C38" s="8" t="s">
        <v>5</v>
      </c>
      <c r="D38" s="8" t="s">
        <v>17</v>
      </c>
      <c r="E38" s="8" t="s">
        <v>339</v>
      </c>
      <c r="F38" s="8"/>
      <c r="G38" s="8"/>
      <c r="H38" s="7"/>
      <c r="I38" s="7"/>
      <c r="J38" s="7"/>
      <c r="K38" s="7"/>
      <c r="L38" s="122"/>
      <c r="M38" s="122"/>
      <c r="N38" s="122"/>
      <c r="O38" s="96"/>
      <c r="P38" s="7"/>
      <c r="Q38" s="93">
        <v>1.1547925187853538</v>
      </c>
      <c r="R38" s="93">
        <v>7.3502286198137298E-2</v>
      </c>
      <c r="S38" s="122" t="s">
        <v>1518</v>
      </c>
      <c r="T38" s="7"/>
      <c r="U38" s="7"/>
      <c r="V38" s="122"/>
      <c r="W38" s="122"/>
      <c r="X38" s="122"/>
      <c r="Y38" s="7" t="s">
        <v>7</v>
      </c>
      <c r="Z38" s="7"/>
      <c r="AA38" s="7"/>
      <c r="AB38" s="7">
        <v>2</v>
      </c>
      <c r="AC38" s="7"/>
      <c r="AD38" s="7"/>
      <c r="AE38" s="7"/>
      <c r="AF38" s="7"/>
      <c r="AG38" s="7"/>
      <c r="AH38" s="7"/>
      <c r="AI38" s="7"/>
      <c r="AJ38" s="7"/>
      <c r="AK38" s="7"/>
      <c r="AL38" s="16">
        <v>45295</v>
      </c>
      <c r="AM38" s="4"/>
      <c r="AN38" s="6" t="s">
        <v>995</v>
      </c>
      <c r="AO38" s="4"/>
      <c r="AP38" s="4"/>
      <c r="AQ38" s="4"/>
      <c r="AR38" s="11">
        <v>26</v>
      </c>
      <c r="AS38" s="11"/>
      <c r="AT38" s="11"/>
      <c r="AU38" s="11"/>
    </row>
    <row r="39" spans="1:47" ht="15.75" x14ac:dyDescent="0.25">
      <c r="A39" s="92" t="s">
        <v>348</v>
      </c>
      <c r="B39" s="6" t="s">
        <v>1403</v>
      </c>
      <c r="C39" s="8" t="s">
        <v>5</v>
      </c>
      <c r="D39" s="8" t="s">
        <v>17</v>
      </c>
      <c r="E39" s="8"/>
      <c r="F39" s="8"/>
      <c r="G39" s="8"/>
      <c r="H39" s="7"/>
      <c r="I39" s="7"/>
      <c r="J39" s="7"/>
      <c r="K39" s="7"/>
      <c r="L39" s="122"/>
      <c r="M39" s="122"/>
      <c r="N39" s="122"/>
      <c r="O39" s="96"/>
      <c r="P39" s="7"/>
      <c r="Q39" s="93">
        <v>0</v>
      </c>
      <c r="R39" s="93">
        <v>0</v>
      </c>
      <c r="S39" s="122"/>
      <c r="T39" s="7"/>
      <c r="U39" s="7"/>
      <c r="V39" s="122"/>
      <c r="W39" s="122" t="s">
        <v>1518</v>
      </c>
      <c r="X39" s="122"/>
      <c r="Y39" s="7"/>
      <c r="Z39" s="7"/>
      <c r="AA39" s="7"/>
      <c r="AB39" s="7"/>
      <c r="AC39" s="7"/>
      <c r="AD39" s="7">
        <v>2</v>
      </c>
      <c r="AE39" s="7"/>
      <c r="AF39" s="7"/>
      <c r="AG39" s="7"/>
      <c r="AH39" s="7"/>
      <c r="AI39" s="7"/>
      <c r="AJ39" s="7"/>
      <c r="AK39" s="7"/>
      <c r="AL39" s="16">
        <v>45295</v>
      </c>
      <c r="AM39" s="4"/>
      <c r="AN39" s="11" t="s">
        <v>667</v>
      </c>
      <c r="AO39" s="11"/>
      <c r="AP39" s="4"/>
      <c r="AQ39" s="4"/>
      <c r="AR39" s="11">
        <v>950</v>
      </c>
      <c r="AS39" s="11"/>
      <c r="AT39" s="11"/>
      <c r="AU39" s="11"/>
    </row>
    <row r="40" spans="1:47" ht="28.5" x14ac:dyDescent="0.25">
      <c r="A40" s="112" t="s">
        <v>1406</v>
      </c>
      <c r="B40" s="6" t="s">
        <v>1678</v>
      </c>
      <c r="C40" s="8" t="s">
        <v>5</v>
      </c>
      <c r="D40" s="8" t="s">
        <v>17</v>
      </c>
      <c r="E40" s="8" t="s">
        <v>314</v>
      </c>
      <c r="F40" s="8"/>
      <c r="G40" s="8"/>
      <c r="H40" s="7">
        <v>20</v>
      </c>
      <c r="I40" s="7"/>
      <c r="J40" s="7"/>
      <c r="K40" s="7"/>
      <c r="L40" s="122"/>
      <c r="M40" s="122"/>
      <c r="N40" s="122"/>
      <c r="O40" s="96"/>
      <c r="P40" s="14">
        <v>0.3</v>
      </c>
      <c r="Q40" s="93">
        <v>46545.179756510835</v>
      </c>
      <c r="R40" s="93">
        <v>4909.852941176463</v>
      </c>
      <c r="S40" s="122" t="s">
        <v>1518</v>
      </c>
      <c r="T40" s="7">
        <v>2</v>
      </c>
      <c r="U40" s="7"/>
      <c r="V40" s="122" t="s">
        <v>1518</v>
      </c>
      <c r="W40" s="122"/>
      <c r="X40" s="122"/>
      <c r="Y40" s="7"/>
      <c r="Z40" s="7">
        <v>3</v>
      </c>
      <c r="AA40" s="7">
        <v>3</v>
      </c>
      <c r="AB40" s="7">
        <v>3</v>
      </c>
      <c r="AC40" s="7">
        <v>3</v>
      </c>
      <c r="AD40" s="7">
        <v>3</v>
      </c>
      <c r="AE40" s="7">
        <v>3</v>
      </c>
      <c r="AF40" s="7">
        <v>3</v>
      </c>
      <c r="AG40" s="7">
        <v>3</v>
      </c>
      <c r="AH40" s="7"/>
      <c r="AI40" s="7"/>
      <c r="AJ40" s="7"/>
      <c r="AK40" s="7"/>
      <c r="AL40" s="16">
        <v>45295</v>
      </c>
      <c r="AM40" s="4"/>
      <c r="AN40" s="6" t="s">
        <v>1029</v>
      </c>
      <c r="AO40" s="4"/>
      <c r="AP40" s="4"/>
      <c r="AQ40" s="4"/>
      <c r="AR40" s="11">
        <v>50</v>
      </c>
      <c r="AS40" s="11"/>
      <c r="AT40" s="11"/>
      <c r="AU40" s="11"/>
    </row>
    <row r="41" spans="1:47" ht="28.5" x14ac:dyDescent="0.25">
      <c r="A41" s="115" t="s">
        <v>349</v>
      </c>
      <c r="B41" s="6" t="s">
        <v>1410</v>
      </c>
      <c r="C41" s="54" t="s">
        <v>5</v>
      </c>
      <c r="D41" s="8" t="s">
        <v>13</v>
      </c>
      <c r="E41" s="54" t="s">
        <v>314</v>
      </c>
      <c r="F41" s="54"/>
      <c r="G41" s="54"/>
      <c r="H41" s="50">
        <v>20</v>
      </c>
      <c r="I41" s="50"/>
      <c r="J41" s="50"/>
      <c r="K41" s="50"/>
      <c r="L41" s="123"/>
      <c r="M41" s="123"/>
      <c r="N41" s="123"/>
      <c r="O41" s="97"/>
      <c r="P41" s="55">
        <v>0.3</v>
      </c>
      <c r="Q41" s="93">
        <v>46545.179756510835</v>
      </c>
      <c r="R41" s="93">
        <v>4909.852941176463</v>
      </c>
      <c r="S41" s="123" t="s">
        <v>1518</v>
      </c>
      <c r="T41" s="50">
        <v>2</v>
      </c>
      <c r="U41" s="50"/>
      <c r="V41" s="123"/>
      <c r="W41" s="123"/>
      <c r="X41" s="123" t="s">
        <v>1518</v>
      </c>
      <c r="Y41" s="50"/>
      <c r="Z41" s="50">
        <v>3</v>
      </c>
      <c r="AA41" s="50">
        <v>3</v>
      </c>
      <c r="AB41" s="50">
        <v>3</v>
      </c>
      <c r="AC41" s="50">
        <v>3</v>
      </c>
      <c r="AD41" s="50">
        <v>3</v>
      </c>
      <c r="AE41" s="50">
        <v>3</v>
      </c>
      <c r="AF41" s="50">
        <v>3</v>
      </c>
      <c r="AG41" s="50">
        <v>3</v>
      </c>
      <c r="AH41" s="50">
        <v>3</v>
      </c>
      <c r="AI41" s="50">
        <v>3</v>
      </c>
      <c r="AJ41" s="50">
        <v>3</v>
      </c>
      <c r="AK41" s="50">
        <v>3</v>
      </c>
      <c r="AL41" s="16">
        <v>45295</v>
      </c>
      <c r="AM41" s="51"/>
      <c r="AN41" s="6" t="s">
        <v>1029</v>
      </c>
      <c r="AO41" s="51"/>
      <c r="AP41" s="51"/>
      <c r="AQ41" s="51"/>
      <c r="AR41" s="53">
        <v>100</v>
      </c>
      <c r="AS41" s="53"/>
      <c r="AT41" s="53"/>
      <c r="AU41" s="53"/>
    </row>
    <row r="42" spans="1:47" ht="15.75" x14ac:dyDescent="0.25">
      <c r="A42" s="112" t="s">
        <v>978</v>
      </c>
      <c r="B42" s="6" t="s">
        <v>1411</v>
      </c>
      <c r="C42" s="8" t="s">
        <v>5</v>
      </c>
      <c r="D42" s="8" t="s">
        <v>26</v>
      </c>
      <c r="E42" s="8"/>
      <c r="F42" s="8"/>
      <c r="G42" s="8"/>
      <c r="H42" s="7"/>
      <c r="I42" s="7"/>
      <c r="J42" s="7"/>
      <c r="K42" s="7"/>
      <c r="L42" s="122"/>
      <c r="M42" s="122"/>
      <c r="N42" s="122"/>
      <c r="O42" s="96"/>
      <c r="P42" s="7"/>
      <c r="Q42" s="93">
        <v>0</v>
      </c>
      <c r="R42" s="93">
        <v>0</v>
      </c>
      <c r="S42" s="122"/>
      <c r="T42" s="7"/>
      <c r="U42" s="7"/>
      <c r="V42" s="122"/>
      <c r="W42" s="122"/>
      <c r="X42" s="122"/>
      <c r="Y42" s="7"/>
      <c r="Z42" s="7"/>
      <c r="AA42" s="7"/>
      <c r="AB42" s="7">
        <v>1</v>
      </c>
      <c r="AC42" s="7"/>
      <c r="AD42" s="7"/>
      <c r="AE42" s="7"/>
      <c r="AF42" s="7"/>
      <c r="AG42" s="7"/>
      <c r="AH42" s="7"/>
      <c r="AI42" s="7"/>
      <c r="AJ42" s="7"/>
      <c r="AK42" s="7"/>
      <c r="AL42" s="16">
        <v>45295</v>
      </c>
      <c r="AM42" s="4"/>
      <c r="AN42" s="11" t="s">
        <v>332</v>
      </c>
      <c r="AO42" s="4"/>
      <c r="AP42" s="4"/>
      <c r="AQ42" s="4"/>
      <c r="AR42" s="11">
        <v>876</v>
      </c>
      <c r="AS42" s="11"/>
      <c r="AT42" s="11"/>
      <c r="AU42" s="11"/>
    </row>
    <row r="43" spans="1:47" ht="15.75" x14ac:dyDescent="0.25">
      <c r="A43" s="114" t="s">
        <v>350</v>
      </c>
      <c r="B43" s="6" t="s">
        <v>1693</v>
      </c>
      <c r="C43" s="8" t="s">
        <v>5</v>
      </c>
      <c r="D43" s="8" t="s">
        <v>1597</v>
      </c>
      <c r="E43" s="8" t="s">
        <v>351</v>
      </c>
      <c r="F43" s="8"/>
      <c r="G43" s="8"/>
      <c r="H43" s="7"/>
      <c r="I43" s="7"/>
      <c r="J43" s="7"/>
      <c r="K43" s="7"/>
      <c r="L43" s="122"/>
      <c r="M43" s="122"/>
      <c r="N43" s="122"/>
      <c r="O43" s="96"/>
      <c r="P43" s="7"/>
      <c r="Q43" s="93">
        <v>1.1365391293896379E-3</v>
      </c>
      <c r="R43" s="93">
        <v>1.780639999999999E-2</v>
      </c>
      <c r="S43" s="122"/>
      <c r="T43" s="7">
        <v>2</v>
      </c>
      <c r="U43" s="7"/>
      <c r="V43" s="122" t="s">
        <v>1518</v>
      </c>
      <c r="W43" s="122"/>
      <c r="X43" s="122"/>
      <c r="Y43" s="7"/>
      <c r="Z43" s="7"/>
      <c r="AA43" s="7">
        <v>1</v>
      </c>
      <c r="AB43" s="7">
        <v>1</v>
      </c>
      <c r="AC43" s="7"/>
      <c r="AD43" s="7"/>
      <c r="AE43" s="7"/>
      <c r="AF43" s="7"/>
      <c r="AG43" s="7"/>
      <c r="AH43" s="7"/>
      <c r="AI43" s="7"/>
      <c r="AJ43" s="7">
        <v>1</v>
      </c>
      <c r="AK43" s="7"/>
      <c r="AL43" s="16">
        <v>45295</v>
      </c>
      <c r="AM43" s="4"/>
      <c r="AN43" s="11" t="s">
        <v>668</v>
      </c>
      <c r="AO43" s="4"/>
      <c r="AP43" s="4"/>
      <c r="AQ43" s="4"/>
      <c r="AR43" s="11">
        <v>500</v>
      </c>
      <c r="AS43" s="11"/>
      <c r="AT43" s="11"/>
      <c r="AU43" s="11"/>
    </row>
    <row r="44" spans="1:47" ht="15.75" x14ac:dyDescent="0.25">
      <c r="A44" s="112" t="s">
        <v>984</v>
      </c>
      <c r="B44" s="6" t="s">
        <v>1434</v>
      </c>
      <c r="C44" s="8" t="s">
        <v>5</v>
      </c>
      <c r="D44" s="8" t="s">
        <v>17</v>
      </c>
      <c r="E44" s="8"/>
      <c r="F44" s="8"/>
      <c r="G44" s="8"/>
      <c r="H44" s="7"/>
      <c r="I44" s="7"/>
      <c r="J44" s="7"/>
      <c r="K44" s="7"/>
      <c r="L44" s="122"/>
      <c r="M44" s="122"/>
      <c r="N44" s="122"/>
      <c r="O44" s="96"/>
      <c r="P44" s="7"/>
      <c r="Q44" s="93">
        <v>6</v>
      </c>
      <c r="R44" s="93">
        <v>1</v>
      </c>
      <c r="S44" s="122"/>
      <c r="T44" s="7"/>
      <c r="U44" s="7"/>
      <c r="V44" s="122"/>
      <c r="W44" s="122"/>
      <c r="X44" s="122"/>
      <c r="Y44" s="7"/>
      <c r="Z44" s="7"/>
      <c r="AA44" s="7"/>
      <c r="AB44" s="7">
        <v>2</v>
      </c>
      <c r="AC44" s="7"/>
      <c r="AD44" s="7"/>
      <c r="AE44" s="7"/>
      <c r="AF44" s="7"/>
      <c r="AG44" s="7"/>
      <c r="AH44" s="7"/>
      <c r="AI44" s="7"/>
      <c r="AJ44" s="7"/>
      <c r="AK44" s="7"/>
      <c r="AL44" s="16">
        <v>45295</v>
      </c>
      <c r="AM44" s="4"/>
      <c r="AN44" s="11" t="s">
        <v>334</v>
      </c>
      <c r="AO44" s="4"/>
      <c r="AP44" s="4"/>
      <c r="AQ44" s="4"/>
      <c r="AR44" s="11">
        <v>830</v>
      </c>
      <c r="AS44" s="11"/>
      <c r="AT44" s="11"/>
      <c r="AU44" s="11"/>
    </row>
    <row r="45" spans="1:47" ht="24.75" x14ac:dyDescent="0.25">
      <c r="A45" s="114" t="s">
        <v>1051</v>
      </c>
      <c r="B45" s="6" t="s">
        <v>1052</v>
      </c>
      <c r="C45" s="8" t="s">
        <v>6</v>
      </c>
      <c r="D45" s="8" t="s">
        <v>13</v>
      </c>
      <c r="E45" s="9"/>
      <c r="F45" s="9"/>
      <c r="G45" s="9"/>
      <c r="H45" s="7"/>
      <c r="I45" s="7"/>
      <c r="J45" s="7"/>
      <c r="K45" s="7"/>
      <c r="L45" s="122"/>
      <c r="M45" s="122"/>
      <c r="N45" s="122"/>
      <c r="O45" s="96" t="s">
        <v>352</v>
      </c>
      <c r="P45" s="7"/>
      <c r="Q45" s="93">
        <v>3.8850512249202587E-3</v>
      </c>
      <c r="R45" s="93">
        <v>6.8940707964601847E-2</v>
      </c>
      <c r="S45" s="122"/>
      <c r="T45" s="7"/>
      <c r="U45" s="7"/>
      <c r="V45" s="122"/>
      <c r="W45" s="122"/>
      <c r="X45" s="122" t="s">
        <v>1518</v>
      </c>
      <c r="Y45" s="7"/>
      <c r="Z45" s="7">
        <v>2</v>
      </c>
      <c r="AA45" s="7">
        <v>2</v>
      </c>
      <c r="AB45" s="7">
        <v>2</v>
      </c>
      <c r="AC45" s="7">
        <v>2</v>
      </c>
      <c r="AD45" s="7">
        <v>2</v>
      </c>
      <c r="AE45" s="7">
        <v>2</v>
      </c>
      <c r="AF45" s="7">
        <v>2</v>
      </c>
      <c r="AG45" s="7">
        <v>2</v>
      </c>
      <c r="AH45" s="7">
        <v>2</v>
      </c>
      <c r="AI45" s="7">
        <v>2</v>
      </c>
      <c r="AJ45" s="7">
        <v>2</v>
      </c>
      <c r="AK45" s="7">
        <v>2</v>
      </c>
      <c r="AL45" s="16">
        <v>45295</v>
      </c>
      <c r="AM45" s="4"/>
      <c r="AN45" s="4" t="s">
        <v>356</v>
      </c>
      <c r="AO45" s="4"/>
      <c r="AP45" s="4"/>
      <c r="AQ45" s="4"/>
      <c r="AR45" s="11">
        <v>50</v>
      </c>
      <c r="AS45" s="11"/>
      <c r="AT45" s="11"/>
      <c r="AU45" s="11"/>
    </row>
    <row r="46" spans="1:47" ht="15.75" x14ac:dyDescent="0.25">
      <c r="A46" s="112" t="s">
        <v>1659</v>
      </c>
      <c r="B46" s="6" t="s">
        <v>1660</v>
      </c>
      <c r="C46" s="8" t="s">
        <v>6</v>
      </c>
      <c r="D46" s="8" t="s">
        <v>109</v>
      </c>
      <c r="E46" s="9"/>
      <c r="F46" s="9"/>
      <c r="G46" s="9"/>
      <c r="H46" s="7"/>
      <c r="I46" s="7"/>
      <c r="J46" s="7"/>
      <c r="K46" s="7"/>
      <c r="L46" s="122"/>
      <c r="M46" s="122"/>
      <c r="N46" s="122"/>
      <c r="O46" s="96"/>
      <c r="P46" s="7"/>
      <c r="Q46" s="93">
        <v>0.12407534152970985</v>
      </c>
      <c r="R46" s="93">
        <v>3.4024968152866215E-2</v>
      </c>
      <c r="S46" s="122"/>
      <c r="T46" s="7"/>
      <c r="U46" s="7"/>
      <c r="V46" s="122"/>
      <c r="W46" s="122"/>
      <c r="X46" s="122" t="s">
        <v>1518</v>
      </c>
      <c r="Y46" s="7"/>
      <c r="Z46" s="7">
        <v>2</v>
      </c>
      <c r="AA46" s="7">
        <v>2</v>
      </c>
      <c r="AB46" s="7">
        <v>2</v>
      </c>
      <c r="AC46" s="7">
        <v>2</v>
      </c>
      <c r="AD46" s="7">
        <v>2</v>
      </c>
      <c r="AE46" s="7">
        <v>2</v>
      </c>
      <c r="AF46" s="7">
        <v>2</v>
      </c>
      <c r="AG46" s="7">
        <v>2</v>
      </c>
      <c r="AH46" s="7">
        <v>2</v>
      </c>
      <c r="AI46" s="7">
        <v>2</v>
      </c>
      <c r="AJ46" s="7">
        <v>2</v>
      </c>
      <c r="AK46" s="7">
        <v>2</v>
      </c>
      <c r="AL46" s="16">
        <v>45295</v>
      </c>
      <c r="AM46" s="4"/>
      <c r="AN46" s="4" t="s">
        <v>816</v>
      </c>
      <c r="AO46" s="4"/>
      <c r="AP46" s="4"/>
      <c r="AQ46" s="4"/>
      <c r="AR46" s="11">
        <v>24</v>
      </c>
      <c r="AS46" s="11"/>
      <c r="AT46" s="11"/>
      <c r="AU46" s="11"/>
    </row>
    <row r="47" spans="1:47" ht="24.75" x14ac:dyDescent="0.25">
      <c r="A47" s="114" t="s">
        <v>353</v>
      </c>
      <c r="B47" s="6" t="s">
        <v>1077</v>
      </c>
      <c r="C47" s="8" t="s">
        <v>6</v>
      </c>
      <c r="D47" s="8" t="s">
        <v>1556</v>
      </c>
      <c r="E47" s="8"/>
      <c r="F47" s="8"/>
      <c r="G47" s="8"/>
      <c r="H47" s="7"/>
      <c r="I47" s="7"/>
      <c r="J47" s="7"/>
      <c r="K47" s="7"/>
      <c r="L47" s="122"/>
      <c r="M47" s="122"/>
      <c r="N47" s="122"/>
      <c r="O47" s="96" t="s">
        <v>352</v>
      </c>
      <c r="P47" s="7"/>
      <c r="Q47" s="93">
        <v>2.3310307349521551E-3</v>
      </c>
      <c r="R47" s="93">
        <v>4.1364424778761108E-2</v>
      </c>
      <c r="S47" s="122"/>
      <c r="T47" s="7"/>
      <c r="U47" s="7"/>
      <c r="V47" s="122"/>
      <c r="W47" s="122"/>
      <c r="X47" s="122" t="s">
        <v>1518</v>
      </c>
      <c r="Y47" s="7"/>
      <c r="Z47" s="7">
        <v>2</v>
      </c>
      <c r="AA47" s="7">
        <v>2</v>
      </c>
      <c r="AB47" s="7">
        <v>2</v>
      </c>
      <c r="AC47" s="7">
        <v>2</v>
      </c>
      <c r="AD47" s="7">
        <v>2</v>
      </c>
      <c r="AE47" s="7">
        <v>2</v>
      </c>
      <c r="AF47" s="7">
        <v>2</v>
      </c>
      <c r="AG47" s="7">
        <v>2</v>
      </c>
      <c r="AH47" s="7">
        <v>2</v>
      </c>
      <c r="AI47" s="7">
        <v>2</v>
      </c>
      <c r="AJ47" s="7">
        <v>2</v>
      </c>
      <c r="AK47" s="7">
        <v>2</v>
      </c>
      <c r="AL47" s="16">
        <v>45295</v>
      </c>
      <c r="AM47" s="4"/>
      <c r="AN47" s="4" t="s">
        <v>356</v>
      </c>
      <c r="AO47" s="4"/>
      <c r="AP47" s="4"/>
      <c r="AQ47" s="4"/>
      <c r="AR47" s="11">
        <v>30</v>
      </c>
      <c r="AS47" s="11"/>
      <c r="AT47" s="11"/>
      <c r="AU47" s="11"/>
    </row>
    <row r="48" spans="1:47" ht="24.75" x14ac:dyDescent="0.25">
      <c r="A48" s="114" t="s">
        <v>1111</v>
      </c>
      <c r="B48" s="6" t="s">
        <v>1112</v>
      </c>
      <c r="C48" s="8" t="s">
        <v>6</v>
      </c>
      <c r="D48" s="8" t="s">
        <v>29</v>
      </c>
      <c r="E48" s="8"/>
      <c r="F48" s="8"/>
      <c r="G48" s="8"/>
      <c r="H48" s="7"/>
      <c r="I48" s="7"/>
      <c r="J48" s="7"/>
      <c r="K48" s="7"/>
      <c r="L48" s="122"/>
      <c r="M48" s="122"/>
      <c r="N48" s="122"/>
      <c r="O48" s="96" t="s">
        <v>352</v>
      </c>
      <c r="P48" s="7"/>
      <c r="Q48" s="93">
        <v>3.8850512249202587E-3</v>
      </c>
      <c r="R48" s="93">
        <v>6.8940707964601847E-2</v>
      </c>
      <c r="S48" s="122"/>
      <c r="T48" s="7"/>
      <c r="U48" s="7"/>
      <c r="V48" s="122"/>
      <c r="W48" s="122"/>
      <c r="X48" s="122" t="s">
        <v>1518</v>
      </c>
      <c r="Y48" s="7"/>
      <c r="Z48" s="7">
        <v>2</v>
      </c>
      <c r="AA48" s="7">
        <v>2</v>
      </c>
      <c r="AB48" s="7">
        <v>2</v>
      </c>
      <c r="AC48" s="7">
        <v>2</v>
      </c>
      <c r="AD48" s="7">
        <v>2</v>
      </c>
      <c r="AE48" s="7">
        <v>2</v>
      </c>
      <c r="AF48" s="7">
        <v>2</v>
      </c>
      <c r="AG48" s="7">
        <v>2</v>
      </c>
      <c r="AH48" s="7">
        <v>2</v>
      </c>
      <c r="AI48" s="7">
        <v>2</v>
      </c>
      <c r="AJ48" s="7">
        <v>2</v>
      </c>
      <c r="AK48" s="7">
        <v>2</v>
      </c>
      <c r="AL48" s="16">
        <v>45295</v>
      </c>
      <c r="AM48" s="4"/>
      <c r="AN48" s="4" t="s">
        <v>356</v>
      </c>
      <c r="AO48" s="4"/>
      <c r="AP48" s="4"/>
      <c r="AQ48" s="4"/>
      <c r="AR48" s="11">
        <v>50</v>
      </c>
      <c r="AS48" s="11"/>
      <c r="AT48" s="11"/>
      <c r="AU48" s="11"/>
    </row>
    <row r="49" spans="1:47" ht="24.75" x14ac:dyDescent="0.25">
      <c r="A49" s="114" t="s">
        <v>1166</v>
      </c>
      <c r="B49" s="6" t="s">
        <v>1167</v>
      </c>
      <c r="C49" s="8" t="s">
        <v>6</v>
      </c>
      <c r="D49" s="8" t="s">
        <v>54</v>
      </c>
      <c r="E49" s="8"/>
      <c r="F49" s="8"/>
      <c r="G49" s="8"/>
      <c r="H49" s="7"/>
      <c r="I49" s="7"/>
      <c r="J49" s="7"/>
      <c r="K49" s="7"/>
      <c r="L49" s="122"/>
      <c r="M49" s="122"/>
      <c r="N49" s="122"/>
      <c r="O49" s="96" t="s">
        <v>352</v>
      </c>
      <c r="P49" s="7"/>
      <c r="Q49" s="93">
        <v>3.8850512249202587E-3</v>
      </c>
      <c r="R49" s="93">
        <v>6.8940707964601847E-2</v>
      </c>
      <c r="S49" s="122"/>
      <c r="T49" s="7"/>
      <c r="U49" s="7"/>
      <c r="V49" s="122"/>
      <c r="W49" s="122"/>
      <c r="X49" s="122" t="s">
        <v>1518</v>
      </c>
      <c r="Y49" s="7"/>
      <c r="Z49" s="7">
        <v>2</v>
      </c>
      <c r="AA49" s="7">
        <v>2</v>
      </c>
      <c r="AB49" s="7">
        <v>2</v>
      </c>
      <c r="AC49" s="7">
        <v>2</v>
      </c>
      <c r="AD49" s="7">
        <v>2</v>
      </c>
      <c r="AE49" s="7">
        <v>2</v>
      </c>
      <c r="AF49" s="7">
        <v>2</v>
      </c>
      <c r="AG49" s="7">
        <v>2</v>
      </c>
      <c r="AH49" s="7">
        <v>2</v>
      </c>
      <c r="AI49" s="7">
        <v>2</v>
      </c>
      <c r="AJ49" s="7">
        <v>2</v>
      </c>
      <c r="AK49" s="7">
        <v>2</v>
      </c>
      <c r="AL49" s="16">
        <v>45295</v>
      </c>
      <c r="AM49" s="4"/>
      <c r="AN49" s="4" t="s">
        <v>356</v>
      </c>
      <c r="AO49" s="4"/>
      <c r="AP49" s="4"/>
      <c r="AQ49" s="4"/>
      <c r="AR49" s="11">
        <v>50</v>
      </c>
      <c r="AS49" s="11"/>
      <c r="AT49" s="11"/>
      <c r="AU49" s="11"/>
    </row>
    <row r="50" spans="1:47" ht="15.75" x14ac:dyDescent="0.25">
      <c r="A50" s="112" t="s">
        <v>1602</v>
      </c>
      <c r="B50" s="6" t="s">
        <v>1603</v>
      </c>
      <c r="C50" s="8" t="s">
        <v>6</v>
      </c>
      <c r="D50" s="8" t="s">
        <v>17</v>
      </c>
      <c r="E50" s="8"/>
      <c r="F50" s="8"/>
      <c r="G50" s="8"/>
      <c r="H50" s="7"/>
      <c r="I50" s="7"/>
      <c r="J50" s="7"/>
      <c r="K50" s="7"/>
      <c r="L50" s="122"/>
      <c r="M50" s="122"/>
      <c r="N50" s="122"/>
      <c r="O50" s="96"/>
      <c r="P50" s="7"/>
      <c r="Q50" s="93">
        <v>0.12407534152970985</v>
      </c>
      <c r="R50" s="93">
        <v>3.4024968152866215E-2</v>
      </c>
      <c r="S50" s="122"/>
      <c r="T50" s="7"/>
      <c r="U50" s="7"/>
      <c r="V50" s="122"/>
      <c r="W50" s="122"/>
      <c r="X50" s="122" t="s">
        <v>1518</v>
      </c>
      <c r="Y50" s="7"/>
      <c r="Z50" s="7">
        <v>2</v>
      </c>
      <c r="AA50" s="7">
        <v>2</v>
      </c>
      <c r="AB50" s="7">
        <v>2</v>
      </c>
      <c r="AC50" s="7">
        <v>2</v>
      </c>
      <c r="AD50" s="7">
        <v>2</v>
      </c>
      <c r="AE50" s="7">
        <v>2</v>
      </c>
      <c r="AF50" s="7">
        <v>2</v>
      </c>
      <c r="AG50" s="7">
        <v>2</v>
      </c>
      <c r="AH50" s="7">
        <v>2</v>
      </c>
      <c r="AI50" s="7">
        <v>2</v>
      </c>
      <c r="AJ50" s="7">
        <v>2</v>
      </c>
      <c r="AK50" s="7">
        <v>2</v>
      </c>
      <c r="AL50" s="16">
        <v>45295</v>
      </c>
      <c r="AM50" s="4"/>
      <c r="AN50" s="4" t="s">
        <v>816</v>
      </c>
      <c r="AO50" s="4"/>
      <c r="AP50" s="4"/>
      <c r="AQ50" s="4"/>
      <c r="AR50" s="11">
        <v>24</v>
      </c>
      <c r="AS50" s="11"/>
      <c r="AT50" s="11"/>
      <c r="AU50" s="11"/>
    </row>
    <row r="51" spans="1:47" ht="24.75" x14ac:dyDescent="0.25">
      <c r="A51" s="114" t="s">
        <v>1558</v>
      </c>
      <c r="B51" s="6" t="s">
        <v>1368</v>
      </c>
      <c r="C51" s="8" t="s">
        <v>6</v>
      </c>
      <c r="D51" s="8" t="s">
        <v>26</v>
      </c>
      <c r="E51" s="8"/>
      <c r="F51" s="8"/>
      <c r="G51" s="8"/>
      <c r="H51" s="7"/>
      <c r="I51" s="7"/>
      <c r="J51" s="7"/>
      <c r="K51" s="7"/>
      <c r="L51" s="122"/>
      <c r="M51" s="122"/>
      <c r="N51" s="122"/>
      <c r="O51" s="96" t="s">
        <v>352</v>
      </c>
      <c r="P51" s="7"/>
      <c r="Q51" s="93">
        <v>9.9901317212235216E-4</v>
      </c>
      <c r="R51" s="93">
        <v>1.7727610619469047E-2</v>
      </c>
      <c r="S51" s="122"/>
      <c r="T51" s="7"/>
      <c r="U51" s="7"/>
      <c r="V51" s="122"/>
      <c r="W51" s="122"/>
      <c r="X51" s="122" t="s">
        <v>1518</v>
      </c>
      <c r="Y51" s="7"/>
      <c r="Z51" s="7">
        <v>2</v>
      </c>
      <c r="AA51" s="7">
        <v>2</v>
      </c>
      <c r="AB51" s="7">
        <v>2</v>
      </c>
      <c r="AC51" s="7">
        <v>2</v>
      </c>
      <c r="AD51" s="7">
        <v>2</v>
      </c>
      <c r="AE51" s="7">
        <v>2</v>
      </c>
      <c r="AF51" s="7">
        <v>2</v>
      </c>
      <c r="AG51" s="7">
        <v>2</v>
      </c>
      <c r="AH51" s="7">
        <v>2</v>
      </c>
      <c r="AI51" s="7">
        <v>2</v>
      </c>
      <c r="AJ51" s="7">
        <v>2</v>
      </c>
      <c r="AK51" s="7">
        <v>2</v>
      </c>
      <c r="AL51" s="16">
        <v>45295</v>
      </c>
      <c r="AM51" s="4"/>
      <c r="AN51" s="4" t="s">
        <v>356</v>
      </c>
      <c r="AO51" s="4"/>
      <c r="AP51" s="4"/>
      <c r="AQ51" s="4"/>
      <c r="AR51" s="11">
        <v>30</v>
      </c>
      <c r="AS51" s="11"/>
      <c r="AT51" s="11"/>
      <c r="AU51" s="11"/>
    </row>
    <row r="52" spans="1:47" ht="24.75" x14ac:dyDescent="0.25">
      <c r="A52" s="112" t="s">
        <v>354</v>
      </c>
      <c r="B52" s="6" t="s">
        <v>1255</v>
      </c>
      <c r="C52" s="8" t="s">
        <v>6</v>
      </c>
      <c r="D52" s="8" t="s">
        <v>29</v>
      </c>
      <c r="E52" s="8"/>
      <c r="F52" s="8"/>
      <c r="G52" s="8"/>
      <c r="H52" s="7"/>
      <c r="I52" s="7"/>
      <c r="J52" s="7"/>
      <c r="K52" s="7"/>
      <c r="L52" s="122"/>
      <c r="M52" s="122"/>
      <c r="N52" s="122"/>
      <c r="O52" s="96" t="s">
        <v>352</v>
      </c>
      <c r="P52" s="7"/>
      <c r="Q52" s="93">
        <v>3.8850512249202587E-3</v>
      </c>
      <c r="R52" s="93">
        <v>6.8940707964601847E-2</v>
      </c>
      <c r="S52" s="122"/>
      <c r="T52" s="7"/>
      <c r="U52" s="7"/>
      <c r="V52" s="122"/>
      <c r="W52" s="122"/>
      <c r="X52" s="122" t="s">
        <v>1518</v>
      </c>
      <c r="Y52" s="7"/>
      <c r="Z52" s="7">
        <v>2</v>
      </c>
      <c r="AA52" s="7">
        <v>2</v>
      </c>
      <c r="AB52" s="7">
        <v>2</v>
      </c>
      <c r="AC52" s="7">
        <v>2</v>
      </c>
      <c r="AD52" s="7">
        <v>2</v>
      </c>
      <c r="AE52" s="7">
        <v>2</v>
      </c>
      <c r="AF52" s="7">
        <v>2</v>
      </c>
      <c r="AG52" s="7">
        <v>2</v>
      </c>
      <c r="AH52" s="7">
        <v>2</v>
      </c>
      <c r="AI52" s="7">
        <v>2</v>
      </c>
      <c r="AJ52" s="7">
        <v>2</v>
      </c>
      <c r="AK52" s="7">
        <v>2</v>
      </c>
      <c r="AL52" s="16">
        <v>45295</v>
      </c>
      <c r="AM52" s="4"/>
      <c r="AN52" s="4" t="s">
        <v>356</v>
      </c>
      <c r="AO52" s="4"/>
      <c r="AP52" s="4"/>
      <c r="AQ52" s="4"/>
      <c r="AR52" s="11">
        <v>50</v>
      </c>
      <c r="AS52" s="11"/>
      <c r="AT52" s="11"/>
      <c r="AU52" s="11"/>
    </row>
    <row r="53" spans="1:47" ht="24.75" x14ac:dyDescent="0.25">
      <c r="A53" s="112" t="s">
        <v>1524</v>
      </c>
      <c r="B53" s="6" t="s">
        <v>1285</v>
      </c>
      <c r="C53" s="8" t="s">
        <v>6</v>
      </c>
      <c r="D53" s="9" t="s">
        <v>17</v>
      </c>
      <c r="E53" s="8"/>
      <c r="F53" s="8"/>
      <c r="G53" s="8"/>
      <c r="H53" s="7"/>
      <c r="I53" s="7"/>
      <c r="J53" s="7"/>
      <c r="K53" s="7"/>
      <c r="L53" s="122"/>
      <c r="M53" s="122"/>
      <c r="N53" s="122"/>
      <c r="O53" s="96" t="s">
        <v>352</v>
      </c>
      <c r="P53" s="7"/>
      <c r="Q53" s="93">
        <v>2.2200292713830051E-3</v>
      </c>
      <c r="R53" s="93">
        <v>3.9394690265486768E-2</v>
      </c>
      <c r="S53" s="122"/>
      <c r="T53" s="7"/>
      <c r="U53" s="7"/>
      <c r="V53" s="122"/>
      <c r="W53" s="122"/>
      <c r="X53" s="122" t="s">
        <v>1518</v>
      </c>
      <c r="Y53" s="7"/>
      <c r="Z53" s="7">
        <v>2</v>
      </c>
      <c r="AA53" s="7">
        <v>2</v>
      </c>
      <c r="AB53" s="7">
        <v>2</v>
      </c>
      <c r="AC53" s="7">
        <v>2</v>
      </c>
      <c r="AD53" s="7">
        <v>2</v>
      </c>
      <c r="AE53" s="7">
        <v>2</v>
      </c>
      <c r="AF53" s="7">
        <v>2</v>
      </c>
      <c r="AG53" s="7">
        <v>2</v>
      </c>
      <c r="AH53" s="7">
        <v>2</v>
      </c>
      <c r="AI53" s="7">
        <v>2</v>
      </c>
      <c r="AJ53" s="7">
        <v>2</v>
      </c>
      <c r="AK53" s="7">
        <v>2</v>
      </c>
      <c r="AL53" s="16">
        <v>45295</v>
      </c>
      <c r="AM53" s="4"/>
      <c r="AN53" s="4" t="s">
        <v>356</v>
      </c>
      <c r="AO53" s="4"/>
      <c r="AP53" s="4"/>
      <c r="AQ53" s="4"/>
      <c r="AR53" s="11">
        <v>40</v>
      </c>
      <c r="AS53" s="11"/>
      <c r="AT53" s="11"/>
      <c r="AU53" s="11"/>
    </row>
    <row r="54" spans="1:47" ht="24.75" x14ac:dyDescent="0.25">
      <c r="A54" s="112" t="s">
        <v>1286</v>
      </c>
      <c r="B54" s="6" t="s">
        <v>1287</v>
      </c>
      <c r="C54" s="8" t="s">
        <v>6</v>
      </c>
      <c r="D54" s="8" t="s">
        <v>21</v>
      </c>
      <c r="E54" s="8"/>
      <c r="F54" s="8"/>
      <c r="G54" s="8"/>
      <c r="H54" s="7"/>
      <c r="I54" s="7"/>
      <c r="J54" s="7"/>
      <c r="K54" s="7"/>
      <c r="L54" s="122"/>
      <c r="M54" s="122"/>
      <c r="N54" s="122"/>
      <c r="O54" s="96" t="s">
        <v>352</v>
      </c>
      <c r="P54" s="7"/>
      <c r="Q54" s="93">
        <v>3.8850512249202587E-3</v>
      </c>
      <c r="R54" s="93">
        <v>6.8940707964601847E-2</v>
      </c>
      <c r="S54" s="122"/>
      <c r="T54" s="7"/>
      <c r="U54" s="7"/>
      <c r="V54" s="122"/>
      <c r="W54" s="122"/>
      <c r="X54" s="122" t="s">
        <v>1518</v>
      </c>
      <c r="Y54" s="7"/>
      <c r="Z54" s="7">
        <v>2</v>
      </c>
      <c r="AA54" s="7">
        <v>2</v>
      </c>
      <c r="AB54" s="7">
        <v>2</v>
      </c>
      <c r="AC54" s="7">
        <v>2</v>
      </c>
      <c r="AD54" s="7">
        <v>2</v>
      </c>
      <c r="AE54" s="7">
        <v>2</v>
      </c>
      <c r="AF54" s="7">
        <v>2</v>
      </c>
      <c r="AG54" s="7">
        <v>2</v>
      </c>
      <c r="AH54" s="7">
        <v>2</v>
      </c>
      <c r="AI54" s="7">
        <v>2</v>
      </c>
      <c r="AJ54" s="7">
        <v>2</v>
      </c>
      <c r="AK54" s="7">
        <v>2</v>
      </c>
      <c r="AL54" s="16">
        <v>45295</v>
      </c>
      <c r="AM54" s="4"/>
      <c r="AN54" s="4" t="s">
        <v>356</v>
      </c>
      <c r="AO54" s="4"/>
      <c r="AP54" s="4"/>
      <c r="AQ54" s="4"/>
      <c r="AR54" s="11">
        <v>50</v>
      </c>
      <c r="AS54" s="11"/>
      <c r="AT54" s="11"/>
      <c r="AU54" s="11"/>
    </row>
    <row r="55" spans="1:47" ht="24.75" x14ac:dyDescent="0.25">
      <c r="A55" s="114" t="s">
        <v>1557</v>
      </c>
      <c r="B55" s="6" t="s">
        <v>1369</v>
      </c>
      <c r="C55" s="8" t="s">
        <v>6</v>
      </c>
      <c r="D55" s="8" t="s">
        <v>64</v>
      </c>
      <c r="E55" s="8"/>
      <c r="F55" s="8"/>
      <c r="G55" s="8"/>
      <c r="H55" s="7"/>
      <c r="I55" s="7"/>
      <c r="J55" s="7"/>
      <c r="K55" s="7"/>
      <c r="L55" s="122"/>
      <c r="M55" s="122"/>
      <c r="N55" s="122"/>
      <c r="O55" s="96" t="s">
        <v>352</v>
      </c>
      <c r="P55" s="7"/>
      <c r="Q55" s="93">
        <v>3.8850512249202587E-3</v>
      </c>
      <c r="R55" s="93">
        <v>6.8940707964601847E-2</v>
      </c>
      <c r="S55" s="122"/>
      <c r="T55" s="7"/>
      <c r="U55" s="7"/>
      <c r="V55" s="122"/>
      <c r="W55" s="122"/>
      <c r="X55" s="122" t="s">
        <v>1518</v>
      </c>
      <c r="Y55" s="7"/>
      <c r="Z55" s="7">
        <v>2</v>
      </c>
      <c r="AA55" s="7">
        <v>2</v>
      </c>
      <c r="AB55" s="7">
        <v>2</v>
      </c>
      <c r="AC55" s="7">
        <v>2</v>
      </c>
      <c r="AD55" s="7">
        <v>2</v>
      </c>
      <c r="AE55" s="7">
        <v>2</v>
      </c>
      <c r="AF55" s="7">
        <v>2</v>
      </c>
      <c r="AG55" s="7">
        <v>2</v>
      </c>
      <c r="AH55" s="7">
        <v>2</v>
      </c>
      <c r="AI55" s="7">
        <v>2</v>
      </c>
      <c r="AJ55" s="7">
        <v>2</v>
      </c>
      <c r="AK55" s="7">
        <v>2</v>
      </c>
      <c r="AL55" s="16">
        <v>45295</v>
      </c>
      <c r="AM55" s="4"/>
      <c r="AN55" s="4" t="s">
        <v>356</v>
      </c>
      <c r="AO55" s="4"/>
      <c r="AP55" s="4"/>
      <c r="AQ55" s="4"/>
      <c r="AR55" s="11">
        <v>50</v>
      </c>
      <c r="AS55" s="11"/>
      <c r="AT55" s="11"/>
      <c r="AU55" s="11"/>
    </row>
    <row r="56" spans="1:47" ht="15.75" x14ac:dyDescent="0.25">
      <c r="A56" s="112" t="s">
        <v>355</v>
      </c>
      <c r="B56" s="6" t="s">
        <v>1380</v>
      </c>
      <c r="C56" s="8" t="s">
        <v>6</v>
      </c>
      <c r="D56" s="8" t="s">
        <v>24</v>
      </c>
      <c r="E56" s="8"/>
      <c r="F56" s="8"/>
      <c r="G56" s="8"/>
      <c r="H56" s="7"/>
      <c r="I56" s="7"/>
      <c r="J56" s="7"/>
      <c r="K56" s="7"/>
      <c r="L56" s="122"/>
      <c r="M56" s="122"/>
      <c r="N56" s="122"/>
      <c r="O56" s="96"/>
      <c r="P56" s="7"/>
      <c r="Q56" s="93">
        <v>0.12407534152970985</v>
      </c>
      <c r="R56" s="93">
        <v>3.4024968152866215E-2</v>
      </c>
      <c r="S56" s="122"/>
      <c r="T56" s="7"/>
      <c r="U56" s="7"/>
      <c r="V56" s="122"/>
      <c r="W56" s="122"/>
      <c r="X56" s="122" t="s">
        <v>1518</v>
      </c>
      <c r="Y56" s="7"/>
      <c r="Z56" s="7">
        <v>2</v>
      </c>
      <c r="AA56" s="7">
        <v>2</v>
      </c>
      <c r="AB56" s="7">
        <v>2</v>
      </c>
      <c r="AC56" s="7">
        <v>2</v>
      </c>
      <c r="AD56" s="7">
        <v>2</v>
      </c>
      <c r="AE56" s="7">
        <v>2</v>
      </c>
      <c r="AF56" s="7">
        <v>2</v>
      </c>
      <c r="AG56" s="7">
        <v>2</v>
      </c>
      <c r="AH56" s="7">
        <v>2</v>
      </c>
      <c r="AI56" s="7">
        <v>2</v>
      </c>
      <c r="AJ56" s="7">
        <v>2</v>
      </c>
      <c r="AK56" s="7">
        <v>2</v>
      </c>
      <c r="AL56" s="16">
        <v>45295</v>
      </c>
      <c r="AM56" s="4"/>
      <c r="AN56" s="4" t="s">
        <v>816</v>
      </c>
      <c r="AO56" s="4"/>
      <c r="AP56" s="4"/>
      <c r="AQ56" s="4"/>
      <c r="AR56" s="11">
        <v>24</v>
      </c>
      <c r="AS56" s="11"/>
      <c r="AT56" s="11"/>
      <c r="AU56" s="11"/>
    </row>
    <row r="57" spans="1:47" ht="24.75" x14ac:dyDescent="0.25">
      <c r="A57" s="112" t="s">
        <v>357</v>
      </c>
      <c r="B57" s="6" t="s">
        <v>1393</v>
      </c>
      <c r="C57" s="8" t="s">
        <v>6</v>
      </c>
      <c r="D57" s="8" t="s">
        <v>26</v>
      </c>
      <c r="E57" s="8"/>
      <c r="F57" s="8"/>
      <c r="G57" s="8"/>
      <c r="H57" s="7"/>
      <c r="I57" s="7"/>
      <c r="J57" s="7"/>
      <c r="K57" s="7"/>
      <c r="L57" s="122"/>
      <c r="M57" s="122"/>
      <c r="N57" s="122"/>
      <c r="O57" s="96" t="s">
        <v>352</v>
      </c>
      <c r="P57" s="7"/>
      <c r="Q57" s="93">
        <v>2.2200292713830051E-3</v>
      </c>
      <c r="R57" s="93">
        <v>3.9394690265486768E-2</v>
      </c>
      <c r="S57" s="122"/>
      <c r="T57" s="7"/>
      <c r="U57" s="7"/>
      <c r="V57" s="122"/>
      <c r="W57" s="122"/>
      <c r="X57" s="122" t="s">
        <v>1518</v>
      </c>
      <c r="Y57" s="7"/>
      <c r="Z57" s="7">
        <v>2</v>
      </c>
      <c r="AA57" s="7">
        <v>2</v>
      </c>
      <c r="AB57" s="7">
        <v>2</v>
      </c>
      <c r="AC57" s="7">
        <v>2</v>
      </c>
      <c r="AD57" s="7">
        <v>2</v>
      </c>
      <c r="AE57" s="7">
        <v>2</v>
      </c>
      <c r="AF57" s="7">
        <v>2</v>
      </c>
      <c r="AG57" s="7">
        <v>2</v>
      </c>
      <c r="AH57" s="7">
        <v>2</v>
      </c>
      <c r="AI57" s="7">
        <v>2</v>
      </c>
      <c r="AJ57" s="7"/>
      <c r="AK57" s="7"/>
      <c r="AL57" s="16">
        <v>45295</v>
      </c>
      <c r="AM57" s="4"/>
      <c r="AN57" s="11" t="s">
        <v>356</v>
      </c>
      <c r="AO57" s="11"/>
      <c r="AP57" s="4"/>
      <c r="AQ57" s="4"/>
      <c r="AR57" s="11">
        <v>40</v>
      </c>
      <c r="AS57" s="11"/>
      <c r="AT57" s="11"/>
      <c r="AU57" s="11"/>
    </row>
    <row r="58" spans="1:47" ht="15.75" x14ac:dyDescent="0.25">
      <c r="A58" s="114" t="s">
        <v>358</v>
      </c>
      <c r="B58" s="6" t="s">
        <v>1054</v>
      </c>
      <c r="C58" s="8" t="s">
        <v>7</v>
      </c>
      <c r="D58" s="8" t="s">
        <v>359</v>
      </c>
      <c r="E58" s="9"/>
      <c r="F58" s="9"/>
      <c r="G58" s="9"/>
      <c r="H58" s="7">
        <v>100</v>
      </c>
      <c r="I58" s="7"/>
      <c r="J58" s="7"/>
      <c r="K58" s="7" t="s">
        <v>14</v>
      </c>
      <c r="L58" s="122"/>
      <c r="M58" s="122"/>
      <c r="N58" s="122"/>
      <c r="O58" s="96"/>
      <c r="P58" s="7"/>
      <c r="Q58" s="93">
        <v>71.406269875392482</v>
      </c>
      <c r="R58" s="93">
        <v>14.715011111111066</v>
      </c>
      <c r="S58" s="122" t="s">
        <v>1518</v>
      </c>
      <c r="T58" s="7">
        <v>1</v>
      </c>
      <c r="U58" s="7"/>
      <c r="V58" s="122" t="s">
        <v>1518</v>
      </c>
      <c r="W58" s="122"/>
      <c r="X58" s="122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>
        <v>1</v>
      </c>
      <c r="AK58" s="12"/>
      <c r="AL58" s="16">
        <v>45295</v>
      </c>
      <c r="AM58" s="5"/>
      <c r="AN58" s="6" t="s">
        <v>987</v>
      </c>
      <c r="AO58" s="4"/>
      <c r="AP58" s="4"/>
      <c r="AQ58" s="4"/>
      <c r="AR58" s="11">
        <v>686</v>
      </c>
      <c r="AS58" s="11"/>
      <c r="AT58" s="11"/>
      <c r="AU58" s="11"/>
    </row>
    <row r="59" spans="1:47" ht="15.75" x14ac:dyDescent="0.25">
      <c r="A59" s="92" t="s">
        <v>360</v>
      </c>
      <c r="B59" s="6" t="s">
        <v>1110</v>
      </c>
      <c r="C59" s="7" t="s">
        <v>7</v>
      </c>
      <c r="D59" s="9"/>
      <c r="E59" s="137" t="s">
        <v>1555</v>
      </c>
      <c r="F59" s="7"/>
      <c r="G59" s="7"/>
      <c r="H59" s="7"/>
      <c r="I59" s="7"/>
      <c r="J59" s="7"/>
      <c r="K59" s="7"/>
      <c r="L59" s="122"/>
      <c r="M59" s="122"/>
      <c r="N59" s="122"/>
      <c r="O59" s="96"/>
      <c r="P59" s="7"/>
      <c r="Q59" s="93">
        <v>1.7157880588940693E-3</v>
      </c>
      <c r="R59" s="93">
        <v>2.5154589041095927</v>
      </c>
      <c r="S59" s="122" t="s">
        <v>1518</v>
      </c>
      <c r="T59" s="7"/>
      <c r="U59" s="7"/>
      <c r="V59" s="122" t="s">
        <v>1518</v>
      </c>
      <c r="W59" s="122"/>
      <c r="X59" s="122"/>
      <c r="Y59" s="7"/>
      <c r="Z59" s="7">
        <v>1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6">
        <v>45295</v>
      </c>
      <c r="AM59" s="4"/>
      <c r="AN59" s="6" t="s">
        <v>1019</v>
      </c>
      <c r="AO59" s="4"/>
      <c r="AP59" s="4"/>
      <c r="AQ59" s="4"/>
      <c r="AR59" s="11">
        <v>660</v>
      </c>
      <c r="AS59" s="11"/>
      <c r="AT59" s="11"/>
      <c r="AU59" s="11"/>
    </row>
    <row r="60" spans="1:47" ht="15.75" x14ac:dyDescent="0.25">
      <c r="A60" s="112" t="s">
        <v>39</v>
      </c>
      <c r="B60" s="6" t="s">
        <v>1114</v>
      </c>
      <c r="C60" s="8" t="s">
        <v>7</v>
      </c>
      <c r="D60" s="7" t="s">
        <v>19</v>
      </c>
      <c r="E60" s="8">
        <v>3</v>
      </c>
      <c r="F60" s="138" t="s">
        <v>1555</v>
      </c>
      <c r="G60" s="8"/>
      <c r="H60" s="7">
        <v>6</v>
      </c>
      <c r="I60" s="7"/>
      <c r="J60" s="7"/>
      <c r="K60" s="7" t="s">
        <v>14</v>
      </c>
      <c r="L60" s="122"/>
      <c r="M60" s="122"/>
      <c r="N60" s="122"/>
      <c r="O60" s="96"/>
      <c r="P60" s="15">
        <v>0.3</v>
      </c>
      <c r="Q60" s="93">
        <v>1.3624985519119124</v>
      </c>
      <c r="R60" s="93">
        <v>3.7746449044585964</v>
      </c>
      <c r="S60" s="122" t="s">
        <v>1518</v>
      </c>
      <c r="T60" s="7"/>
      <c r="U60" s="7"/>
      <c r="V60" s="122" t="s">
        <v>1518</v>
      </c>
      <c r="W60" s="122"/>
      <c r="X60" s="122"/>
      <c r="Y60" s="7"/>
      <c r="Z60" s="12"/>
      <c r="AA60" s="12"/>
      <c r="AB60" s="12"/>
      <c r="AC60" s="12"/>
      <c r="AD60" s="12">
        <v>1</v>
      </c>
      <c r="AE60" s="12"/>
      <c r="AF60" s="12"/>
      <c r="AG60" s="12"/>
      <c r="AH60" s="12"/>
      <c r="AI60" s="12"/>
      <c r="AJ60" s="12"/>
      <c r="AK60" s="7"/>
      <c r="AL60" s="16">
        <v>45295</v>
      </c>
      <c r="AM60" s="4"/>
      <c r="AN60" s="6" t="s">
        <v>1020</v>
      </c>
      <c r="AO60" s="6" t="s">
        <v>1021</v>
      </c>
      <c r="AP60" s="4"/>
      <c r="AQ60" s="4"/>
      <c r="AR60" s="11">
        <v>210</v>
      </c>
      <c r="AS60" s="11">
        <v>30</v>
      </c>
      <c r="AT60" s="11"/>
      <c r="AU60" s="11"/>
    </row>
    <row r="61" spans="1:47" ht="15.75" x14ac:dyDescent="0.25">
      <c r="A61" s="92" t="s">
        <v>361</v>
      </c>
      <c r="B61" s="6" t="s">
        <v>1116</v>
      </c>
      <c r="C61" s="7" t="s">
        <v>7</v>
      </c>
      <c r="D61" s="8" t="s">
        <v>54</v>
      </c>
      <c r="E61" s="137" t="s">
        <v>1555</v>
      </c>
      <c r="F61" s="7"/>
      <c r="G61" s="7"/>
      <c r="H61" s="7"/>
      <c r="I61" s="7"/>
      <c r="J61" s="7"/>
      <c r="K61" s="7"/>
      <c r="L61" s="122"/>
      <c r="M61" s="122"/>
      <c r="N61" s="122"/>
      <c r="O61" s="96"/>
      <c r="P61" s="7"/>
      <c r="Q61" s="93">
        <v>2.3621203138225504E-2</v>
      </c>
      <c r="R61" s="93">
        <v>0.1706446666666665</v>
      </c>
      <c r="S61" s="122"/>
      <c r="T61" s="7"/>
      <c r="U61" s="7"/>
      <c r="V61" s="122"/>
      <c r="W61" s="122"/>
      <c r="X61" s="122" t="s">
        <v>1518</v>
      </c>
      <c r="Y61" s="7"/>
      <c r="Z61" s="7">
        <v>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16">
        <v>45295</v>
      </c>
      <c r="AM61" s="4"/>
      <c r="AN61" s="11" t="s">
        <v>362</v>
      </c>
      <c r="AO61" s="4"/>
      <c r="AP61" s="4"/>
      <c r="AQ61" s="4"/>
      <c r="AR61" s="11">
        <v>460</v>
      </c>
      <c r="AS61" s="11"/>
      <c r="AT61" s="11"/>
      <c r="AU61" s="11"/>
    </row>
    <row r="62" spans="1:47" ht="15.75" x14ac:dyDescent="0.25">
      <c r="A62" s="92" t="s">
        <v>363</v>
      </c>
      <c r="B62" s="6" t="s">
        <v>1135</v>
      </c>
      <c r="C62" s="7" t="s">
        <v>7</v>
      </c>
      <c r="D62" s="9" t="s">
        <v>26</v>
      </c>
      <c r="E62" s="137" t="s">
        <v>1555</v>
      </c>
      <c r="F62" s="7"/>
      <c r="G62" s="7"/>
      <c r="H62" s="7"/>
      <c r="I62" s="7"/>
      <c r="J62" s="7"/>
      <c r="K62" s="7"/>
      <c r="L62" s="122"/>
      <c r="M62" s="122"/>
      <c r="N62" s="122"/>
      <c r="O62" s="96"/>
      <c r="P62" s="7"/>
      <c r="Q62" s="93">
        <v>1.8332107652927185E-2</v>
      </c>
      <c r="R62" s="93">
        <v>0.13243509999999986</v>
      </c>
      <c r="S62" s="122"/>
      <c r="T62" s="7"/>
      <c r="U62" s="7"/>
      <c r="V62" s="122"/>
      <c r="W62" s="122"/>
      <c r="X62" s="122" t="s">
        <v>1518</v>
      </c>
      <c r="Y62" s="7"/>
      <c r="Z62" s="7">
        <v>1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16">
        <v>45295</v>
      </c>
      <c r="AM62" s="4"/>
      <c r="AN62" s="11" t="s">
        <v>362</v>
      </c>
      <c r="AO62" s="4"/>
      <c r="AP62" s="4"/>
      <c r="AQ62" s="4"/>
      <c r="AR62" s="11">
        <v>357</v>
      </c>
      <c r="AS62" s="11"/>
      <c r="AT62" s="11"/>
      <c r="AU62" s="11"/>
    </row>
    <row r="63" spans="1:47" ht="15.75" x14ac:dyDescent="0.25">
      <c r="A63" s="92" t="s">
        <v>364</v>
      </c>
      <c r="B63" s="6" t="s">
        <v>1142</v>
      </c>
      <c r="C63" s="7" t="s">
        <v>7</v>
      </c>
      <c r="D63" s="8" t="s">
        <v>17</v>
      </c>
      <c r="E63" s="137" t="s">
        <v>1555</v>
      </c>
      <c r="F63" s="7"/>
      <c r="G63" s="7"/>
      <c r="H63" s="7"/>
      <c r="I63" s="7"/>
      <c r="J63" s="7"/>
      <c r="K63" s="7"/>
      <c r="L63" s="122"/>
      <c r="M63" s="122"/>
      <c r="N63" s="122"/>
      <c r="O63" s="96"/>
      <c r="P63" s="7"/>
      <c r="Q63" s="93">
        <v>1.2478458610138685E-3</v>
      </c>
      <c r="R63" s="93">
        <v>1.8294246575342492</v>
      </c>
      <c r="S63" s="122"/>
      <c r="T63" s="7"/>
      <c r="U63" s="7"/>
      <c r="V63" s="122" t="s">
        <v>1518</v>
      </c>
      <c r="W63" s="122"/>
      <c r="X63" s="122"/>
      <c r="Y63" s="7"/>
      <c r="Z63" s="7">
        <v>1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16">
        <v>45295</v>
      </c>
      <c r="AM63" s="4"/>
      <c r="AN63" s="6" t="s">
        <v>1019</v>
      </c>
      <c r="AO63" s="4"/>
      <c r="AP63" s="4"/>
      <c r="AQ63" s="4"/>
      <c r="AR63" s="11">
        <v>480</v>
      </c>
      <c r="AS63" s="11"/>
      <c r="AT63" s="11"/>
      <c r="AU63" s="11"/>
    </row>
    <row r="64" spans="1:47" ht="15.75" x14ac:dyDescent="0.25">
      <c r="A64" s="92" t="s">
        <v>365</v>
      </c>
      <c r="B64" s="6" t="s">
        <v>1667</v>
      </c>
      <c r="C64" s="7" t="s">
        <v>7</v>
      </c>
      <c r="D64" s="9" t="s">
        <v>26</v>
      </c>
      <c r="E64" s="137" t="s">
        <v>1555</v>
      </c>
      <c r="F64" s="7"/>
      <c r="G64" s="7"/>
      <c r="H64" s="7"/>
      <c r="I64" s="7"/>
      <c r="J64" s="7"/>
      <c r="K64" s="7"/>
      <c r="L64" s="122"/>
      <c r="M64" s="122"/>
      <c r="N64" s="122"/>
      <c r="O64" s="96"/>
      <c r="P64" s="7"/>
      <c r="Q64" s="93">
        <v>1.7157880588940693E-3</v>
      </c>
      <c r="R64" s="93">
        <v>2.5154589041095927</v>
      </c>
      <c r="S64" s="122" t="s">
        <v>1518</v>
      </c>
      <c r="T64" s="7"/>
      <c r="U64" s="7"/>
      <c r="V64" s="122" t="s">
        <v>1518</v>
      </c>
      <c r="W64" s="122"/>
      <c r="X64" s="122"/>
      <c r="Y64" s="7"/>
      <c r="Z64" s="7">
        <v>1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16">
        <v>45295</v>
      </c>
      <c r="AM64" s="4"/>
      <c r="AN64" s="6" t="s">
        <v>1019</v>
      </c>
      <c r="AO64" s="255"/>
      <c r="AP64" s="4"/>
      <c r="AQ64" s="4"/>
      <c r="AR64" s="11">
        <v>660</v>
      </c>
      <c r="AS64" s="11"/>
      <c r="AT64" s="11"/>
      <c r="AU64" s="11"/>
    </row>
    <row r="65" spans="1:47" ht="15.75" x14ac:dyDescent="0.25">
      <c r="A65" s="92" t="s">
        <v>1179</v>
      </c>
      <c r="B65" s="6" t="s">
        <v>1180</v>
      </c>
      <c r="C65" s="7" t="s">
        <v>7</v>
      </c>
      <c r="D65" s="7" t="s">
        <v>366</v>
      </c>
      <c r="E65" s="137" t="s">
        <v>1555</v>
      </c>
      <c r="F65" s="7"/>
      <c r="G65" s="7"/>
      <c r="H65" s="7"/>
      <c r="I65" s="7"/>
      <c r="J65" s="7"/>
      <c r="K65" s="7"/>
      <c r="L65" s="122"/>
      <c r="M65" s="122"/>
      <c r="N65" s="122"/>
      <c r="O65" s="96"/>
      <c r="P65" s="7"/>
      <c r="Q65" s="93">
        <v>1.2478458610138685E-3</v>
      </c>
      <c r="R65" s="93">
        <v>1.8294246575342492</v>
      </c>
      <c r="S65" s="122"/>
      <c r="T65" s="7"/>
      <c r="U65" s="7"/>
      <c r="V65" s="122" t="s">
        <v>1518</v>
      </c>
      <c r="W65" s="122"/>
      <c r="X65" s="122"/>
      <c r="Y65" s="7"/>
      <c r="Z65" s="7">
        <v>1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16">
        <v>45295</v>
      </c>
      <c r="AM65" s="4"/>
      <c r="AN65" s="6" t="s">
        <v>1019</v>
      </c>
      <c r="AO65" s="11"/>
      <c r="AP65" s="4"/>
      <c r="AQ65" s="4"/>
      <c r="AR65" s="11">
        <v>480</v>
      </c>
      <c r="AS65" s="11"/>
      <c r="AT65" s="11"/>
      <c r="AU65" s="11"/>
    </row>
    <row r="66" spans="1:47" ht="15.75" x14ac:dyDescent="0.25">
      <c r="A66" s="92" t="s">
        <v>367</v>
      </c>
      <c r="B66" s="6" t="s">
        <v>1187</v>
      </c>
      <c r="C66" s="7" t="s">
        <v>7</v>
      </c>
      <c r="D66" s="7" t="s">
        <v>13</v>
      </c>
      <c r="E66" s="137" t="s">
        <v>1555</v>
      </c>
      <c r="F66" s="7"/>
      <c r="G66" s="7"/>
      <c r="H66" s="7"/>
      <c r="I66" s="7"/>
      <c r="J66" s="7">
        <v>3</v>
      </c>
      <c r="K66" s="7"/>
      <c r="L66" s="122"/>
      <c r="M66" s="122"/>
      <c r="N66" s="122"/>
      <c r="O66" s="96"/>
      <c r="P66" s="7"/>
      <c r="Q66" s="93">
        <v>0.38589731059337279</v>
      </c>
      <c r="R66" s="93">
        <v>22.369290000000003</v>
      </c>
      <c r="S66" s="122" t="s">
        <v>1518</v>
      </c>
      <c r="T66" s="7"/>
      <c r="U66" s="7"/>
      <c r="V66" s="122"/>
      <c r="W66" s="122"/>
      <c r="X66" s="122"/>
      <c r="Y66" s="7" t="s">
        <v>7</v>
      </c>
      <c r="Z66" s="7"/>
      <c r="AA66" s="7"/>
      <c r="AB66" s="7">
        <v>1</v>
      </c>
      <c r="AC66" s="7"/>
      <c r="AD66" s="7"/>
      <c r="AE66" s="7"/>
      <c r="AF66" s="7"/>
      <c r="AG66" s="7"/>
      <c r="AH66" s="7"/>
      <c r="AI66" s="7"/>
      <c r="AJ66" s="7"/>
      <c r="AK66" s="7"/>
      <c r="AL66" s="16">
        <v>45295</v>
      </c>
      <c r="AM66" s="4"/>
      <c r="AN66" s="4" t="s">
        <v>368</v>
      </c>
      <c r="AO66" s="4"/>
      <c r="AP66" s="4"/>
      <c r="AQ66" s="4"/>
      <c r="AR66" s="11">
        <v>804</v>
      </c>
      <c r="AS66" s="11"/>
      <c r="AT66" s="11"/>
      <c r="AU66" s="11"/>
    </row>
    <row r="67" spans="1:47" ht="15.75" x14ac:dyDescent="0.25">
      <c r="A67" s="113" t="s">
        <v>369</v>
      </c>
      <c r="B67" s="6" t="s">
        <v>1670</v>
      </c>
      <c r="C67" s="7" t="s">
        <v>7</v>
      </c>
      <c r="D67" s="9" t="s">
        <v>17</v>
      </c>
      <c r="E67" s="137" t="s">
        <v>1555</v>
      </c>
      <c r="F67" s="7"/>
      <c r="G67" s="7"/>
      <c r="H67" s="7"/>
      <c r="I67" s="7"/>
      <c r="J67" s="7">
        <v>3</v>
      </c>
      <c r="K67" s="7"/>
      <c r="L67" s="122"/>
      <c r="M67" s="122"/>
      <c r="N67" s="122"/>
      <c r="O67" s="96"/>
      <c r="P67" s="7"/>
      <c r="Q67" s="93">
        <v>0.38589731059337279</v>
      </c>
      <c r="R67" s="93">
        <v>22.369290000000003</v>
      </c>
      <c r="S67" s="122" t="s">
        <v>1518</v>
      </c>
      <c r="T67" s="7"/>
      <c r="U67" s="7"/>
      <c r="V67" s="122"/>
      <c r="W67" s="122"/>
      <c r="X67" s="122"/>
      <c r="Y67" s="7" t="s">
        <v>7</v>
      </c>
      <c r="Z67" s="7"/>
      <c r="AA67" s="7"/>
      <c r="AB67" s="7">
        <v>1</v>
      </c>
      <c r="AC67" s="7"/>
      <c r="AD67" s="7"/>
      <c r="AE67" s="7"/>
      <c r="AF67" s="7"/>
      <c r="AG67" s="7"/>
      <c r="AH67" s="7"/>
      <c r="AI67" s="7"/>
      <c r="AJ67" s="7"/>
      <c r="AK67" s="7"/>
      <c r="AL67" s="16">
        <v>45295</v>
      </c>
      <c r="AM67" s="4"/>
      <c r="AN67" s="11" t="s">
        <v>368</v>
      </c>
      <c r="AO67" s="4"/>
      <c r="AP67" s="4"/>
      <c r="AQ67" s="4"/>
      <c r="AR67" s="11">
        <v>804</v>
      </c>
      <c r="AS67" s="11"/>
      <c r="AT67" s="11"/>
      <c r="AU67" s="11"/>
    </row>
    <row r="68" spans="1:47" ht="15.75" x14ac:dyDescent="0.25">
      <c r="A68" s="113" t="s">
        <v>1236</v>
      </c>
      <c r="B68" s="6" t="s">
        <v>1237</v>
      </c>
      <c r="C68" s="7" t="s">
        <v>7</v>
      </c>
      <c r="D68" s="9" t="s">
        <v>359</v>
      </c>
      <c r="E68" s="137" t="s">
        <v>1555</v>
      </c>
      <c r="F68" s="7"/>
      <c r="G68" s="7"/>
      <c r="H68" s="7"/>
      <c r="I68" s="7"/>
      <c r="J68" s="7">
        <v>3</v>
      </c>
      <c r="K68" s="7"/>
      <c r="L68" s="122"/>
      <c r="M68" s="122"/>
      <c r="N68" s="122"/>
      <c r="O68" s="96"/>
      <c r="P68" s="7"/>
      <c r="Q68" s="93">
        <v>0.21512335150242501</v>
      </c>
      <c r="R68" s="93">
        <v>12.470044500000002</v>
      </c>
      <c r="S68" s="122" t="s">
        <v>1518</v>
      </c>
      <c r="T68" s="7"/>
      <c r="U68" s="7"/>
      <c r="V68" s="122"/>
      <c r="W68" s="122"/>
      <c r="X68" s="122"/>
      <c r="Y68" s="7" t="s">
        <v>7</v>
      </c>
      <c r="Z68" s="7"/>
      <c r="AA68" s="7"/>
      <c r="AB68" s="7">
        <v>1</v>
      </c>
      <c r="AC68" s="7"/>
      <c r="AD68" s="7"/>
      <c r="AE68" s="7"/>
      <c r="AF68" s="7"/>
      <c r="AG68" s="7"/>
      <c r="AH68" s="7"/>
      <c r="AI68" s="7"/>
      <c r="AJ68" s="7">
        <v>1</v>
      </c>
      <c r="AK68" s="7"/>
      <c r="AL68" s="16">
        <v>45295</v>
      </c>
      <c r="AM68" s="4"/>
      <c r="AN68" s="11" t="s">
        <v>368</v>
      </c>
      <c r="AO68" s="4"/>
      <c r="AP68" s="4"/>
      <c r="AQ68" s="4"/>
      <c r="AR68" s="11">
        <v>270</v>
      </c>
      <c r="AS68" s="11"/>
      <c r="AT68" s="11"/>
      <c r="AU68" s="11"/>
    </row>
    <row r="69" spans="1:47" ht="15.75" x14ac:dyDescent="0.25">
      <c r="A69" s="92" t="s">
        <v>1273</v>
      </c>
      <c r="B69" s="6" t="s">
        <v>1274</v>
      </c>
      <c r="C69" s="7" t="s">
        <v>7</v>
      </c>
      <c r="D69" s="9" t="s">
        <v>17</v>
      </c>
      <c r="E69" s="137" t="s">
        <v>1555</v>
      </c>
      <c r="F69" s="137" t="s">
        <v>1555</v>
      </c>
      <c r="G69" s="7"/>
      <c r="H69" s="7"/>
      <c r="I69" s="7"/>
      <c r="J69" s="7"/>
      <c r="K69" s="7"/>
      <c r="L69" s="122"/>
      <c r="M69" s="122"/>
      <c r="N69" s="122"/>
      <c r="O69" s="96"/>
      <c r="P69" s="7"/>
      <c r="Q69" s="93">
        <v>2.1222936282616314E-2</v>
      </c>
      <c r="R69" s="93">
        <v>2.6172283714860352</v>
      </c>
      <c r="S69" s="122"/>
      <c r="T69" s="7"/>
      <c r="U69" s="7"/>
      <c r="V69" s="122"/>
      <c r="W69" s="122"/>
      <c r="X69" s="122"/>
      <c r="Y69" s="7"/>
      <c r="Z69" s="7">
        <v>1</v>
      </c>
      <c r="AA69" s="7"/>
      <c r="AB69" s="7"/>
      <c r="AC69" s="7"/>
      <c r="AD69" s="7">
        <v>1</v>
      </c>
      <c r="AE69" s="7"/>
      <c r="AF69" s="7"/>
      <c r="AG69" s="7"/>
      <c r="AH69" s="7"/>
      <c r="AI69" s="7"/>
      <c r="AJ69" s="7"/>
      <c r="AK69" s="7"/>
      <c r="AL69" s="16">
        <v>45295</v>
      </c>
      <c r="AM69" s="4"/>
      <c r="AN69" s="6" t="s">
        <v>1020</v>
      </c>
      <c r="AO69" s="4" t="s">
        <v>371</v>
      </c>
      <c r="AP69" s="4"/>
      <c r="AQ69" s="4"/>
      <c r="AR69" s="11">
        <v>300</v>
      </c>
      <c r="AS69" s="11">
        <v>50</v>
      </c>
      <c r="AT69" s="11"/>
      <c r="AU69" s="11"/>
    </row>
    <row r="70" spans="1:47" ht="15.75" x14ac:dyDescent="0.25">
      <c r="A70" s="92" t="s">
        <v>370</v>
      </c>
      <c r="B70" s="6" t="s">
        <v>1275</v>
      </c>
      <c r="C70" s="7" t="s">
        <v>7</v>
      </c>
      <c r="D70" s="9" t="s">
        <v>19</v>
      </c>
      <c r="E70" s="137" t="s">
        <v>1555</v>
      </c>
      <c r="F70" s="137" t="s">
        <v>1555</v>
      </c>
      <c r="G70" s="7"/>
      <c r="H70" s="7"/>
      <c r="I70" s="7"/>
      <c r="J70" s="7"/>
      <c r="K70" s="7"/>
      <c r="L70" s="122"/>
      <c r="M70" s="122"/>
      <c r="N70" s="122"/>
      <c r="O70" s="96"/>
      <c r="P70" s="7"/>
      <c r="Q70" s="93">
        <v>2.1222936282616314E-2</v>
      </c>
      <c r="R70" s="93">
        <v>2.6172283714860352</v>
      </c>
      <c r="S70" s="122"/>
      <c r="T70" s="7"/>
      <c r="U70" s="7"/>
      <c r="V70" s="122"/>
      <c r="W70" s="122"/>
      <c r="X70" s="122"/>
      <c r="Y70" s="7"/>
      <c r="Z70" s="7">
        <v>1</v>
      </c>
      <c r="AA70" s="7"/>
      <c r="AB70" s="7"/>
      <c r="AC70" s="7"/>
      <c r="AD70" s="7">
        <v>1</v>
      </c>
      <c r="AE70" s="7"/>
      <c r="AF70" s="7"/>
      <c r="AG70" s="7"/>
      <c r="AH70" s="7"/>
      <c r="AI70" s="7"/>
      <c r="AJ70" s="7"/>
      <c r="AK70" s="7"/>
      <c r="AL70" s="16">
        <v>45295</v>
      </c>
      <c r="AM70" s="4"/>
      <c r="AN70" s="6" t="s">
        <v>1020</v>
      </c>
      <c r="AO70" s="4" t="s">
        <v>371</v>
      </c>
      <c r="AP70" s="4"/>
      <c r="AQ70" s="4"/>
      <c r="AR70" s="11">
        <v>300</v>
      </c>
      <c r="AS70" s="11">
        <v>50</v>
      </c>
      <c r="AT70" s="11"/>
      <c r="AU70" s="11"/>
    </row>
    <row r="71" spans="1:47" ht="15.75" x14ac:dyDescent="0.25">
      <c r="A71" s="92" t="s">
        <v>1289</v>
      </c>
      <c r="B71" s="6" t="s">
        <v>1290</v>
      </c>
      <c r="C71" s="7" t="s">
        <v>7</v>
      </c>
      <c r="D71" s="8" t="s">
        <v>21</v>
      </c>
      <c r="E71" s="137" t="s">
        <v>1555</v>
      </c>
      <c r="F71" s="7"/>
      <c r="G71" s="7"/>
      <c r="H71" s="7"/>
      <c r="I71" s="7"/>
      <c r="J71" s="7"/>
      <c r="K71" s="7"/>
      <c r="L71" s="122"/>
      <c r="M71" s="122"/>
      <c r="N71" s="122"/>
      <c r="O71" s="96"/>
      <c r="P71" s="7"/>
      <c r="Q71" s="93">
        <v>6.5387595185225203E-2</v>
      </c>
      <c r="R71" s="93">
        <v>0.97622807017543634</v>
      </c>
      <c r="S71" s="122" t="s">
        <v>1518</v>
      </c>
      <c r="T71" s="7"/>
      <c r="U71" s="7"/>
      <c r="V71" s="122"/>
      <c r="W71" s="122"/>
      <c r="X71" s="122"/>
      <c r="Y71" s="7"/>
      <c r="Z71" s="7">
        <v>1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16">
        <v>45295</v>
      </c>
      <c r="AM71" s="4"/>
      <c r="AN71" s="4" t="s">
        <v>372</v>
      </c>
      <c r="AO71" s="4"/>
      <c r="AP71" s="4"/>
      <c r="AQ71" s="4"/>
      <c r="AR71" s="11">
        <v>250</v>
      </c>
      <c r="AS71" s="11"/>
      <c r="AT71" s="11"/>
      <c r="AU71" s="11"/>
    </row>
    <row r="72" spans="1:47" ht="15.75" x14ac:dyDescent="0.25">
      <c r="A72" s="92" t="s">
        <v>373</v>
      </c>
      <c r="B72" s="6" t="s">
        <v>1291</v>
      </c>
      <c r="C72" s="7" t="s">
        <v>7</v>
      </c>
      <c r="D72" s="9" t="s">
        <v>26</v>
      </c>
      <c r="E72" s="137" t="s">
        <v>1555</v>
      </c>
      <c r="F72" s="7"/>
      <c r="G72" s="7"/>
      <c r="H72" s="7"/>
      <c r="I72" s="7"/>
      <c r="J72" s="7"/>
      <c r="K72" s="7"/>
      <c r="L72" s="122"/>
      <c r="M72" s="122"/>
      <c r="N72" s="122"/>
      <c r="O72" s="96"/>
      <c r="P72" s="7"/>
      <c r="Q72" s="93">
        <v>6.5387595185225203E-2</v>
      </c>
      <c r="R72" s="93">
        <v>0.97622807017543634</v>
      </c>
      <c r="S72" s="122"/>
      <c r="T72" s="7"/>
      <c r="U72" s="7"/>
      <c r="V72" s="122" t="s">
        <v>1518</v>
      </c>
      <c r="W72" s="122"/>
      <c r="X72" s="122"/>
      <c r="Y72" s="7"/>
      <c r="Z72" s="7">
        <v>1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6">
        <v>45295</v>
      </c>
      <c r="AM72" s="4"/>
      <c r="AN72" s="4" t="s">
        <v>372</v>
      </c>
      <c r="AO72" s="4"/>
      <c r="AP72" s="4"/>
      <c r="AQ72" s="4"/>
      <c r="AR72" s="11">
        <v>250</v>
      </c>
      <c r="AS72" s="11"/>
      <c r="AT72" s="11"/>
      <c r="AU72" s="11"/>
    </row>
    <row r="73" spans="1:47" ht="15.75" x14ac:dyDescent="0.25">
      <c r="A73" s="92" t="s">
        <v>374</v>
      </c>
      <c r="B73" s="6" t="s">
        <v>1686</v>
      </c>
      <c r="C73" s="7" t="s">
        <v>7</v>
      </c>
      <c r="D73" s="8" t="s">
        <v>1687</v>
      </c>
      <c r="E73" s="137" t="s">
        <v>1555</v>
      </c>
      <c r="F73" s="7"/>
      <c r="G73" s="7"/>
      <c r="H73" s="7"/>
      <c r="I73" s="7"/>
      <c r="J73" s="7"/>
      <c r="K73" s="7"/>
      <c r="L73" s="122"/>
      <c r="M73" s="122"/>
      <c r="N73" s="122"/>
      <c r="O73" s="96"/>
      <c r="P73" s="7"/>
      <c r="Q73" s="93">
        <v>6.5387595185225203E-2</v>
      </c>
      <c r="R73" s="93">
        <v>0.97622807017543634</v>
      </c>
      <c r="S73" s="122" t="s">
        <v>1518</v>
      </c>
      <c r="T73" s="7"/>
      <c r="U73" s="7"/>
      <c r="V73" s="122"/>
      <c r="W73" s="122"/>
      <c r="X73" s="122"/>
      <c r="Y73" s="7"/>
      <c r="Z73" s="7">
        <v>1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16">
        <v>45295</v>
      </c>
      <c r="AM73" s="4"/>
      <c r="AN73" s="11" t="s">
        <v>372</v>
      </c>
      <c r="AO73" s="4"/>
      <c r="AP73" s="4"/>
      <c r="AQ73" s="4"/>
      <c r="AR73" s="11">
        <v>250</v>
      </c>
      <c r="AS73" s="11"/>
      <c r="AT73" s="11"/>
      <c r="AU73" s="11"/>
    </row>
    <row r="74" spans="1:47" ht="15.75" x14ac:dyDescent="0.25">
      <c r="A74" s="112" t="s">
        <v>1508</v>
      </c>
      <c r="B74" s="6" t="s">
        <v>1511</v>
      </c>
      <c r="C74" s="8" t="s">
        <v>7</v>
      </c>
      <c r="D74" s="7" t="s">
        <v>19</v>
      </c>
      <c r="E74" s="138" t="s">
        <v>1555</v>
      </c>
      <c r="F74" s="138" t="s">
        <v>1555</v>
      </c>
      <c r="G74" s="8"/>
      <c r="H74" s="7"/>
      <c r="I74" s="7"/>
      <c r="J74" s="7"/>
      <c r="K74" s="7"/>
      <c r="L74" s="122"/>
      <c r="M74" s="122"/>
      <c r="N74" s="122"/>
      <c r="O74" s="96"/>
      <c r="P74" s="7"/>
      <c r="Q74" s="93">
        <v>3.6020544857369406E-2</v>
      </c>
      <c r="R74" s="93">
        <v>1.2202850877192954</v>
      </c>
      <c r="S74" s="122" t="s">
        <v>1518</v>
      </c>
      <c r="T74" s="7"/>
      <c r="U74" s="7"/>
      <c r="V74" s="122"/>
      <c r="W74" s="122"/>
      <c r="X74" s="122"/>
      <c r="Y74" s="7"/>
      <c r="Z74" s="7">
        <v>1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16">
        <v>45295</v>
      </c>
      <c r="AM74" s="4"/>
      <c r="AN74" s="4" t="s">
        <v>372</v>
      </c>
      <c r="AO74" s="4" t="s">
        <v>371</v>
      </c>
      <c r="AP74" s="4"/>
      <c r="AQ74" s="4"/>
      <c r="AR74" s="11">
        <v>75</v>
      </c>
      <c r="AS74" s="11">
        <v>50</v>
      </c>
      <c r="AT74" s="11"/>
      <c r="AU74" s="11"/>
    </row>
    <row r="75" spans="1:47" ht="15.75" x14ac:dyDescent="0.25">
      <c r="A75" s="92" t="s">
        <v>1388</v>
      </c>
      <c r="B75" s="6" t="s">
        <v>1676</v>
      </c>
      <c r="C75" s="7" t="s">
        <v>7</v>
      </c>
      <c r="D75" s="8" t="s">
        <v>13</v>
      </c>
      <c r="E75" s="137" t="s">
        <v>1555</v>
      </c>
      <c r="F75" s="7"/>
      <c r="G75" s="7"/>
      <c r="H75" s="7"/>
      <c r="I75" s="7"/>
      <c r="J75" s="7"/>
      <c r="K75" s="7"/>
      <c r="L75" s="122"/>
      <c r="M75" s="122"/>
      <c r="N75" s="122"/>
      <c r="O75" s="96"/>
      <c r="P75" s="7"/>
      <c r="Q75" s="93">
        <v>1.8332107652927185E-2</v>
      </c>
      <c r="R75" s="93">
        <v>0.13243509999999986</v>
      </c>
      <c r="S75" s="122"/>
      <c r="T75" s="7"/>
      <c r="U75" s="7"/>
      <c r="V75" s="122"/>
      <c r="W75" s="122"/>
      <c r="X75" s="122" t="s">
        <v>1518</v>
      </c>
      <c r="Y75" s="7"/>
      <c r="Z75" s="7">
        <v>1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16">
        <v>45295</v>
      </c>
      <c r="AM75" s="4"/>
      <c r="AN75" s="11" t="s">
        <v>362</v>
      </c>
      <c r="AO75" s="11"/>
      <c r="AP75" s="4"/>
      <c r="AQ75" s="4"/>
      <c r="AR75" s="11">
        <v>357</v>
      </c>
      <c r="AS75" s="11"/>
      <c r="AT75" s="11"/>
      <c r="AU75" s="11"/>
    </row>
    <row r="76" spans="1:47" ht="15.75" x14ac:dyDescent="0.25">
      <c r="A76" s="92" t="s">
        <v>1540</v>
      </c>
      <c r="B76" s="6" t="s">
        <v>1389</v>
      </c>
      <c r="C76" s="7" t="s">
        <v>7</v>
      </c>
      <c r="D76" s="8" t="s">
        <v>13</v>
      </c>
      <c r="E76" s="137" t="s">
        <v>1555</v>
      </c>
      <c r="F76" s="7"/>
      <c r="G76" s="7"/>
      <c r="H76" s="7"/>
      <c r="I76" s="7"/>
      <c r="J76" s="7"/>
      <c r="K76" s="7"/>
      <c r="L76" s="122"/>
      <c r="M76" s="122"/>
      <c r="N76" s="122"/>
      <c r="O76" s="96"/>
      <c r="P76" s="7"/>
      <c r="Q76" s="93">
        <v>1.8332107652927185E-2</v>
      </c>
      <c r="R76" s="93">
        <v>0.13243509999999986</v>
      </c>
      <c r="S76" s="122"/>
      <c r="T76" s="7"/>
      <c r="U76" s="7"/>
      <c r="V76" s="122"/>
      <c r="W76" s="122"/>
      <c r="X76" s="122" t="s">
        <v>1518</v>
      </c>
      <c r="Y76" s="7"/>
      <c r="Z76" s="7">
        <v>1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16">
        <v>45295</v>
      </c>
      <c r="AM76" s="4"/>
      <c r="AN76" s="11" t="s">
        <v>362</v>
      </c>
      <c r="AO76" s="11"/>
      <c r="AP76" s="4"/>
      <c r="AQ76" s="4"/>
      <c r="AR76" s="11">
        <v>357</v>
      </c>
      <c r="AS76" s="11"/>
      <c r="AT76" s="11"/>
      <c r="AU76" s="11"/>
    </row>
    <row r="77" spans="1:47" ht="15.75" x14ac:dyDescent="0.25">
      <c r="A77" s="92" t="s">
        <v>1390</v>
      </c>
      <c r="B77" s="6" t="s">
        <v>1391</v>
      </c>
      <c r="C77" s="7" t="s">
        <v>7</v>
      </c>
      <c r="D77" s="8" t="s">
        <v>17</v>
      </c>
      <c r="E77" s="137" t="s">
        <v>1555</v>
      </c>
      <c r="F77" s="7"/>
      <c r="G77" s="7"/>
      <c r="H77" s="7"/>
      <c r="I77" s="7"/>
      <c r="J77" s="7"/>
      <c r="K77" s="7"/>
      <c r="L77" s="122"/>
      <c r="M77" s="122"/>
      <c r="N77" s="122"/>
      <c r="O77" s="96"/>
      <c r="P77" s="7"/>
      <c r="Q77" s="93">
        <v>1.8332107652927185E-2</v>
      </c>
      <c r="R77" s="93">
        <v>0.13243509999999986</v>
      </c>
      <c r="S77" s="122"/>
      <c r="T77" s="7"/>
      <c r="U77" s="7"/>
      <c r="V77" s="122"/>
      <c r="W77" s="122"/>
      <c r="X77" s="122" t="s">
        <v>1518</v>
      </c>
      <c r="Y77" s="7"/>
      <c r="Z77" s="7">
        <v>1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16">
        <v>45295</v>
      </c>
      <c r="AM77" s="4"/>
      <c r="AN77" s="11" t="s">
        <v>362</v>
      </c>
      <c r="AO77" s="11"/>
      <c r="AP77" s="4"/>
      <c r="AQ77" s="4"/>
      <c r="AR77" s="11">
        <v>357</v>
      </c>
      <c r="AS77" s="11"/>
      <c r="AT77" s="11"/>
      <c r="AU77" s="11"/>
    </row>
    <row r="78" spans="1:47" ht="15.75" x14ac:dyDescent="0.25">
      <c r="A78" s="114" t="s">
        <v>1654</v>
      </c>
      <c r="B78" s="6" t="s">
        <v>1655</v>
      </c>
      <c r="C78" s="8" t="s">
        <v>7</v>
      </c>
      <c r="D78" s="8" t="s">
        <v>19</v>
      </c>
      <c r="E78" s="8"/>
      <c r="F78" s="8"/>
      <c r="G78" s="8"/>
      <c r="H78" s="7"/>
      <c r="I78" s="7"/>
      <c r="J78" s="7"/>
      <c r="K78" s="7"/>
      <c r="L78" s="122"/>
      <c r="M78" s="122"/>
      <c r="N78" s="122"/>
      <c r="O78" s="96"/>
      <c r="P78" s="7"/>
      <c r="Q78" s="93">
        <v>2.8512979412501752E-2</v>
      </c>
      <c r="R78" s="93">
        <v>4.0506925959568871</v>
      </c>
      <c r="S78" s="122"/>
      <c r="T78" s="7"/>
      <c r="U78" s="7"/>
      <c r="V78" s="122"/>
      <c r="W78" s="122"/>
      <c r="X78" s="122" t="s">
        <v>1518</v>
      </c>
      <c r="Y78" s="7"/>
      <c r="Z78" s="7">
        <v>1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16">
        <v>45295</v>
      </c>
      <c r="AM78" s="4"/>
      <c r="AN78" s="11" t="s">
        <v>1019</v>
      </c>
      <c r="AO78" s="4" t="s">
        <v>1020</v>
      </c>
      <c r="AP78" s="4"/>
      <c r="AQ78" s="4"/>
      <c r="AR78" s="11">
        <v>155</v>
      </c>
      <c r="AS78" s="11">
        <v>305</v>
      </c>
      <c r="AT78" s="11"/>
      <c r="AU78" s="11"/>
    </row>
    <row r="79" spans="1:47" ht="28.5" x14ac:dyDescent="0.25">
      <c r="A79" s="112" t="s">
        <v>108</v>
      </c>
      <c r="B79" s="6" t="s">
        <v>1417</v>
      </c>
      <c r="C79" s="8" t="s">
        <v>7</v>
      </c>
      <c r="D79" s="7" t="s">
        <v>29</v>
      </c>
      <c r="E79" s="8">
        <v>3</v>
      </c>
      <c r="F79" s="8">
        <v>3</v>
      </c>
      <c r="G79" s="8"/>
      <c r="H79" s="7"/>
      <c r="I79" s="7"/>
      <c r="J79" s="7"/>
      <c r="K79" s="7"/>
      <c r="L79" s="122"/>
      <c r="M79" s="122"/>
      <c r="N79" s="122"/>
      <c r="O79" s="96"/>
      <c r="P79" s="14">
        <v>0.3</v>
      </c>
      <c r="Q79" s="93">
        <v>2.9400997995148739</v>
      </c>
      <c r="R79" s="93">
        <v>12.938430714436189</v>
      </c>
      <c r="S79" s="122" t="s">
        <v>1518</v>
      </c>
      <c r="T79" s="7"/>
      <c r="U79" s="7"/>
      <c r="V79" s="122"/>
      <c r="W79" s="122"/>
      <c r="X79" s="122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16">
        <v>45295</v>
      </c>
      <c r="AM79" s="4"/>
      <c r="AN79" s="6" t="s">
        <v>1014</v>
      </c>
      <c r="AO79" s="4" t="s">
        <v>47</v>
      </c>
      <c r="AP79" s="4"/>
      <c r="AQ79" s="4"/>
      <c r="AR79" s="11">
        <v>250</v>
      </c>
      <c r="AS79" s="11">
        <v>125</v>
      </c>
      <c r="AT79" s="11"/>
      <c r="AU79" s="11"/>
    </row>
    <row r="80" spans="1:47" ht="15.75" x14ac:dyDescent="0.25">
      <c r="A80" s="92" t="s">
        <v>375</v>
      </c>
      <c r="B80" s="6" t="s">
        <v>1422</v>
      </c>
      <c r="C80" s="7" t="s">
        <v>7</v>
      </c>
      <c r="D80" s="7" t="s">
        <v>54</v>
      </c>
      <c r="E80" s="137" t="s">
        <v>1555</v>
      </c>
      <c r="F80" s="7"/>
      <c r="G80" s="7"/>
      <c r="H80" s="7"/>
      <c r="I80" s="7"/>
      <c r="J80" s="7"/>
      <c r="K80" s="7"/>
      <c r="L80" s="122"/>
      <c r="M80" s="122"/>
      <c r="N80" s="122"/>
      <c r="O80" s="96"/>
      <c r="P80" s="7"/>
      <c r="Q80" s="93">
        <v>4.5771316629657645E-2</v>
      </c>
      <c r="R80" s="93">
        <v>0.68335964912280545</v>
      </c>
      <c r="S80" s="122"/>
      <c r="T80" s="7"/>
      <c r="U80" s="7"/>
      <c r="V80" s="122"/>
      <c r="W80" s="122"/>
      <c r="X80" s="122"/>
      <c r="Y80" s="7"/>
      <c r="Z80" s="7">
        <v>1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16">
        <v>45295</v>
      </c>
      <c r="AM80" s="4"/>
      <c r="AN80" s="4" t="s">
        <v>372</v>
      </c>
      <c r="AO80" s="4"/>
      <c r="AP80" s="4"/>
      <c r="AQ80" s="4"/>
      <c r="AR80" s="11">
        <v>175</v>
      </c>
      <c r="AS80" s="11"/>
      <c r="AT80" s="11"/>
      <c r="AU80" s="11"/>
    </row>
    <row r="82" spans="8:28" x14ac:dyDescent="0.2">
      <c r="H82" s="168"/>
      <c r="I82" s="39" t="str">
        <f>+Textes!A50</f>
        <v>Restriction légère</v>
      </c>
      <c r="L82" s="40" t="s">
        <v>1518</v>
      </c>
      <c r="M82" s="40" t="s">
        <v>1518</v>
      </c>
      <c r="N82" s="3" t="str">
        <f>+Textes!A54</f>
        <v>oui</v>
      </c>
      <c r="Q82" s="164" t="str">
        <f>+Herbicides!Q280</f>
        <v>Potentiel de risque</v>
      </c>
      <c r="R82" s="164"/>
      <c r="T82" s="1"/>
      <c r="V82" s="41" t="s">
        <v>1518</v>
      </c>
      <c r="W82" s="1" t="str">
        <f>+Textes!A60</f>
        <v>gant + tablier + …</v>
      </c>
      <c r="X82" s="1"/>
      <c r="Y82" s="1"/>
      <c r="AA82" s="44"/>
      <c r="AB82" s="42" t="str">
        <f>+Textes!A62</f>
        <v>Homologué</v>
      </c>
    </row>
    <row r="83" spans="8:28" x14ac:dyDescent="0.2">
      <c r="H83" s="172"/>
      <c r="I83" s="39" t="str">
        <f>+Textes!A51</f>
        <v>Restriction moyenne</v>
      </c>
      <c r="Q83" s="155" t="str">
        <f>+Herbicides!Q281</f>
        <v>faible</v>
      </c>
      <c r="R83" s="155"/>
      <c r="T83" s="1"/>
      <c r="U83" s="1"/>
      <c r="X83" s="1"/>
      <c r="Y83" s="1"/>
      <c r="AA83" s="250"/>
      <c r="AB83" s="42" t="str">
        <f>+Textes!A63</f>
        <v>Homologué et utilisable dans programme non-recours PPh</v>
      </c>
    </row>
    <row r="84" spans="8:28" x14ac:dyDescent="0.2">
      <c r="H84" s="169"/>
      <c r="I84" s="39" t="str">
        <f>+Textes!A52</f>
        <v>Restriction forte</v>
      </c>
      <c r="Q84" s="154" t="str">
        <f>+Herbicides!Q282</f>
        <v>moyen</v>
      </c>
      <c r="R84" s="154"/>
      <c r="T84" s="7">
        <v>1</v>
      </c>
      <c r="V84" s="39" t="str">
        <f>+Herbicides!T281</f>
        <v>interdit sur plantes en fleur</v>
      </c>
      <c r="X84" s="1"/>
      <c r="Y84" s="1"/>
      <c r="AA84" s="43"/>
      <c r="AB84" s="42" t="str">
        <f>+Textes!A64</f>
        <v>Homologué mais soumis à autorisation</v>
      </c>
    </row>
    <row r="85" spans="8:28" x14ac:dyDescent="0.2">
      <c r="H85" s="43"/>
      <c r="I85" s="39" t="str">
        <f>+Textes!A53</f>
        <v>Restriction très forte</v>
      </c>
      <c r="Q85" s="156" t="str">
        <f>+Herbicides!Q283</f>
        <v>élevé</v>
      </c>
      <c r="R85" s="156"/>
      <c r="T85" s="7">
        <v>2</v>
      </c>
      <c r="V85" s="39" t="str">
        <f>+Herbicides!T282</f>
        <v>hors vol des abeilles</v>
      </c>
    </row>
    <row r="86" spans="8:28" x14ac:dyDescent="0.2">
      <c r="Q86" s="1"/>
      <c r="R86" s="1"/>
      <c r="S86" s="1"/>
      <c r="X86" s="1"/>
      <c r="Y86" s="3" t="s">
        <v>7</v>
      </c>
      <c r="Z86" s="39" t="str">
        <f>+Herbicides!Z282</f>
        <v>avec tenue de travail</v>
      </c>
    </row>
  </sheetData>
  <sheetProtection algorithmName="SHA-512" hashValue="r+OUvm3qzDrgQk7Z0nu9CG2CkC0DuiidXbAsgQfhAmkLcDc70/W09I7mPndrkurXBkFWMIok3er866E4gsxPWw==" saltValue="XVYthLlU6D3kH7NA2xpt/w==" spinCount="100000" sheet="1" selectLockedCells="1" sort="0" autoFilter="0"/>
  <autoFilter ref="A3:AU80" xr:uid="{996E8633-D8F9-4B1A-817A-93EFFA29785E}"/>
  <sortState xmlns:xlrd2="http://schemas.microsoft.com/office/spreadsheetml/2017/richdata2" ref="A4:AU80">
    <sortCondition ref="C4:C80"/>
  </sortState>
  <mergeCells count="6">
    <mergeCell ref="E1:G1"/>
    <mergeCell ref="L1:P1"/>
    <mergeCell ref="Z1:AK1"/>
    <mergeCell ref="V1:Y1"/>
    <mergeCell ref="Q1:U1"/>
    <mergeCell ref="H1:J1"/>
  </mergeCells>
  <conditionalFormatting sqref="L3:N3">
    <cfRule type="cellIs" dxfId="1373" priority="1819" operator="equal">
      <formula>"oui"</formula>
    </cfRule>
  </conditionalFormatting>
  <conditionalFormatting sqref="T84:T85">
    <cfRule type="cellIs" dxfId="1372" priority="1056" operator="equal">
      <formula>3</formula>
    </cfRule>
    <cfRule type="cellIs" dxfId="1371" priority="1057" operator="equal">
      <formula>2</formula>
    </cfRule>
    <cfRule type="cellIs" dxfId="1370" priority="1058" operator="equal">
      <formula>1</formula>
    </cfRule>
  </conditionalFormatting>
  <conditionalFormatting sqref="H2:H3 H31 H33:H45">
    <cfRule type="cellIs" dxfId="1369" priority="798" operator="equal">
      <formula>100</formula>
    </cfRule>
    <cfRule type="cellIs" dxfId="1368" priority="799" operator="equal">
      <formula>50</formula>
    </cfRule>
    <cfRule type="cellIs" dxfId="1367" priority="800" operator="equal">
      <formula>20</formula>
    </cfRule>
    <cfRule type="cellIs" dxfId="1366" priority="801" operator="equal">
      <formula>6</formula>
    </cfRule>
  </conditionalFormatting>
  <conditionalFormatting sqref="I2:J3 I31:J31 I33:J45">
    <cfRule type="cellIs" dxfId="1365" priority="794" operator="equal">
      <formula>50</formula>
    </cfRule>
    <cfRule type="cellIs" dxfId="1364" priority="795" operator="equal">
      <formula>20</formula>
    </cfRule>
    <cfRule type="cellIs" dxfId="1363" priority="796" operator="equal">
      <formula>6</formula>
    </cfRule>
    <cfRule type="cellIs" dxfId="1362" priority="797" operator="equal">
      <formula>3</formula>
    </cfRule>
  </conditionalFormatting>
  <conditionalFormatting sqref="K2:K3 K31 K33:K45">
    <cfRule type="cellIs" dxfId="1361" priority="790" operator="equal">
      <formula>"4 pt"</formula>
    </cfRule>
    <cfRule type="cellIs" dxfId="1360" priority="791" operator="equal">
      <formula>"3 pt"</formula>
    </cfRule>
    <cfRule type="cellIs" dxfId="1359" priority="792" operator="equal">
      <formula>"2 pt"</formula>
    </cfRule>
    <cfRule type="cellIs" dxfId="1358" priority="793" operator="equal">
      <formula>"1 pt"</formula>
    </cfRule>
  </conditionalFormatting>
  <conditionalFormatting sqref="L70:N79 L67:N68 L64:N64 L61:N62 L58:N59 L54:N54 L50:N52 L47:N48 L41:N45 L35:N39 L18:N28 L15:N15 L12:N13 L6:N9 L4:N4 L33:N33">
    <cfRule type="cellIs" dxfId="1357" priority="232" operator="equal">
      <formula>"!"</formula>
    </cfRule>
  </conditionalFormatting>
  <conditionalFormatting sqref="Y79 Y76:Y77 Y70:Y73 Y66:Y67 Y64 Y61:Y62 Y57:Y59 Y54 Y50:Y52 Y47:Y48 Y41:Y45 Y39 Y35:Y37 Y21:Y28 Y18:Y19 Y15 Y12:Y13 Y6:Y9 Y4 Y33">
    <cfRule type="cellIs" dxfId="1356" priority="231" operator="equal">
      <formula>1</formula>
    </cfRule>
  </conditionalFormatting>
  <conditionalFormatting sqref="S70:S79 V70:X79 S66:S68 V66:X68 V64:X64 S64 V61:X62 S61:S62 S57:S59 V57:X59 S54 V54:X54 S50:S52 V50:X52 V47:X48 S47:S48 S41:S45 V41:X45 V35:X39 S35:S39 V18:X28 S18:S28 S15 V15:X15 S12:S13 V12:X13 V6:X9 S6:S9 S4 V4:X4 S33 V33:X33">
    <cfRule type="cellIs" dxfId="1355" priority="230" operator="equal">
      <formula>"!"</formula>
    </cfRule>
  </conditionalFormatting>
  <conditionalFormatting sqref="T70:T79 T66:T68 T64 T61:T62 T57:T59 T54 T50:T52 T47:T48 T41:T45 T35:T39 T18:T28 T15 T12:T13 T6:T9 T4 T33">
    <cfRule type="cellIs" dxfId="1354" priority="228" operator="equal">
      <formula>2</formula>
    </cfRule>
    <cfRule type="cellIs" dxfId="1353" priority="229" operator="equal">
      <formula>1</formula>
    </cfRule>
  </conditionalFormatting>
  <conditionalFormatting sqref="H70:H80 H64:H68 H56:H62 H47:H54 H11:H28 H4:H9">
    <cfRule type="cellIs" dxfId="1352" priority="224" operator="equal">
      <formula>100</formula>
    </cfRule>
    <cfRule type="cellIs" dxfId="1351" priority="225" operator="equal">
      <formula>50</formula>
    </cfRule>
    <cfRule type="cellIs" dxfId="1350" priority="226" operator="equal">
      <formula>20</formula>
    </cfRule>
    <cfRule type="cellIs" dxfId="1349" priority="227" operator="equal">
      <formula>6</formula>
    </cfRule>
  </conditionalFormatting>
  <conditionalFormatting sqref="I70:J80 I64:J68 I56:J62 I47:J54 I11:J28 I4:J9">
    <cfRule type="cellIs" dxfId="1348" priority="220" operator="equal">
      <formula>50</formula>
    </cfRule>
    <cfRule type="cellIs" dxfId="1347" priority="221" operator="equal">
      <formula>20</formula>
    </cfRule>
    <cfRule type="cellIs" dxfId="1346" priority="222" operator="equal">
      <formula>6</formula>
    </cfRule>
    <cfRule type="cellIs" dxfId="1345" priority="223" operator="equal">
      <formula>3</formula>
    </cfRule>
  </conditionalFormatting>
  <conditionalFormatting sqref="K70:K80 K64:K68 K56:K62 K47:K54 K11:K28 K4:K9">
    <cfRule type="cellIs" dxfId="1344" priority="216" operator="equal">
      <formula>"4 pt"</formula>
    </cfRule>
    <cfRule type="cellIs" dxfId="1343" priority="217" operator="equal">
      <formula>"3 pt"</formula>
    </cfRule>
    <cfRule type="cellIs" dxfId="1342" priority="218" operator="equal">
      <formula>"2 pt"</formula>
    </cfRule>
    <cfRule type="cellIs" dxfId="1341" priority="219" operator="equal">
      <formula>"1 pt"</formula>
    </cfRule>
  </conditionalFormatting>
  <conditionalFormatting sqref="Z56:AK80 Z4:AK31 Z33:AK54">
    <cfRule type="cellIs" dxfId="1340" priority="210" operator="equal">
      <formula>3</formula>
    </cfRule>
    <cfRule type="cellIs" dxfId="1339" priority="211" operator="equal">
      <formula>2</formula>
    </cfRule>
    <cfRule type="cellIs" dxfId="1338" priority="212" operator="equal">
      <formula>1</formula>
    </cfRule>
  </conditionalFormatting>
  <conditionalFormatting sqref="Q56:R80 Q4:R31 Q33:R54">
    <cfRule type="cellIs" dxfId="1337" priority="213" operator="greaterThan">
      <formula>1000</formula>
    </cfRule>
    <cfRule type="cellIs" dxfId="1336" priority="214" operator="between">
      <formula>10</formula>
      <formula>1000</formula>
    </cfRule>
    <cfRule type="cellIs" dxfId="1335" priority="215" operator="lessThan">
      <formula>10</formula>
    </cfRule>
  </conditionalFormatting>
  <conditionalFormatting sqref="L5:N5">
    <cfRule type="cellIs" dxfId="1334" priority="209" operator="equal">
      <formula>"!"</formula>
    </cfRule>
  </conditionalFormatting>
  <conditionalFormatting sqref="Y5">
    <cfRule type="cellIs" dxfId="1333" priority="208" operator="equal">
      <formula>1</formula>
    </cfRule>
  </conditionalFormatting>
  <conditionalFormatting sqref="S5 V5:X5">
    <cfRule type="cellIs" dxfId="1332" priority="207" operator="equal">
      <formula>"!"</formula>
    </cfRule>
  </conditionalFormatting>
  <conditionalFormatting sqref="T5">
    <cfRule type="cellIs" dxfId="1331" priority="205" operator="equal">
      <formula>2</formula>
    </cfRule>
    <cfRule type="cellIs" dxfId="1330" priority="206" operator="equal">
      <formula>1</formula>
    </cfRule>
  </conditionalFormatting>
  <conditionalFormatting sqref="L10:N10">
    <cfRule type="cellIs" dxfId="1329" priority="204" operator="equal">
      <formula>"!"</formula>
    </cfRule>
  </conditionalFormatting>
  <conditionalFormatting sqref="Y10">
    <cfRule type="cellIs" dxfId="1328" priority="203" operator="equal">
      <formula>1</formula>
    </cfRule>
  </conditionalFormatting>
  <conditionalFormatting sqref="V10:X10 S10">
    <cfRule type="cellIs" dxfId="1327" priority="202" operator="equal">
      <formula>"!"</formula>
    </cfRule>
  </conditionalFormatting>
  <conditionalFormatting sqref="T10">
    <cfRule type="cellIs" dxfId="1326" priority="200" operator="equal">
      <formula>2</formula>
    </cfRule>
    <cfRule type="cellIs" dxfId="1325" priority="201" operator="equal">
      <formula>1</formula>
    </cfRule>
  </conditionalFormatting>
  <conditionalFormatting sqref="H10">
    <cfRule type="cellIs" dxfId="1324" priority="196" operator="equal">
      <formula>100</formula>
    </cfRule>
    <cfRule type="cellIs" dxfId="1323" priority="197" operator="equal">
      <formula>50</formula>
    </cfRule>
    <cfRule type="cellIs" dxfId="1322" priority="198" operator="equal">
      <formula>20</formula>
    </cfRule>
    <cfRule type="cellIs" dxfId="1321" priority="199" operator="equal">
      <formula>6</formula>
    </cfRule>
  </conditionalFormatting>
  <conditionalFormatting sqref="I10:J10">
    <cfRule type="cellIs" dxfId="1320" priority="192" operator="equal">
      <formula>50</formula>
    </cfRule>
    <cfRule type="cellIs" dxfId="1319" priority="193" operator="equal">
      <formula>20</formula>
    </cfRule>
    <cfRule type="cellIs" dxfId="1318" priority="194" operator="equal">
      <formula>6</formula>
    </cfRule>
    <cfRule type="cellIs" dxfId="1317" priority="195" operator="equal">
      <formula>3</formula>
    </cfRule>
  </conditionalFormatting>
  <conditionalFormatting sqref="K10">
    <cfRule type="cellIs" dxfId="1316" priority="188" operator="equal">
      <formula>"4 pt"</formula>
    </cfRule>
    <cfRule type="cellIs" dxfId="1315" priority="189" operator="equal">
      <formula>"3 pt"</formula>
    </cfRule>
    <cfRule type="cellIs" dxfId="1314" priority="190" operator="equal">
      <formula>"2 pt"</formula>
    </cfRule>
    <cfRule type="cellIs" dxfId="1313" priority="191" operator="equal">
      <formula>"1 pt"</formula>
    </cfRule>
  </conditionalFormatting>
  <conditionalFormatting sqref="L11:N11">
    <cfRule type="cellIs" dxfId="1312" priority="187" operator="equal">
      <formula>"!"</formula>
    </cfRule>
  </conditionalFormatting>
  <conditionalFormatting sqref="Y11">
    <cfRule type="cellIs" dxfId="1311" priority="186" operator="equal">
      <formula>1</formula>
    </cfRule>
  </conditionalFormatting>
  <conditionalFormatting sqref="S11 V11:X11">
    <cfRule type="cellIs" dxfId="1310" priority="185" operator="equal">
      <formula>"!"</formula>
    </cfRule>
  </conditionalFormatting>
  <conditionalFormatting sqref="T11">
    <cfRule type="cellIs" dxfId="1309" priority="183" operator="equal">
      <formula>2</formula>
    </cfRule>
    <cfRule type="cellIs" dxfId="1308" priority="184" operator="equal">
      <formula>1</formula>
    </cfRule>
  </conditionalFormatting>
  <conditionalFormatting sqref="L14:N14">
    <cfRule type="cellIs" dxfId="1307" priority="182" operator="equal">
      <formula>"!"</formula>
    </cfRule>
  </conditionalFormatting>
  <conditionalFormatting sqref="Y14">
    <cfRule type="cellIs" dxfId="1306" priority="181" operator="equal">
      <formula>1</formula>
    </cfRule>
  </conditionalFormatting>
  <conditionalFormatting sqref="S14 V14:X14">
    <cfRule type="cellIs" dxfId="1305" priority="180" operator="equal">
      <formula>"!"</formula>
    </cfRule>
  </conditionalFormatting>
  <conditionalFormatting sqref="T14">
    <cfRule type="cellIs" dxfId="1304" priority="178" operator="equal">
      <formula>2</formula>
    </cfRule>
    <cfRule type="cellIs" dxfId="1303" priority="179" operator="equal">
      <formula>1</formula>
    </cfRule>
  </conditionalFormatting>
  <conditionalFormatting sqref="L16:N16">
    <cfRule type="cellIs" dxfId="1302" priority="177" operator="equal">
      <formula>"!"</formula>
    </cfRule>
  </conditionalFormatting>
  <conditionalFormatting sqref="Y16">
    <cfRule type="cellIs" dxfId="1301" priority="176" operator="equal">
      <formula>1</formula>
    </cfRule>
  </conditionalFormatting>
  <conditionalFormatting sqref="V16:X16 S16">
    <cfRule type="cellIs" dxfId="1300" priority="175" operator="equal">
      <formula>"!"</formula>
    </cfRule>
  </conditionalFormatting>
  <conditionalFormatting sqref="T16">
    <cfRule type="cellIs" dxfId="1299" priority="173" operator="equal">
      <formula>2</formula>
    </cfRule>
    <cfRule type="cellIs" dxfId="1298" priority="174" operator="equal">
      <formula>1</formula>
    </cfRule>
  </conditionalFormatting>
  <conditionalFormatting sqref="L17:N17">
    <cfRule type="cellIs" dxfId="1297" priority="172" operator="equal">
      <formula>"!"</formula>
    </cfRule>
  </conditionalFormatting>
  <conditionalFormatting sqref="Y17">
    <cfRule type="cellIs" dxfId="1296" priority="171" operator="equal">
      <formula>1</formula>
    </cfRule>
  </conditionalFormatting>
  <conditionalFormatting sqref="S17 V17:X17">
    <cfRule type="cellIs" dxfId="1295" priority="170" operator="equal">
      <formula>"!"</formula>
    </cfRule>
  </conditionalFormatting>
  <conditionalFormatting sqref="T17">
    <cfRule type="cellIs" dxfId="1294" priority="168" operator="equal">
      <formula>2</formula>
    </cfRule>
    <cfRule type="cellIs" dxfId="1293" priority="169" operator="equal">
      <formula>1</formula>
    </cfRule>
  </conditionalFormatting>
  <conditionalFormatting sqref="Y20">
    <cfRule type="cellIs" dxfId="1292" priority="167" operator="equal">
      <formula>1</formula>
    </cfRule>
  </conditionalFormatting>
  <conditionalFormatting sqref="L29:N30">
    <cfRule type="cellIs" dxfId="1291" priority="166" operator="equal">
      <formula>"!"</formula>
    </cfRule>
  </conditionalFormatting>
  <conditionalFormatting sqref="Y29:Y30">
    <cfRule type="cellIs" dxfId="1290" priority="165" operator="equal">
      <formula>1</formula>
    </cfRule>
  </conditionalFormatting>
  <conditionalFormatting sqref="V29:X30 S29:S30">
    <cfRule type="cellIs" dxfId="1289" priority="164" operator="equal">
      <formula>"!"</formula>
    </cfRule>
  </conditionalFormatting>
  <conditionalFormatting sqref="T29:T30">
    <cfRule type="cellIs" dxfId="1288" priority="162" operator="equal">
      <formula>2</formula>
    </cfRule>
    <cfRule type="cellIs" dxfId="1287" priority="163" operator="equal">
      <formula>1</formula>
    </cfRule>
  </conditionalFormatting>
  <conditionalFormatting sqref="H29:H30">
    <cfRule type="cellIs" dxfId="1286" priority="158" operator="equal">
      <formula>100</formula>
    </cfRule>
    <cfRule type="cellIs" dxfId="1285" priority="159" operator="equal">
      <formula>50</formula>
    </cfRule>
    <cfRule type="cellIs" dxfId="1284" priority="160" operator="equal">
      <formula>20</formula>
    </cfRule>
    <cfRule type="cellIs" dxfId="1283" priority="161" operator="equal">
      <formula>6</formula>
    </cfRule>
  </conditionalFormatting>
  <conditionalFormatting sqref="I29:J30">
    <cfRule type="cellIs" dxfId="1282" priority="154" operator="equal">
      <formula>50</formula>
    </cfRule>
    <cfRule type="cellIs" dxfId="1281" priority="155" operator="equal">
      <formula>20</formula>
    </cfRule>
    <cfRule type="cellIs" dxfId="1280" priority="156" operator="equal">
      <formula>6</formula>
    </cfRule>
    <cfRule type="cellIs" dxfId="1279" priority="157" operator="equal">
      <formula>3</formula>
    </cfRule>
  </conditionalFormatting>
  <conditionalFormatting sqref="K29:K30">
    <cfRule type="cellIs" dxfId="1278" priority="150" operator="equal">
      <formula>"4 pt"</formula>
    </cfRule>
    <cfRule type="cellIs" dxfId="1277" priority="151" operator="equal">
      <formula>"3 pt"</formula>
    </cfRule>
    <cfRule type="cellIs" dxfId="1276" priority="152" operator="equal">
      <formula>"2 pt"</formula>
    </cfRule>
    <cfRule type="cellIs" dxfId="1275" priority="153" operator="equal">
      <formula>"1 pt"</formula>
    </cfRule>
  </conditionalFormatting>
  <conditionalFormatting sqref="L31:N31">
    <cfRule type="cellIs" dxfId="1274" priority="149" operator="equal">
      <formula>"!"</formula>
    </cfRule>
  </conditionalFormatting>
  <conditionalFormatting sqref="Y31">
    <cfRule type="cellIs" dxfId="1273" priority="148" operator="equal">
      <formula>1</formula>
    </cfRule>
  </conditionalFormatting>
  <conditionalFormatting sqref="S31 V31:X31">
    <cfRule type="cellIs" dxfId="1272" priority="147" operator="equal">
      <formula>"!"</formula>
    </cfRule>
  </conditionalFormatting>
  <conditionalFormatting sqref="T31">
    <cfRule type="cellIs" dxfId="1271" priority="145" operator="equal">
      <formula>2</formula>
    </cfRule>
    <cfRule type="cellIs" dxfId="1270" priority="146" operator="equal">
      <formula>1</formula>
    </cfRule>
  </conditionalFormatting>
  <conditionalFormatting sqref="L34:N34">
    <cfRule type="cellIs" dxfId="1269" priority="144" operator="equal">
      <formula>"!"</formula>
    </cfRule>
  </conditionalFormatting>
  <conditionalFormatting sqref="Y34">
    <cfRule type="cellIs" dxfId="1268" priority="143" operator="equal">
      <formula>1</formula>
    </cfRule>
  </conditionalFormatting>
  <conditionalFormatting sqref="S34 V34:X34">
    <cfRule type="cellIs" dxfId="1267" priority="142" operator="equal">
      <formula>"!"</formula>
    </cfRule>
  </conditionalFormatting>
  <conditionalFormatting sqref="T34">
    <cfRule type="cellIs" dxfId="1266" priority="140" operator="equal">
      <formula>2</formula>
    </cfRule>
    <cfRule type="cellIs" dxfId="1265" priority="141" operator="equal">
      <formula>1</formula>
    </cfRule>
  </conditionalFormatting>
  <conditionalFormatting sqref="Y38">
    <cfRule type="cellIs" dxfId="1264" priority="139" operator="equal">
      <formula>1</formula>
    </cfRule>
  </conditionalFormatting>
  <conditionalFormatting sqref="L40:N40">
    <cfRule type="cellIs" dxfId="1263" priority="138" operator="equal">
      <formula>"!"</formula>
    </cfRule>
  </conditionalFormatting>
  <conditionalFormatting sqref="Y40">
    <cfRule type="cellIs" dxfId="1262" priority="137" operator="equal">
      <formula>1</formula>
    </cfRule>
  </conditionalFormatting>
  <conditionalFormatting sqref="V40:X40 S40">
    <cfRule type="cellIs" dxfId="1261" priority="136" operator="equal">
      <formula>"!"</formula>
    </cfRule>
  </conditionalFormatting>
  <conditionalFormatting sqref="T40">
    <cfRule type="cellIs" dxfId="1260" priority="134" operator="equal">
      <formula>2</formula>
    </cfRule>
    <cfRule type="cellIs" dxfId="1259" priority="135" operator="equal">
      <formula>1</formula>
    </cfRule>
  </conditionalFormatting>
  <conditionalFormatting sqref="L46:N46">
    <cfRule type="cellIs" dxfId="1258" priority="133" operator="equal">
      <formula>"!"</formula>
    </cfRule>
  </conditionalFormatting>
  <conditionalFormatting sqref="Y46">
    <cfRule type="cellIs" dxfId="1257" priority="132" operator="equal">
      <formula>1</formula>
    </cfRule>
  </conditionalFormatting>
  <conditionalFormatting sqref="S46 V46:X46">
    <cfRule type="cellIs" dxfId="1256" priority="131" operator="equal">
      <formula>"!"</formula>
    </cfRule>
  </conditionalFormatting>
  <conditionalFormatting sqref="T46">
    <cfRule type="cellIs" dxfId="1255" priority="129" operator="equal">
      <formula>2</formula>
    </cfRule>
    <cfRule type="cellIs" dxfId="1254" priority="130" operator="equal">
      <formula>1</formula>
    </cfRule>
  </conditionalFormatting>
  <conditionalFormatting sqref="H46">
    <cfRule type="cellIs" dxfId="1253" priority="125" operator="equal">
      <formula>100</formula>
    </cfRule>
    <cfRule type="cellIs" dxfId="1252" priority="126" operator="equal">
      <formula>50</formula>
    </cfRule>
    <cfRule type="cellIs" dxfId="1251" priority="127" operator="equal">
      <formula>20</formula>
    </cfRule>
    <cfRule type="cellIs" dxfId="1250" priority="128" operator="equal">
      <formula>6</formula>
    </cfRule>
  </conditionalFormatting>
  <conditionalFormatting sqref="I46:J46">
    <cfRule type="cellIs" dxfId="1249" priority="121" operator="equal">
      <formula>50</formula>
    </cfRule>
    <cfRule type="cellIs" dxfId="1248" priority="122" operator="equal">
      <formula>20</formula>
    </cfRule>
    <cfRule type="cellIs" dxfId="1247" priority="123" operator="equal">
      <formula>6</formula>
    </cfRule>
    <cfRule type="cellIs" dxfId="1246" priority="124" operator="equal">
      <formula>3</formula>
    </cfRule>
  </conditionalFormatting>
  <conditionalFormatting sqref="K46">
    <cfRule type="cellIs" dxfId="1245" priority="117" operator="equal">
      <formula>"4 pt"</formula>
    </cfRule>
    <cfRule type="cellIs" dxfId="1244" priority="118" operator="equal">
      <formula>"3 pt"</formula>
    </cfRule>
    <cfRule type="cellIs" dxfId="1243" priority="119" operator="equal">
      <formula>"2 pt"</formula>
    </cfRule>
    <cfRule type="cellIs" dxfId="1242" priority="120" operator="equal">
      <formula>"1 pt"</formula>
    </cfRule>
  </conditionalFormatting>
  <conditionalFormatting sqref="L49:N49">
    <cfRule type="cellIs" dxfId="1241" priority="116" operator="equal">
      <formula>"!"</formula>
    </cfRule>
  </conditionalFormatting>
  <conditionalFormatting sqref="Y49">
    <cfRule type="cellIs" dxfId="1240" priority="115" operator="equal">
      <formula>1</formula>
    </cfRule>
  </conditionalFormatting>
  <conditionalFormatting sqref="V49:X49 S49">
    <cfRule type="cellIs" dxfId="1239" priority="114" operator="equal">
      <formula>"!"</formula>
    </cfRule>
  </conditionalFormatting>
  <conditionalFormatting sqref="T49">
    <cfRule type="cellIs" dxfId="1238" priority="112" operator="equal">
      <formula>2</formula>
    </cfRule>
    <cfRule type="cellIs" dxfId="1237" priority="113" operator="equal">
      <formula>1</formula>
    </cfRule>
  </conditionalFormatting>
  <conditionalFormatting sqref="L53:N53">
    <cfRule type="cellIs" dxfId="1236" priority="111" operator="equal">
      <formula>"!"</formula>
    </cfRule>
  </conditionalFormatting>
  <conditionalFormatting sqref="Y53">
    <cfRule type="cellIs" dxfId="1235" priority="110" operator="equal">
      <formula>1</formula>
    </cfRule>
  </conditionalFormatting>
  <conditionalFormatting sqref="S53 V53:X53">
    <cfRule type="cellIs" dxfId="1234" priority="109" operator="equal">
      <formula>"!"</formula>
    </cfRule>
  </conditionalFormatting>
  <conditionalFormatting sqref="T53">
    <cfRule type="cellIs" dxfId="1233" priority="107" operator="equal">
      <formula>2</formula>
    </cfRule>
    <cfRule type="cellIs" dxfId="1232" priority="108" operator="equal">
      <formula>1</formula>
    </cfRule>
  </conditionalFormatting>
  <conditionalFormatting sqref="L55:N55">
    <cfRule type="cellIs" dxfId="1231" priority="106" operator="equal">
      <formula>"!"</formula>
    </cfRule>
  </conditionalFormatting>
  <conditionalFormatting sqref="Y55">
    <cfRule type="cellIs" dxfId="1230" priority="105" operator="equal">
      <formula>1</formula>
    </cfRule>
  </conditionalFormatting>
  <conditionalFormatting sqref="S55 V55:X55">
    <cfRule type="cellIs" dxfId="1229" priority="104" operator="equal">
      <formula>"!"</formula>
    </cfRule>
  </conditionalFormatting>
  <conditionalFormatting sqref="T55">
    <cfRule type="cellIs" dxfId="1228" priority="102" operator="equal">
      <formula>2</formula>
    </cfRule>
    <cfRule type="cellIs" dxfId="1227" priority="103" operator="equal">
      <formula>1</formula>
    </cfRule>
  </conditionalFormatting>
  <conditionalFormatting sqref="H55">
    <cfRule type="cellIs" dxfId="1226" priority="98" operator="equal">
      <formula>100</formula>
    </cfRule>
    <cfRule type="cellIs" dxfId="1225" priority="99" operator="equal">
      <formula>50</formula>
    </cfRule>
    <cfRule type="cellIs" dxfId="1224" priority="100" operator="equal">
      <formula>20</formula>
    </cfRule>
    <cfRule type="cellIs" dxfId="1223" priority="101" operator="equal">
      <formula>6</formula>
    </cfRule>
  </conditionalFormatting>
  <conditionalFormatting sqref="I55:J55">
    <cfRule type="cellIs" dxfId="1222" priority="94" operator="equal">
      <formula>50</formula>
    </cfRule>
    <cfRule type="cellIs" dxfId="1221" priority="95" operator="equal">
      <formula>20</formula>
    </cfRule>
    <cfRule type="cellIs" dxfId="1220" priority="96" operator="equal">
      <formula>6</formula>
    </cfRule>
    <cfRule type="cellIs" dxfId="1219" priority="97" operator="equal">
      <formula>3</formula>
    </cfRule>
  </conditionalFormatting>
  <conditionalFormatting sqref="K55">
    <cfRule type="cellIs" dxfId="1218" priority="90" operator="equal">
      <formula>"4 pt"</formula>
    </cfRule>
    <cfRule type="cellIs" dxfId="1217" priority="91" operator="equal">
      <formula>"3 pt"</formula>
    </cfRule>
    <cfRule type="cellIs" dxfId="1216" priority="92" operator="equal">
      <formula>"2 pt"</formula>
    </cfRule>
    <cfRule type="cellIs" dxfId="1215" priority="93" operator="equal">
      <formula>"1 pt"</formula>
    </cfRule>
  </conditionalFormatting>
  <conditionalFormatting sqref="Z55:AK55">
    <cfRule type="cellIs" dxfId="1214" priority="84" operator="equal">
      <formula>3</formula>
    </cfRule>
    <cfRule type="cellIs" dxfId="1213" priority="85" operator="equal">
      <formula>2</formula>
    </cfRule>
    <cfRule type="cellIs" dxfId="1212" priority="86" operator="equal">
      <formula>1</formula>
    </cfRule>
  </conditionalFormatting>
  <conditionalFormatting sqref="Q55:R55">
    <cfRule type="cellIs" dxfId="1211" priority="87" operator="greaterThan">
      <formula>1000</formula>
    </cfRule>
    <cfRule type="cellIs" dxfId="1210" priority="88" operator="between">
      <formula>10</formula>
      <formula>1000</formula>
    </cfRule>
    <cfRule type="cellIs" dxfId="1209" priority="89" operator="lessThan">
      <formula>10</formula>
    </cfRule>
  </conditionalFormatting>
  <conditionalFormatting sqref="L56:N56">
    <cfRule type="cellIs" dxfId="1208" priority="83" operator="equal">
      <formula>"!"</formula>
    </cfRule>
  </conditionalFormatting>
  <conditionalFormatting sqref="Y56">
    <cfRule type="cellIs" dxfId="1207" priority="82" operator="equal">
      <formula>1</formula>
    </cfRule>
  </conditionalFormatting>
  <conditionalFormatting sqref="S56 V56:X56">
    <cfRule type="cellIs" dxfId="1206" priority="81" operator="equal">
      <formula>"!"</formula>
    </cfRule>
  </conditionalFormatting>
  <conditionalFormatting sqref="T56">
    <cfRule type="cellIs" dxfId="1205" priority="79" operator="equal">
      <formula>2</formula>
    </cfRule>
    <cfRule type="cellIs" dxfId="1204" priority="80" operator="equal">
      <formula>1</formula>
    </cfRule>
  </conditionalFormatting>
  <conditionalFormatting sqref="L57:N57">
    <cfRule type="cellIs" dxfId="1203" priority="78" operator="equal">
      <formula>"!"</formula>
    </cfRule>
  </conditionalFormatting>
  <conditionalFormatting sqref="L60:N60">
    <cfRule type="cellIs" dxfId="1202" priority="77" operator="equal">
      <formula>"!"</formula>
    </cfRule>
  </conditionalFormatting>
  <conditionalFormatting sqref="Y60">
    <cfRule type="cellIs" dxfId="1201" priority="76" operator="equal">
      <formula>1</formula>
    </cfRule>
  </conditionalFormatting>
  <conditionalFormatting sqref="V60:X60 S60">
    <cfRule type="cellIs" dxfId="1200" priority="75" operator="equal">
      <formula>"!"</formula>
    </cfRule>
  </conditionalFormatting>
  <conditionalFormatting sqref="T60">
    <cfRule type="cellIs" dxfId="1199" priority="73" operator="equal">
      <formula>2</formula>
    </cfRule>
    <cfRule type="cellIs" dxfId="1198" priority="74" operator="equal">
      <formula>1</formula>
    </cfRule>
  </conditionalFormatting>
  <conditionalFormatting sqref="L63:N63">
    <cfRule type="cellIs" dxfId="1197" priority="72" operator="equal">
      <formula>"!"</formula>
    </cfRule>
  </conditionalFormatting>
  <conditionalFormatting sqref="Y63">
    <cfRule type="cellIs" dxfId="1196" priority="71" operator="equal">
      <formula>1</formula>
    </cfRule>
  </conditionalFormatting>
  <conditionalFormatting sqref="S63 V63:X63">
    <cfRule type="cellIs" dxfId="1195" priority="70" operator="equal">
      <formula>"!"</formula>
    </cfRule>
  </conditionalFormatting>
  <conditionalFormatting sqref="T63">
    <cfRule type="cellIs" dxfId="1194" priority="68" operator="equal">
      <formula>2</formula>
    </cfRule>
    <cfRule type="cellIs" dxfId="1193" priority="69" operator="equal">
      <formula>1</formula>
    </cfRule>
  </conditionalFormatting>
  <conditionalFormatting sqref="H63">
    <cfRule type="cellIs" dxfId="1192" priority="64" operator="equal">
      <formula>100</formula>
    </cfRule>
    <cfRule type="cellIs" dxfId="1191" priority="65" operator="equal">
      <formula>50</formula>
    </cfRule>
    <cfRule type="cellIs" dxfId="1190" priority="66" operator="equal">
      <formula>20</formula>
    </cfRule>
    <cfRule type="cellIs" dxfId="1189" priority="67" operator="equal">
      <formula>6</formula>
    </cfRule>
  </conditionalFormatting>
  <conditionalFormatting sqref="I63:J63">
    <cfRule type="cellIs" dxfId="1188" priority="60" operator="equal">
      <formula>50</formula>
    </cfRule>
    <cfRule type="cellIs" dxfId="1187" priority="61" operator="equal">
      <formula>20</formula>
    </cfRule>
    <cfRule type="cellIs" dxfId="1186" priority="62" operator="equal">
      <formula>6</formula>
    </cfRule>
    <cfRule type="cellIs" dxfId="1185" priority="63" operator="equal">
      <formula>3</formula>
    </cfRule>
  </conditionalFormatting>
  <conditionalFormatting sqref="K63">
    <cfRule type="cellIs" dxfId="1184" priority="56" operator="equal">
      <formula>"4 pt"</formula>
    </cfRule>
    <cfRule type="cellIs" dxfId="1183" priority="57" operator="equal">
      <formula>"3 pt"</formula>
    </cfRule>
    <cfRule type="cellIs" dxfId="1182" priority="58" operator="equal">
      <formula>"2 pt"</formula>
    </cfRule>
    <cfRule type="cellIs" dxfId="1181" priority="59" operator="equal">
      <formula>"1 pt"</formula>
    </cfRule>
  </conditionalFormatting>
  <conditionalFormatting sqref="L65:N65">
    <cfRule type="cellIs" dxfId="1180" priority="55" operator="equal">
      <formula>"!"</formula>
    </cfRule>
  </conditionalFormatting>
  <conditionalFormatting sqref="Y65">
    <cfRule type="cellIs" dxfId="1179" priority="54" operator="equal">
      <formula>1</formula>
    </cfRule>
  </conditionalFormatting>
  <conditionalFormatting sqref="S65 V65:X65">
    <cfRule type="cellIs" dxfId="1178" priority="53" operator="equal">
      <formula>"!"</formula>
    </cfRule>
  </conditionalFormatting>
  <conditionalFormatting sqref="T65">
    <cfRule type="cellIs" dxfId="1177" priority="51" operator="equal">
      <formula>2</formula>
    </cfRule>
    <cfRule type="cellIs" dxfId="1176" priority="52" operator="equal">
      <formula>1</formula>
    </cfRule>
  </conditionalFormatting>
  <conditionalFormatting sqref="L66:N66">
    <cfRule type="cellIs" dxfId="1175" priority="50" operator="equal">
      <formula>"!"</formula>
    </cfRule>
  </conditionalFormatting>
  <conditionalFormatting sqref="Y68">
    <cfRule type="cellIs" dxfId="1174" priority="49" operator="equal">
      <formula>1</formula>
    </cfRule>
  </conditionalFormatting>
  <conditionalFormatting sqref="L69:N69">
    <cfRule type="cellIs" dxfId="1173" priority="48" operator="equal">
      <formula>"!"</formula>
    </cfRule>
  </conditionalFormatting>
  <conditionalFormatting sqref="V69:X69 S69">
    <cfRule type="cellIs" dxfId="1172" priority="47" operator="equal">
      <formula>"!"</formula>
    </cfRule>
  </conditionalFormatting>
  <conditionalFormatting sqref="Y69">
    <cfRule type="cellIs" dxfId="1171" priority="46" operator="equal">
      <formula>1</formula>
    </cfRule>
  </conditionalFormatting>
  <conditionalFormatting sqref="T69">
    <cfRule type="cellIs" dxfId="1170" priority="44" operator="equal">
      <formula>2</formula>
    </cfRule>
    <cfRule type="cellIs" dxfId="1169" priority="45" operator="equal">
      <formula>1</formula>
    </cfRule>
  </conditionalFormatting>
  <conditionalFormatting sqref="H69">
    <cfRule type="cellIs" dxfId="1168" priority="40" operator="equal">
      <formula>100</formula>
    </cfRule>
    <cfRule type="cellIs" dxfId="1167" priority="41" operator="equal">
      <formula>50</formula>
    </cfRule>
    <cfRule type="cellIs" dxfId="1166" priority="42" operator="equal">
      <formula>20</formula>
    </cfRule>
    <cfRule type="cellIs" dxfId="1165" priority="43" operator="equal">
      <formula>6</formula>
    </cfRule>
  </conditionalFormatting>
  <conditionalFormatting sqref="I69:J69">
    <cfRule type="cellIs" dxfId="1164" priority="36" operator="equal">
      <formula>50</formula>
    </cfRule>
    <cfRule type="cellIs" dxfId="1163" priority="37" operator="equal">
      <formula>20</formula>
    </cfRule>
    <cfRule type="cellIs" dxfId="1162" priority="38" operator="equal">
      <formula>6</formula>
    </cfRule>
    <cfRule type="cellIs" dxfId="1161" priority="39" operator="equal">
      <formula>3</formula>
    </cfRule>
  </conditionalFormatting>
  <conditionalFormatting sqref="K69">
    <cfRule type="cellIs" dxfId="1160" priority="32" operator="equal">
      <formula>"4 pt"</formula>
    </cfRule>
    <cfRule type="cellIs" dxfId="1159" priority="33" operator="equal">
      <formula>"3 pt"</formula>
    </cfRule>
    <cfRule type="cellIs" dxfId="1158" priority="34" operator="equal">
      <formula>"2 pt"</formula>
    </cfRule>
    <cfRule type="cellIs" dxfId="1157" priority="35" operator="equal">
      <formula>"1 pt"</formula>
    </cfRule>
  </conditionalFormatting>
  <conditionalFormatting sqref="Y74">
    <cfRule type="cellIs" dxfId="1156" priority="31" operator="equal">
      <formula>1</formula>
    </cfRule>
  </conditionalFormatting>
  <conditionalFormatting sqref="Y75">
    <cfRule type="cellIs" dxfId="1155" priority="30" operator="equal">
      <formula>1</formula>
    </cfRule>
  </conditionalFormatting>
  <conditionalFormatting sqref="Y78">
    <cfRule type="cellIs" dxfId="1154" priority="29" operator="equal">
      <formula>1</formula>
    </cfRule>
  </conditionalFormatting>
  <conditionalFormatting sqref="L80:N80">
    <cfRule type="cellIs" dxfId="1153" priority="28" operator="equal">
      <formula>"!"</formula>
    </cfRule>
  </conditionalFormatting>
  <conditionalFormatting sqref="S80 V80:X80">
    <cfRule type="cellIs" dxfId="1152" priority="27" operator="equal">
      <formula>"!"</formula>
    </cfRule>
  </conditionalFormatting>
  <conditionalFormatting sqref="Y80">
    <cfRule type="cellIs" dxfId="1151" priority="26" operator="equal">
      <formula>1</formula>
    </cfRule>
  </conditionalFormatting>
  <conditionalFormatting sqref="T80">
    <cfRule type="cellIs" dxfId="1150" priority="24" operator="equal">
      <formula>2</formula>
    </cfRule>
    <cfRule type="cellIs" dxfId="1149" priority="25" operator="equal">
      <formula>1</formula>
    </cfRule>
  </conditionalFormatting>
  <conditionalFormatting sqref="H32">
    <cfRule type="cellIs" dxfId="1148" priority="20" operator="equal">
      <formula>100</formula>
    </cfRule>
    <cfRule type="cellIs" dxfId="1147" priority="21" operator="equal">
      <formula>50</formula>
    </cfRule>
    <cfRule type="cellIs" dxfId="1146" priority="22" operator="equal">
      <formula>20</formula>
    </cfRule>
    <cfRule type="cellIs" dxfId="1145" priority="23" operator="equal">
      <formula>6</formula>
    </cfRule>
  </conditionalFormatting>
  <conditionalFormatting sqref="I32:J32">
    <cfRule type="cellIs" dxfId="1144" priority="16" operator="equal">
      <formula>50</formula>
    </cfRule>
    <cfRule type="cellIs" dxfId="1143" priority="17" operator="equal">
      <formula>20</formula>
    </cfRule>
    <cfRule type="cellIs" dxfId="1142" priority="18" operator="equal">
      <formula>6</formula>
    </cfRule>
    <cfRule type="cellIs" dxfId="1141" priority="19" operator="equal">
      <formula>3</formula>
    </cfRule>
  </conditionalFormatting>
  <conditionalFormatting sqref="K32">
    <cfRule type="cellIs" dxfId="1140" priority="12" operator="equal">
      <formula>"4 pt"</formula>
    </cfRule>
    <cfRule type="cellIs" dxfId="1139" priority="13" operator="equal">
      <formula>"3 pt"</formula>
    </cfRule>
    <cfRule type="cellIs" dxfId="1138" priority="14" operator="equal">
      <formula>"2 pt"</formula>
    </cfRule>
    <cfRule type="cellIs" dxfId="1137" priority="15" operator="equal">
      <formula>"1 pt"</formula>
    </cfRule>
  </conditionalFormatting>
  <conditionalFormatting sqref="Z32:AK32">
    <cfRule type="cellIs" dxfId="1136" priority="6" operator="equal">
      <formula>3</formula>
    </cfRule>
    <cfRule type="cellIs" dxfId="1135" priority="7" operator="equal">
      <formula>2</formula>
    </cfRule>
    <cfRule type="cellIs" dxfId="1134" priority="8" operator="equal">
      <formula>1</formula>
    </cfRule>
  </conditionalFormatting>
  <conditionalFormatting sqref="Q32:R32">
    <cfRule type="cellIs" dxfId="1133" priority="9" operator="greaterThan">
      <formula>1000</formula>
    </cfRule>
    <cfRule type="cellIs" dxfId="1132" priority="10" operator="between">
      <formula>10</formula>
      <formula>1000</formula>
    </cfRule>
    <cfRule type="cellIs" dxfId="1131" priority="11" operator="lessThan">
      <formula>10</formula>
    </cfRule>
  </conditionalFormatting>
  <conditionalFormatting sqref="L32:N32">
    <cfRule type="cellIs" dxfId="1130" priority="5" operator="equal">
      <formula>"!"</formula>
    </cfRule>
  </conditionalFormatting>
  <conditionalFormatting sqref="S32 V32:X32">
    <cfRule type="cellIs" dxfId="1129" priority="4" operator="equal">
      <formula>"!"</formula>
    </cfRule>
  </conditionalFormatting>
  <conditionalFormatting sqref="Y32">
    <cfRule type="cellIs" dxfId="1128" priority="3" operator="equal">
      <formula>1</formula>
    </cfRule>
  </conditionalFormatting>
  <conditionalFormatting sqref="T32">
    <cfRule type="cellIs" dxfId="1127" priority="1" operator="equal">
      <formula>2</formula>
    </cfRule>
    <cfRule type="cellIs" dxfId="1126" priority="2" operator="equal">
      <formula>1</formula>
    </cfRule>
  </conditionalFormatting>
  <hyperlinks>
    <hyperlink ref="A1" location="Parcelle!A1" display="Retour" xr:uid="{00000000-0004-0000-0400-000000000000}"/>
  </hyperlink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Footer>&amp;LSPP-DGAV&amp;Rwww.vd.ch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"/>
  <dimension ref="A1:N271"/>
  <sheetViews>
    <sheetView workbookViewId="0">
      <pane xSplit="1" ySplit="1" topLeftCell="B215" activePane="bottomRight" state="frozen"/>
      <selection pane="topRight" activeCell="B1" sqref="B1"/>
      <selection pane="bottomLeft" activeCell="A2" sqref="A2"/>
      <selection pane="bottomRight" activeCell="A218" sqref="A218"/>
    </sheetView>
  </sheetViews>
  <sheetFormatPr baseColWidth="10" defaultColWidth="11.42578125" defaultRowHeight="15" x14ac:dyDescent="0.25"/>
  <cols>
    <col min="1" max="2" width="11.42578125" style="21"/>
    <col min="3" max="3" width="28.140625" style="21" bestFit="1" customWidth="1"/>
    <col min="4" max="4" width="25.7109375" style="21" customWidth="1"/>
    <col min="5" max="5" width="28.28515625" style="21" customWidth="1"/>
    <col min="6" max="8" width="11.42578125" style="21"/>
  </cols>
  <sheetData>
    <row r="1" spans="1:8" x14ac:dyDescent="0.25">
      <c r="A1" s="66" t="str">
        <f>IF($G$1=1,C1,(IF($G$1=2,D1,IF($G$1=3,E1,""))))</f>
        <v>Français</v>
      </c>
      <c r="B1" s="66"/>
      <c r="C1" s="66" t="s">
        <v>0</v>
      </c>
      <c r="D1" s="66" t="s">
        <v>421</v>
      </c>
      <c r="E1" s="76" t="s">
        <v>671</v>
      </c>
      <c r="G1" s="21">
        <f>IF(Description!D1=H1,1,IF(Description!D1=H2,2,IF(Description!D1=H3,3,"")))</f>
        <v>1</v>
      </c>
      <c r="H1" s="21" t="s">
        <v>0</v>
      </c>
    </row>
    <row r="2" spans="1:8" x14ac:dyDescent="0.25">
      <c r="A2" s="66" t="str">
        <f>IF($G$1=1,C2,(IF($G$1=2,D2,IF($G$1=3,E2,""))))</f>
        <v>Sprachwahl</v>
      </c>
      <c r="B2" s="66"/>
      <c r="C2" s="66" t="s">
        <v>422</v>
      </c>
      <c r="D2" s="66" t="s">
        <v>423</v>
      </c>
      <c r="E2" s="72" t="s">
        <v>678</v>
      </c>
      <c r="H2" s="21" t="s">
        <v>424</v>
      </c>
    </row>
    <row r="3" spans="1:8" x14ac:dyDescent="0.25">
      <c r="A3" s="71" t="str">
        <f t="shared" ref="A3:A82" si="0">IF($G$1=1,C3,(IF($G$1=2,D3,IF($G$1=3,E3,""))))</f>
        <v>Retour</v>
      </c>
      <c r="B3" s="66"/>
      <c r="C3" s="66" t="s">
        <v>376</v>
      </c>
      <c r="D3" s="66" t="s">
        <v>425</v>
      </c>
      <c r="E3" s="72" t="s">
        <v>679</v>
      </c>
      <c r="H3" s="21" t="s">
        <v>671</v>
      </c>
    </row>
    <row r="4" spans="1:8" x14ac:dyDescent="0.25">
      <c r="A4" s="71" t="str">
        <f t="shared" si="0"/>
        <v>Groupes de résistance RAC</v>
      </c>
      <c r="B4" s="66"/>
      <c r="C4" s="66" t="s">
        <v>380</v>
      </c>
      <c r="D4" s="66" t="s">
        <v>426</v>
      </c>
      <c r="E4" s="72" t="s">
        <v>680</v>
      </c>
    </row>
    <row r="5" spans="1:8" x14ac:dyDescent="0.25">
      <c r="A5" s="71" t="str">
        <f t="shared" si="0"/>
        <v>Distance en m sans traitement</v>
      </c>
      <c r="B5" s="66"/>
      <c r="C5" s="66" t="s">
        <v>381</v>
      </c>
      <c r="D5" s="66" t="s">
        <v>427</v>
      </c>
      <c r="E5" s="72" t="s">
        <v>681</v>
      </c>
    </row>
    <row r="6" spans="1:8" x14ac:dyDescent="0.25">
      <c r="A6" s="71" t="str">
        <f t="shared" si="0"/>
        <v>Réduction d'utilisation</v>
      </c>
      <c r="B6" s="66"/>
      <c r="C6" s="66" t="s">
        <v>382</v>
      </c>
      <c r="D6" s="66" t="s">
        <v>428</v>
      </c>
      <c r="E6" s="72" t="s">
        <v>682</v>
      </c>
    </row>
    <row r="7" spans="1:8" x14ac:dyDescent="0.25">
      <c r="A7" s="71" t="str">
        <f t="shared" si="0"/>
        <v>Risques</v>
      </c>
      <c r="B7" s="66"/>
      <c r="C7" s="66" t="s">
        <v>966</v>
      </c>
      <c r="D7" s="66" t="s">
        <v>429</v>
      </c>
      <c r="E7" s="72" t="s">
        <v>1582</v>
      </c>
    </row>
    <row r="8" spans="1:8" x14ac:dyDescent="0.25">
      <c r="A8" s="71" t="str">
        <f t="shared" si="0"/>
        <v>Protection utilisateur</v>
      </c>
      <c r="B8" s="66"/>
      <c r="C8" s="66" t="s">
        <v>981</v>
      </c>
      <c r="D8" s="66" t="s">
        <v>430</v>
      </c>
      <c r="E8" s="72" t="s">
        <v>683</v>
      </c>
    </row>
    <row r="9" spans="1:8" x14ac:dyDescent="0.25">
      <c r="A9" s="71" t="str">
        <f t="shared" si="0"/>
        <v>Utilisation en PER</v>
      </c>
      <c r="B9" s="66"/>
      <c r="C9" s="66" t="s">
        <v>1819</v>
      </c>
      <c r="D9" s="66" t="s">
        <v>1820</v>
      </c>
      <c r="E9" s="72" t="s">
        <v>684</v>
      </c>
    </row>
    <row r="10" spans="1:8" x14ac:dyDescent="0.25">
      <c r="A10" s="71" t="str">
        <f t="shared" si="0"/>
        <v>Produit</v>
      </c>
      <c r="B10" s="66"/>
      <c r="C10" s="66" t="s">
        <v>385</v>
      </c>
      <c r="D10" s="66" t="s">
        <v>431</v>
      </c>
      <c r="E10" s="72" t="s">
        <v>685</v>
      </c>
    </row>
    <row r="11" spans="1:8" s="109" customFormat="1" x14ac:dyDescent="0.25">
      <c r="A11" s="71" t="str">
        <f t="shared" si="0"/>
        <v>No homologation</v>
      </c>
      <c r="B11" s="71"/>
      <c r="C11" s="110" t="s">
        <v>1444</v>
      </c>
      <c r="D11" s="110" t="s">
        <v>1447</v>
      </c>
      <c r="E11" s="72" t="s">
        <v>1446</v>
      </c>
      <c r="F11" s="21"/>
      <c r="G11" s="21"/>
      <c r="H11" s="21"/>
    </row>
    <row r="12" spans="1:8" x14ac:dyDescent="0.25">
      <c r="A12" s="71" t="str">
        <f t="shared" si="0"/>
        <v>Type</v>
      </c>
      <c r="B12" s="66"/>
      <c r="C12" s="66" t="s">
        <v>1</v>
      </c>
      <c r="D12" s="66" t="s">
        <v>432</v>
      </c>
      <c r="E12" s="72" t="s">
        <v>686</v>
      </c>
    </row>
    <row r="13" spans="1:8" x14ac:dyDescent="0.25">
      <c r="A13" s="71" t="str">
        <f t="shared" si="0"/>
        <v>Firme</v>
      </c>
      <c r="B13" s="66"/>
      <c r="C13" s="66" t="s">
        <v>386</v>
      </c>
      <c r="D13" s="66" t="s">
        <v>433</v>
      </c>
      <c r="E13" s="72" t="s">
        <v>687</v>
      </c>
    </row>
    <row r="14" spans="1:8" x14ac:dyDescent="0.25">
      <c r="A14" s="71" t="str">
        <f t="shared" si="0"/>
        <v>SA 1</v>
      </c>
      <c r="B14" s="66"/>
      <c r="C14" s="66" t="s">
        <v>387</v>
      </c>
      <c r="D14" s="66" t="s">
        <v>434</v>
      </c>
      <c r="E14" s="72" t="s">
        <v>688</v>
      </c>
    </row>
    <row r="15" spans="1:8" x14ac:dyDescent="0.25">
      <c r="A15" s="71" t="str">
        <f t="shared" si="0"/>
        <v>SA 2</v>
      </c>
      <c r="B15" s="66"/>
      <c r="C15" s="66" t="s">
        <v>388</v>
      </c>
      <c r="D15" s="66" t="s">
        <v>435</v>
      </c>
      <c r="E15" s="72" t="s">
        <v>689</v>
      </c>
    </row>
    <row r="16" spans="1:8" x14ac:dyDescent="0.25">
      <c r="A16" s="71" t="str">
        <f t="shared" si="0"/>
        <v>SA3</v>
      </c>
      <c r="B16" s="66"/>
      <c r="C16" s="66" t="s">
        <v>10</v>
      </c>
      <c r="D16" s="66" t="s">
        <v>436</v>
      </c>
      <c r="E16" s="72" t="s">
        <v>690</v>
      </c>
    </row>
    <row r="17" spans="1:8" x14ac:dyDescent="0.25">
      <c r="A17" s="71" t="str">
        <f t="shared" si="0"/>
        <v>SA4</v>
      </c>
      <c r="B17" s="71"/>
      <c r="C17" s="71" t="s">
        <v>11</v>
      </c>
      <c r="D17" s="71" t="s">
        <v>906</v>
      </c>
      <c r="E17" s="72" t="s">
        <v>907</v>
      </c>
    </row>
    <row r="18" spans="1:8" x14ac:dyDescent="0.25">
      <c r="A18" s="71" t="s">
        <v>908</v>
      </c>
      <c r="B18" s="71"/>
      <c r="C18" s="71"/>
      <c r="D18" s="71"/>
      <c r="E18" s="72"/>
    </row>
    <row r="19" spans="1:8" x14ac:dyDescent="0.25">
      <c r="A19" s="71" t="str">
        <f t="shared" si="0"/>
        <v>Eau surface</v>
      </c>
      <c r="B19" s="66"/>
      <c r="C19" s="66" t="s">
        <v>1913</v>
      </c>
      <c r="D19" s="66" t="s">
        <v>533</v>
      </c>
      <c r="E19" s="72" t="s">
        <v>746</v>
      </c>
    </row>
    <row r="20" spans="1:8" x14ac:dyDescent="0.25">
      <c r="A20" s="71" t="str">
        <f t="shared" si="0"/>
        <v>Ruissellement</v>
      </c>
      <c r="B20" s="66"/>
      <c r="C20" s="66" t="s">
        <v>389</v>
      </c>
      <c r="D20" s="66" t="s">
        <v>437</v>
      </c>
      <c r="E20" s="72" t="s">
        <v>691</v>
      </c>
    </row>
    <row r="21" spans="1:8" x14ac:dyDescent="0.25">
      <c r="A21" s="71" t="str">
        <f t="shared" si="0"/>
        <v>Biotopes</v>
      </c>
      <c r="B21" s="66"/>
      <c r="C21" s="66" t="s">
        <v>390</v>
      </c>
      <c r="D21" s="66" t="s">
        <v>438</v>
      </c>
      <c r="E21" s="72" t="s">
        <v>692</v>
      </c>
    </row>
    <row r="22" spans="1:8" s="157" customFormat="1" x14ac:dyDescent="0.25">
      <c r="A22" s="71" t="str">
        <f t="shared" si="0"/>
        <v>Public</v>
      </c>
      <c r="B22" s="71"/>
      <c r="C22" s="110" t="s">
        <v>1927</v>
      </c>
      <c r="D22" s="110" t="s">
        <v>1580</v>
      </c>
      <c r="E22" s="72" t="s">
        <v>1581</v>
      </c>
      <c r="F22" s="21"/>
      <c r="G22" s="21"/>
      <c r="H22" s="21"/>
    </row>
    <row r="23" spans="1:8" x14ac:dyDescent="0.25">
      <c r="A23" s="71" t="str">
        <f t="shared" si="0"/>
        <v>S2</v>
      </c>
      <c r="B23" s="66"/>
      <c r="C23" s="66" t="s">
        <v>391</v>
      </c>
      <c r="D23" s="66" t="s">
        <v>391</v>
      </c>
      <c r="E23" s="72" t="s">
        <v>391</v>
      </c>
    </row>
    <row r="24" spans="1:8" x14ac:dyDescent="0.25">
      <c r="A24" s="71" t="str">
        <f t="shared" si="0"/>
        <v>K</v>
      </c>
      <c r="B24" s="66"/>
      <c r="C24" s="66" t="s">
        <v>392</v>
      </c>
      <c r="D24" s="66" t="s">
        <v>392</v>
      </c>
      <c r="E24" s="72" t="s">
        <v>248</v>
      </c>
    </row>
    <row r="25" spans="1:8" x14ac:dyDescent="0.25">
      <c r="A25" s="71" t="str">
        <f t="shared" si="0"/>
        <v>Risque captages</v>
      </c>
      <c r="B25" s="66"/>
      <c r="C25" s="66" t="s">
        <v>393</v>
      </c>
      <c r="D25" s="66" t="s">
        <v>439</v>
      </c>
      <c r="E25" s="72" t="s">
        <v>693</v>
      </c>
    </row>
    <row r="26" spans="1:8" x14ac:dyDescent="0.25">
      <c r="A26" s="71" t="str">
        <f t="shared" si="0"/>
        <v>Fréquence</v>
      </c>
      <c r="B26" s="66"/>
      <c r="C26" s="66" t="s">
        <v>394</v>
      </c>
      <c r="D26" s="66" t="s">
        <v>440</v>
      </c>
      <c r="E26" s="72" t="s">
        <v>694</v>
      </c>
    </row>
    <row r="27" spans="1:8" x14ac:dyDescent="0.25">
      <c r="A27" s="71" t="str">
        <f t="shared" si="0"/>
        <v>PAP</v>
      </c>
      <c r="B27" s="66"/>
      <c r="C27" s="66" t="s">
        <v>395</v>
      </c>
      <c r="D27" s="66" t="s">
        <v>441</v>
      </c>
      <c r="E27" s="72" t="s">
        <v>695</v>
      </c>
    </row>
    <row r="28" spans="1:8" s="150" customFormat="1" x14ac:dyDescent="0.25">
      <c r="A28" s="71" t="str">
        <f t="shared" si="0"/>
        <v>Eau de surface</v>
      </c>
      <c r="B28" s="71"/>
      <c r="C28" s="110" t="s">
        <v>1583</v>
      </c>
      <c r="D28" s="110" t="s">
        <v>1584</v>
      </c>
      <c r="E28" s="72" t="s">
        <v>1585</v>
      </c>
      <c r="F28" s="21"/>
      <c r="G28" s="21"/>
      <c r="H28" s="21"/>
    </row>
    <row r="29" spans="1:8" x14ac:dyDescent="0.25">
      <c r="A29" s="71" t="str">
        <f t="shared" si="0"/>
        <v>Poisson</v>
      </c>
      <c r="B29" s="66"/>
      <c r="C29" s="66" t="s">
        <v>396</v>
      </c>
      <c r="D29" s="66" t="s">
        <v>442</v>
      </c>
      <c r="E29" s="72" t="s">
        <v>696</v>
      </c>
    </row>
    <row r="30" spans="1:8" x14ac:dyDescent="0.25">
      <c r="A30" s="71" t="str">
        <f t="shared" si="0"/>
        <v>Abeille</v>
      </c>
      <c r="B30" s="66"/>
      <c r="C30" s="66" t="s">
        <v>397</v>
      </c>
      <c r="D30" s="66" t="s">
        <v>443</v>
      </c>
      <c r="E30" s="72" t="s">
        <v>697</v>
      </c>
    </row>
    <row r="31" spans="1:8" x14ac:dyDescent="0.25">
      <c r="A31" s="71" t="str">
        <f t="shared" si="0"/>
        <v>Visière</v>
      </c>
      <c r="B31" s="66"/>
      <c r="C31" s="66" t="s">
        <v>915</v>
      </c>
      <c r="D31" s="66" t="s">
        <v>444</v>
      </c>
      <c r="E31" s="72" t="s">
        <v>698</v>
      </c>
    </row>
    <row r="32" spans="1:8" x14ac:dyDescent="0.25">
      <c r="A32" s="71" t="str">
        <f t="shared" si="0"/>
        <v>Masque</v>
      </c>
      <c r="B32" s="66"/>
      <c r="C32" s="66" t="s">
        <v>445</v>
      </c>
      <c r="D32" s="66" t="s">
        <v>446</v>
      </c>
      <c r="E32" s="72" t="s">
        <v>699</v>
      </c>
    </row>
    <row r="33" spans="1:8" x14ac:dyDescent="0.25">
      <c r="A33" s="71" t="str">
        <f t="shared" si="0"/>
        <v>Application</v>
      </c>
      <c r="B33" s="66"/>
      <c r="C33" s="66" t="s">
        <v>447</v>
      </c>
      <c r="D33" s="66" t="s">
        <v>448</v>
      </c>
      <c r="E33" s="72" t="s">
        <v>700</v>
      </c>
    </row>
    <row r="34" spans="1:8" x14ac:dyDescent="0.25">
      <c r="A34" s="71" t="str">
        <f t="shared" si="0"/>
        <v>Réentrée</v>
      </c>
      <c r="B34" s="66"/>
      <c r="C34" s="66" t="s">
        <v>449</v>
      </c>
      <c r="D34" s="66" t="s">
        <v>450</v>
      </c>
      <c r="E34" s="72" t="s">
        <v>701</v>
      </c>
    </row>
    <row r="35" spans="1:8" s="111" customFormat="1" x14ac:dyDescent="0.25">
      <c r="A35" s="71" t="str">
        <f t="shared" si="0"/>
        <v>Résidents</v>
      </c>
      <c r="B35" s="71"/>
      <c r="C35" s="110" t="s">
        <v>1502</v>
      </c>
      <c r="D35" s="110" t="s">
        <v>1503</v>
      </c>
      <c r="E35" s="72" t="s">
        <v>1504</v>
      </c>
      <c r="F35" s="21"/>
      <c r="G35" s="21"/>
      <c r="H35" s="21"/>
    </row>
    <row r="36" spans="1:8" x14ac:dyDescent="0.25">
      <c r="A36" s="71" t="str">
        <f t="shared" si="0"/>
        <v>Céréales</v>
      </c>
      <c r="B36" s="66"/>
      <c r="C36" s="66" t="s">
        <v>399</v>
      </c>
      <c r="D36" s="66" t="s">
        <v>451</v>
      </c>
      <c r="E36" s="72" t="s">
        <v>702</v>
      </c>
    </row>
    <row r="37" spans="1:8" x14ac:dyDescent="0.25">
      <c r="A37" s="71" t="str">
        <f t="shared" si="0"/>
        <v>Betteraves</v>
      </c>
      <c r="B37" s="66"/>
      <c r="C37" s="66" t="s">
        <v>400</v>
      </c>
      <c r="D37" s="66" t="s">
        <v>452</v>
      </c>
      <c r="E37" s="72" t="s">
        <v>703</v>
      </c>
    </row>
    <row r="38" spans="1:8" x14ac:dyDescent="0.25">
      <c r="A38" s="71" t="str">
        <f t="shared" si="0"/>
        <v>Pdt</v>
      </c>
      <c r="B38" s="66"/>
      <c r="C38" s="66" t="s">
        <v>401</v>
      </c>
      <c r="D38" s="66" t="s">
        <v>453</v>
      </c>
      <c r="E38" s="72" t="s">
        <v>704</v>
      </c>
    </row>
    <row r="39" spans="1:8" x14ac:dyDescent="0.25">
      <c r="A39" s="71" t="str">
        <f t="shared" si="0"/>
        <v>Maïs</v>
      </c>
      <c r="B39" s="66"/>
      <c r="C39" s="66" t="s">
        <v>402</v>
      </c>
      <c r="D39" s="66" t="s">
        <v>454</v>
      </c>
      <c r="E39" s="72" t="s">
        <v>454</v>
      </c>
    </row>
    <row r="40" spans="1:8" x14ac:dyDescent="0.25">
      <c r="A40" s="71" t="str">
        <f t="shared" si="0"/>
        <v>Colza</v>
      </c>
      <c r="B40" s="66"/>
      <c r="C40" s="66" t="s">
        <v>403</v>
      </c>
      <c r="D40" s="66" t="s">
        <v>455</v>
      </c>
      <c r="E40" s="72" t="s">
        <v>403</v>
      </c>
    </row>
    <row r="41" spans="1:8" x14ac:dyDescent="0.25">
      <c r="A41" s="71" t="str">
        <f t="shared" si="0"/>
        <v>Tournesol</v>
      </c>
      <c r="B41" s="66"/>
      <c r="C41" s="66" t="s">
        <v>404</v>
      </c>
      <c r="D41" s="66" t="s">
        <v>456</v>
      </c>
      <c r="E41" s="72" t="s">
        <v>705</v>
      </c>
    </row>
    <row r="42" spans="1:8" x14ac:dyDescent="0.25">
      <c r="A42" s="71" t="str">
        <f t="shared" si="0"/>
        <v>Pois</v>
      </c>
      <c r="B42" s="66"/>
      <c r="C42" s="66" t="s">
        <v>405</v>
      </c>
      <c r="D42" s="66" t="s">
        <v>457</v>
      </c>
      <c r="E42" s="72" t="s">
        <v>706</v>
      </c>
    </row>
    <row r="43" spans="1:8" x14ac:dyDescent="0.25">
      <c r="A43" s="71" t="str">
        <f t="shared" si="0"/>
        <v>Soja</v>
      </c>
      <c r="B43" s="66"/>
      <c r="C43" s="66" t="s">
        <v>1922</v>
      </c>
      <c r="D43" s="66" t="s">
        <v>1922</v>
      </c>
      <c r="E43" s="72" t="s">
        <v>1922</v>
      </c>
    </row>
    <row r="44" spans="1:8" s="163" customFormat="1" x14ac:dyDescent="0.25">
      <c r="A44" s="110" t="str">
        <f t="shared" si="0"/>
        <v>Féverole</v>
      </c>
      <c r="B44" s="71"/>
      <c r="C44" s="110" t="s">
        <v>1923</v>
      </c>
      <c r="D44" s="110" t="s">
        <v>2027</v>
      </c>
      <c r="E44" s="72" t="s">
        <v>2028</v>
      </c>
      <c r="F44" s="21"/>
      <c r="G44" s="21"/>
      <c r="H44" s="21"/>
    </row>
    <row r="45" spans="1:8" s="163" customFormat="1" x14ac:dyDescent="0.25">
      <c r="A45" s="110" t="str">
        <f t="shared" si="0"/>
        <v>Lupin</v>
      </c>
      <c r="B45" s="71"/>
      <c r="C45" s="110" t="s">
        <v>1924</v>
      </c>
      <c r="D45" s="110" t="s">
        <v>2029</v>
      </c>
      <c r="E45" s="72" t="s">
        <v>2030</v>
      </c>
      <c r="F45" s="21"/>
      <c r="G45" s="21"/>
      <c r="H45" s="21"/>
    </row>
    <row r="46" spans="1:8" x14ac:dyDescent="0.25">
      <c r="A46" s="71" t="str">
        <f t="shared" si="0"/>
        <v>Tabac</v>
      </c>
      <c r="B46" s="66"/>
      <c r="C46" s="66" t="s">
        <v>406</v>
      </c>
      <c r="D46" s="66" t="s">
        <v>458</v>
      </c>
      <c r="E46" s="72" t="s">
        <v>707</v>
      </c>
    </row>
    <row r="47" spans="1:8" x14ac:dyDescent="0.25">
      <c r="A47" s="71" t="str">
        <f t="shared" si="0"/>
        <v>Prairie</v>
      </c>
      <c r="B47" s="66"/>
      <c r="C47" s="66" t="s">
        <v>407</v>
      </c>
      <c r="D47" s="66" t="s">
        <v>459</v>
      </c>
      <c r="E47" s="72" t="s">
        <v>708</v>
      </c>
    </row>
    <row r="48" spans="1:8" x14ac:dyDescent="0.25">
      <c r="A48" s="71" t="str">
        <f t="shared" si="0"/>
        <v>Etat</v>
      </c>
      <c r="B48" s="66"/>
      <c r="C48" s="66" t="s">
        <v>408</v>
      </c>
      <c r="D48" s="66" t="s">
        <v>460</v>
      </c>
      <c r="E48" s="72" t="s">
        <v>709</v>
      </c>
    </row>
    <row r="49" spans="1:11" x14ac:dyDescent="0.25">
      <c r="A49" s="71" t="str">
        <f t="shared" si="0"/>
        <v>Remarque</v>
      </c>
      <c r="B49" s="66"/>
      <c r="C49" s="66" t="s">
        <v>409</v>
      </c>
      <c r="D49" s="66" t="s">
        <v>461</v>
      </c>
      <c r="E49" s="72" t="s">
        <v>710</v>
      </c>
    </row>
    <row r="50" spans="1:11" x14ac:dyDescent="0.25">
      <c r="A50" s="71" t="str">
        <f t="shared" si="0"/>
        <v>Restriction légère</v>
      </c>
      <c r="B50" s="66"/>
      <c r="C50" s="66" t="s">
        <v>462</v>
      </c>
      <c r="D50" s="66" t="s">
        <v>463</v>
      </c>
      <c r="E50" s="72" t="s">
        <v>711</v>
      </c>
    </row>
    <row r="51" spans="1:11" x14ac:dyDescent="0.25">
      <c r="A51" s="71" t="str">
        <f t="shared" si="0"/>
        <v>Restriction moyenne</v>
      </c>
      <c r="B51" s="66"/>
      <c r="C51" s="66" t="s">
        <v>464</v>
      </c>
      <c r="D51" s="66" t="s">
        <v>465</v>
      </c>
      <c r="E51" s="72" t="s">
        <v>712</v>
      </c>
    </row>
    <row r="52" spans="1:11" x14ac:dyDescent="0.25">
      <c r="A52" s="71" t="str">
        <f t="shared" si="0"/>
        <v>Restriction forte</v>
      </c>
      <c r="B52" s="66"/>
      <c r="C52" s="66" t="s">
        <v>466</v>
      </c>
      <c r="D52" s="66" t="s">
        <v>467</v>
      </c>
      <c r="E52" s="72" t="s">
        <v>713</v>
      </c>
    </row>
    <row r="53" spans="1:11" x14ac:dyDescent="0.25">
      <c r="A53" s="71" t="str">
        <f t="shared" si="0"/>
        <v>Restriction très forte</v>
      </c>
      <c r="B53" s="66"/>
      <c r="C53" s="66" t="s">
        <v>468</v>
      </c>
      <c r="D53" s="66" t="s">
        <v>469</v>
      </c>
      <c r="E53" s="72" t="s">
        <v>714</v>
      </c>
    </row>
    <row r="54" spans="1:11" x14ac:dyDescent="0.25">
      <c r="A54" s="71" t="str">
        <f t="shared" si="0"/>
        <v>oui</v>
      </c>
      <c r="B54" s="66"/>
      <c r="C54" s="66" t="s">
        <v>470</v>
      </c>
      <c r="D54" s="66" t="s">
        <v>471</v>
      </c>
      <c r="E54" s="72" t="s">
        <v>715</v>
      </c>
    </row>
    <row r="55" spans="1:11" s="163" customFormat="1" x14ac:dyDescent="0.25">
      <c r="A55" s="110" t="str">
        <f t="shared" si="0"/>
        <v>Potentiel de risque</v>
      </c>
      <c r="B55" s="71"/>
      <c r="C55" s="110" t="s">
        <v>1694</v>
      </c>
      <c r="D55" s="110" t="s">
        <v>1695</v>
      </c>
      <c r="E55" s="72" t="s">
        <v>1696</v>
      </c>
      <c r="F55" s="21"/>
      <c r="G55" s="21"/>
      <c r="H55" s="21"/>
    </row>
    <row r="56" spans="1:11" s="150" customFormat="1" x14ac:dyDescent="0.25">
      <c r="A56" s="71" t="str">
        <f t="shared" si="0"/>
        <v>faible</v>
      </c>
      <c r="B56" s="71"/>
      <c r="C56" s="110" t="s">
        <v>1568</v>
      </c>
      <c r="D56" s="110" t="s">
        <v>1572</v>
      </c>
      <c r="E56" s="72" t="s">
        <v>1576</v>
      </c>
      <c r="F56" s="21"/>
      <c r="G56" s="21"/>
      <c r="H56" s="21"/>
    </row>
    <row r="57" spans="1:11" s="150" customFormat="1" x14ac:dyDescent="0.25">
      <c r="A57" s="71" t="str">
        <f t="shared" si="0"/>
        <v>moyen</v>
      </c>
      <c r="B57" s="71"/>
      <c r="C57" s="110" t="s">
        <v>1569</v>
      </c>
      <c r="D57" s="110" t="s">
        <v>1573</v>
      </c>
      <c r="E57" s="72" t="s">
        <v>1577</v>
      </c>
      <c r="F57" s="21"/>
      <c r="G57" s="21"/>
      <c r="H57" s="21"/>
    </row>
    <row r="58" spans="1:11" s="150" customFormat="1" x14ac:dyDescent="0.25">
      <c r="A58" s="71" t="str">
        <f t="shared" si="0"/>
        <v>élevé</v>
      </c>
      <c r="B58" s="71"/>
      <c r="C58" s="110" t="s">
        <v>1570</v>
      </c>
      <c r="D58" s="110" t="s">
        <v>1574</v>
      </c>
      <c r="E58" s="72" t="s">
        <v>1578</v>
      </c>
      <c r="F58" s="21"/>
      <c r="G58" s="21"/>
      <c r="H58" s="21"/>
    </row>
    <row r="59" spans="1:11" s="150" customFormat="1" x14ac:dyDescent="0.25">
      <c r="A59" s="71" t="str">
        <f t="shared" si="0"/>
        <v>très élevé</v>
      </c>
      <c r="B59" s="71"/>
      <c r="C59" s="110" t="s">
        <v>1571</v>
      </c>
      <c r="D59" s="110" t="s">
        <v>1575</v>
      </c>
      <c r="E59" s="72" t="s">
        <v>1579</v>
      </c>
      <c r="F59" s="21"/>
      <c r="G59" s="21"/>
      <c r="H59" s="21"/>
    </row>
    <row r="60" spans="1:11" x14ac:dyDescent="0.25">
      <c r="A60" s="71" t="str">
        <f t="shared" si="0"/>
        <v>gant + tablier + …</v>
      </c>
      <c r="B60" s="66"/>
      <c r="C60" s="66" t="s">
        <v>472</v>
      </c>
      <c r="D60" s="66" t="s">
        <v>473</v>
      </c>
      <c r="E60" s="72" t="s">
        <v>716</v>
      </c>
    </row>
    <row r="61" spans="1:11" s="39" customFormat="1" x14ac:dyDescent="0.25">
      <c r="A61" s="71" t="str">
        <f t="shared" si="0"/>
        <v>avec tenue de travail</v>
      </c>
      <c r="C61" s="39" t="s">
        <v>1506</v>
      </c>
      <c r="D61" s="39" t="s">
        <v>1505</v>
      </c>
      <c r="E61" s="72" t="s">
        <v>1507</v>
      </c>
    </row>
    <row r="62" spans="1:11" x14ac:dyDescent="0.25">
      <c r="A62" s="71" t="str">
        <f t="shared" si="0"/>
        <v>Homologué</v>
      </c>
      <c r="B62" s="66"/>
      <c r="C62" s="66" t="s">
        <v>474</v>
      </c>
      <c r="D62" s="66" t="s">
        <v>475</v>
      </c>
      <c r="E62" s="72" t="s">
        <v>717</v>
      </c>
    </row>
    <row r="63" spans="1:11" x14ac:dyDescent="0.25">
      <c r="A63" s="71" t="str">
        <f t="shared" si="0"/>
        <v>Homologué et utilisable dans programme non-recours PPh</v>
      </c>
      <c r="B63" s="66"/>
      <c r="C63" s="66" t="s">
        <v>1976</v>
      </c>
      <c r="D63" s="66" t="s">
        <v>1977</v>
      </c>
      <c r="E63" s="72" t="s">
        <v>1978</v>
      </c>
    </row>
    <row r="64" spans="1:11" ht="15" customHeight="1" x14ac:dyDescent="0.25">
      <c r="A64" s="71" t="str">
        <f t="shared" si="0"/>
        <v>Homologué mais soumis à autorisation</v>
      </c>
      <c r="B64" s="66"/>
      <c r="C64" s="66" t="s">
        <v>476</v>
      </c>
      <c r="D64" s="66" t="s">
        <v>477</v>
      </c>
      <c r="E64" s="72" t="s">
        <v>718</v>
      </c>
      <c r="F64" s="60"/>
      <c r="G64" s="60"/>
      <c r="H64" s="60"/>
      <c r="I64" s="45"/>
      <c r="J64" s="45"/>
      <c r="K64" s="45"/>
    </row>
    <row r="65" spans="1:8" x14ac:dyDescent="0.25">
      <c r="A65" s="71" t="str">
        <f t="shared" si="0"/>
        <v>Prescritions d'utilisation des produits 
homologués dans les grandes cultures</v>
      </c>
      <c r="B65" s="66"/>
      <c r="C65" s="65" t="s">
        <v>478</v>
      </c>
      <c r="D65" s="65" t="s">
        <v>479</v>
      </c>
      <c r="E65" s="74" t="s">
        <v>719</v>
      </c>
      <c r="F65" s="46"/>
      <c r="G65" s="46"/>
      <c r="H65" s="46"/>
    </row>
    <row r="66" spans="1:8" x14ac:dyDescent="0.25">
      <c r="A66" s="71" t="str">
        <f t="shared" si="0"/>
        <v>Choisissez un produit commercial</v>
      </c>
      <c r="B66" s="66"/>
      <c r="C66" s="65" t="s">
        <v>480</v>
      </c>
      <c r="D66" s="65" t="s">
        <v>481</v>
      </c>
      <c r="E66" s="74" t="s">
        <v>720</v>
      </c>
      <c r="F66" s="46"/>
      <c r="G66" s="46"/>
      <c r="H66" s="46"/>
    </row>
    <row r="67" spans="1:8" s="111" customFormat="1" x14ac:dyDescent="0.25">
      <c r="A67" s="71" t="str">
        <f t="shared" si="0"/>
        <v>Délai utilisation</v>
      </c>
      <c r="B67" s="71"/>
      <c r="C67" s="65" t="s">
        <v>1514</v>
      </c>
      <c r="D67" s="65" t="s">
        <v>1515</v>
      </c>
      <c r="E67" s="74" t="s">
        <v>1516</v>
      </c>
      <c r="F67" s="46"/>
      <c r="G67" s="46"/>
      <c r="H67" s="46"/>
    </row>
    <row r="68" spans="1:8" x14ac:dyDescent="0.25">
      <c r="A68" s="71" t="str">
        <f t="shared" si="0"/>
        <v>Substance active 1</v>
      </c>
      <c r="B68" s="66"/>
      <c r="C68" s="65" t="s">
        <v>887</v>
      </c>
      <c r="D68" s="65" t="s">
        <v>894</v>
      </c>
      <c r="E68" s="74" t="s">
        <v>891</v>
      </c>
      <c r="F68" s="46"/>
      <c r="G68" s="46"/>
      <c r="H68" s="46"/>
    </row>
    <row r="69" spans="1:8" x14ac:dyDescent="0.25">
      <c r="A69" s="71" t="str">
        <f t="shared" si="0"/>
        <v>Substance active 2</v>
      </c>
      <c r="B69" s="66"/>
      <c r="C69" s="65" t="s">
        <v>889</v>
      </c>
      <c r="D69" s="65" t="s">
        <v>895</v>
      </c>
      <c r="E69" s="74" t="s">
        <v>892</v>
      </c>
      <c r="F69" s="46"/>
      <c r="G69" s="46"/>
      <c r="H69" s="46"/>
    </row>
    <row r="70" spans="1:8" x14ac:dyDescent="0.25">
      <c r="A70" s="71" t="str">
        <f t="shared" si="0"/>
        <v>Substance active 3</v>
      </c>
      <c r="B70" s="66"/>
      <c r="C70" s="65" t="s">
        <v>890</v>
      </c>
      <c r="D70" s="65" t="s">
        <v>896</v>
      </c>
      <c r="E70" s="74" t="s">
        <v>893</v>
      </c>
    </row>
    <row r="71" spans="1:8" x14ac:dyDescent="0.25">
      <c r="A71" s="71" t="str">
        <f t="shared" si="0"/>
        <v>Fongicide</v>
      </c>
      <c r="B71" s="66"/>
      <c r="C71" s="66" t="s">
        <v>482</v>
      </c>
      <c r="D71" s="66" t="s">
        <v>483</v>
      </c>
      <c r="E71" s="72" t="s">
        <v>721</v>
      </c>
    </row>
    <row r="72" spans="1:8" x14ac:dyDescent="0.25">
      <c r="A72" s="71" t="str">
        <f t="shared" si="0"/>
        <v>Herbicide</v>
      </c>
      <c r="B72" s="66"/>
      <c r="C72" s="66" t="s">
        <v>484</v>
      </c>
      <c r="D72" s="66" t="s">
        <v>485</v>
      </c>
      <c r="E72" s="72" t="s">
        <v>722</v>
      </c>
    </row>
    <row r="73" spans="1:8" x14ac:dyDescent="0.25">
      <c r="A73" s="71" t="str">
        <f t="shared" si="0"/>
        <v>Insecticide</v>
      </c>
      <c r="B73" s="66"/>
      <c r="C73" s="66" t="s">
        <v>486</v>
      </c>
      <c r="D73" s="66" t="s">
        <v>487</v>
      </c>
      <c r="E73" s="72" t="s">
        <v>723</v>
      </c>
    </row>
    <row r="74" spans="1:8" x14ac:dyDescent="0.25">
      <c r="A74" s="71" t="str">
        <f t="shared" si="0"/>
        <v>Moluscicide</v>
      </c>
      <c r="B74" s="66"/>
      <c r="C74" s="66" t="s">
        <v>488</v>
      </c>
      <c r="D74" s="66" t="s">
        <v>489</v>
      </c>
      <c r="E74" s="72" t="s">
        <v>724</v>
      </c>
    </row>
    <row r="75" spans="1:8" x14ac:dyDescent="0.25">
      <c r="A75" s="71" t="str">
        <f t="shared" si="0"/>
        <v xml:space="preserve"> Régulateur</v>
      </c>
      <c r="B75" s="66"/>
      <c r="C75" s="66" t="s">
        <v>490</v>
      </c>
      <c r="D75" s="66" t="s">
        <v>491</v>
      </c>
      <c r="E75" s="72" t="s">
        <v>725</v>
      </c>
    </row>
    <row r="76" spans="1:8" x14ac:dyDescent="0.25">
      <c r="A76" s="71" t="str">
        <f t="shared" si="0"/>
        <v>Conditions d'utilisation</v>
      </c>
      <c r="B76" s="66"/>
      <c r="C76" s="66" t="s">
        <v>492</v>
      </c>
      <c r="D76" s="66" t="s">
        <v>493</v>
      </c>
      <c r="E76" s="74" t="s">
        <v>726</v>
      </c>
      <c r="F76" s="46"/>
      <c r="G76" s="46"/>
      <c r="H76" s="46"/>
    </row>
    <row r="77" spans="1:8" x14ac:dyDescent="0.25">
      <c r="A77" s="71" t="str">
        <f t="shared" si="0"/>
        <v>Zone non traitée de X m le long des eaux de surface</v>
      </c>
      <c r="B77" s="66"/>
      <c r="C77" s="65" t="s">
        <v>494</v>
      </c>
      <c r="D77" s="65" t="s">
        <v>495</v>
      </c>
      <c r="E77" s="72" t="s">
        <v>727</v>
      </c>
      <c r="F77" s="46"/>
      <c r="G77" s="46"/>
      <c r="H77" s="46"/>
    </row>
    <row r="78" spans="1:8" x14ac:dyDescent="0.25">
      <c r="A78" s="71" t="str">
        <f t="shared" si="0"/>
        <v>Réduction du risque de ruissellement de X points</v>
      </c>
      <c r="B78" s="66"/>
      <c r="C78" s="65" t="s">
        <v>496</v>
      </c>
      <c r="D78" s="65" t="s">
        <v>497</v>
      </c>
      <c r="E78" s="74" t="s">
        <v>728</v>
      </c>
      <c r="F78" s="46"/>
      <c r="G78" s="46"/>
      <c r="H78" s="46"/>
    </row>
    <row r="79" spans="1:8" x14ac:dyDescent="0.25">
      <c r="A79" s="71" t="str">
        <f t="shared" si="0"/>
        <v>Zone non traitée de X m le long des biotopes</v>
      </c>
      <c r="B79" s="66"/>
      <c r="C79" s="65" t="s">
        <v>498</v>
      </c>
      <c r="D79" s="65" t="s">
        <v>499</v>
      </c>
      <c r="E79" s="72" t="s">
        <v>729</v>
      </c>
    </row>
    <row r="80" spans="1:8" s="160" customFormat="1" x14ac:dyDescent="0.25">
      <c r="A80" s="110" t="str">
        <f t="shared" si="0"/>
        <v>Zone non traitée de X m le long de zones résidentielles</v>
      </c>
      <c r="B80" s="71"/>
      <c r="C80" s="65" t="s">
        <v>1625</v>
      </c>
      <c r="D80" s="65" t="s">
        <v>1626</v>
      </c>
      <c r="E80" s="72" t="s">
        <v>1627</v>
      </c>
      <c r="F80" s="21"/>
      <c r="G80" s="21"/>
      <c r="H80" s="21"/>
    </row>
    <row r="81" spans="1:8" x14ac:dyDescent="0.25">
      <c r="A81" s="71" t="str">
        <f t="shared" si="0"/>
        <v>pas de restriction en zone S2</v>
      </c>
      <c r="B81" s="66"/>
      <c r="C81" s="66" t="s">
        <v>500</v>
      </c>
      <c r="D81" s="65" t="s">
        <v>501</v>
      </c>
      <c r="E81" s="72" t="s">
        <v>730</v>
      </c>
    </row>
    <row r="82" spans="1:8" x14ac:dyDescent="0.25">
      <c r="A82" s="71" t="str">
        <f t="shared" si="0"/>
        <v>interdit en zone S2</v>
      </c>
      <c r="B82" s="66"/>
      <c r="C82" s="66" t="s">
        <v>502</v>
      </c>
      <c r="D82" s="65" t="s">
        <v>503</v>
      </c>
      <c r="E82" s="72" t="s">
        <v>731</v>
      </c>
    </row>
    <row r="83" spans="1:8" x14ac:dyDescent="0.25">
      <c r="A83" s="71" t="str">
        <f t="shared" ref="A83:A150" si="1">IF($G$1=1,C83,(IF($G$1=2,D83,IF($G$1=3,E83,""))))</f>
        <v>pas de restriction en zone karstique</v>
      </c>
      <c r="B83" s="66"/>
      <c r="C83" s="66" t="s">
        <v>504</v>
      </c>
      <c r="D83" s="65" t="s">
        <v>505</v>
      </c>
      <c r="E83" s="72" t="s">
        <v>732</v>
      </c>
    </row>
    <row r="84" spans="1:8" x14ac:dyDescent="0.25">
      <c r="A84" s="71" t="str">
        <f t="shared" si="1"/>
        <v>interdit zone karstique</v>
      </c>
      <c r="B84" s="66"/>
      <c r="C84" s="66" t="s">
        <v>506</v>
      </c>
      <c r="D84" s="65" t="s">
        <v>507</v>
      </c>
      <c r="E84" s="72" t="s">
        <v>733</v>
      </c>
    </row>
    <row r="85" spans="1:8" x14ac:dyDescent="0.25">
      <c r="A85" s="71" t="str">
        <f t="shared" si="1"/>
        <v>pas de restriction sur la rotation</v>
      </c>
      <c r="B85" s="66"/>
      <c r="C85" s="66" t="s">
        <v>508</v>
      </c>
      <c r="D85" s="65" t="s">
        <v>509</v>
      </c>
      <c r="E85" s="72" t="s">
        <v>734</v>
      </c>
    </row>
    <row r="86" spans="1:8" x14ac:dyDescent="0.25">
      <c r="A86" s="71" t="str">
        <f t="shared" si="1"/>
        <v>liste plan d'action</v>
      </c>
      <c r="B86" s="66"/>
      <c r="C86" s="66" t="s">
        <v>510</v>
      </c>
      <c r="D86" s="65" t="s">
        <v>511</v>
      </c>
      <c r="E86" s="72" t="s">
        <v>735</v>
      </c>
    </row>
    <row r="87" spans="1:8" x14ac:dyDescent="0.25">
      <c r="A87" s="71" t="str">
        <f t="shared" si="1"/>
        <v>risque modéré pour le milieu aquatique</v>
      </c>
      <c r="B87" s="66"/>
      <c r="C87" s="66" t="s">
        <v>512</v>
      </c>
      <c r="D87" s="65" t="s">
        <v>513</v>
      </c>
      <c r="E87" s="72" t="s">
        <v>736</v>
      </c>
    </row>
    <row r="88" spans="1:8" x14ac:dyDescent="0.25">
      <c r="A88" s="71" t="str">
        <f t="shared" si="1"/>
        <v>dangereux pour le milieu aquatique</v>
      </c>
      <c r="B88" s="66"/>
      <c r="C88" s="66" t="s">
        <v>514</v>
      </c>
      <c r="D88" s="65" t="s">
        <v>515</v>
      </c>
      <c r="E88" s="72" t="s">
        <v>737</v>
      </c>
    </row>
    <row r="89" spans="1:8" s="160" customFormat="1" x14ac:dyDescent="0.25">
      <c r="A89" s="110" t="str">
        <f t="shared" si="1"/>
        <v>Org. aquatiques</v>
      </c>
      <c r="B89" s="71"/>
      <c r="C89" s="110" t="s">
        <v>1853</v>
      </c>
      <c r="D89" s="65" t="s">
        <v>442</v>
      </c>
      <c r="E89" s="72" t="s">
        <v>1628</v>
      </c>
      <c r="F89" s="21"/>
      <c r="G89" s="21"/>
      <c r="H89" s="21"/>
    </row>
    <row r="90" spans="1:8" x14ac:dyDescent="0.25">
      <c r="A90" s="71" t="str">
        <f t="shared" si="1"/>
        <v>risque modéré pour les abeilles</v>
      </c>
      <c r="B90" s="66"/>
      <c r="C90" s="66" t="s">
        <v>516</v>
      </c>
      <c r="D90" s="65" t="s">
        <v>517</v>
      </c>
      <c r="E90" s="72" t="s">
        <v>975</v>
      </c>
    </row>
    <row r="91" spans="1:8" x14ac:dyDescent="0.25">
      <c r="A91" s="71" t="str">
        <f t="shared" si="1"/>
        <v>interdit sur plantes en fleur</v>
      </c>
      <c r="B91" s="66"/>
      <c r="C91" s="66" t="s">
        <v>969</v>
      </c>
      <c r="D91" s="65" t="s">
        <v>974</v>
      </c>
      <c r="E91" s="72" t="s">
        <v>972</v>
      </c>
    </row>
    <row r="92" spans="1:8" x14ac:dyDescent="0.25">
      <c r="A92" s="71" t="str">
        <f t="shared" si="1"/>
        <v>port d'une visière à la préparation</v>
      </c>
      <c r="B92" s="66"/>
      <c r="C92" s="66" t="s">
        <v>916</v>
      </c>
      <c r="D92" s="65" t="s">
        <v>917</v>
      </c>
      <c r="E92" s="72" t="s">
        <v>738</v>
      </c>
    </row>
    <row r="93" spans="1:8" x14ac:dyDescent="0.25">
      <c r="A93" s="71" t="str">
        <f t="shared" si="1"/>
        <v>port de masque à la préparation</v>
      </c>
      <c r="B93" s="66"/>
      <c r="C93" s="66" t="s">
        <v>518</v>
      </c>
      <c r="D93" s="65" t="s">
        <v>519</v>
      </c>
      <c r="E93" s="72" t="s">
        <v>739</v>
      </c>
    </row>
    <row r="94" spans="1:8" x14ac:dyDescent="0.25">
      <c r="A94" s="71" t="str">
        <f t="shared" si="1"/>
        <v>protection à l'application</v>
      </c>
      <c r="B94" s="66"/>
      <c r="C94" s="66" t="s">
        <v>520</v>
      </c>
      <c r="D94" s="65" t="s">
        <v>521</v>
      </c>
      <c r="E94" s="72" t="s">
        <v>740</v>
      </c>
    </row>
    <row r="95" spans="1:8" x14ac:dyDescent="0.25">
      <c r="A95" s="71" t="str">
        <f t="shared" si="1"/>
        <v>Retour dans la parcelle avec tenue de travail</v>
      </c>
      <c r="B95" s="66"/>
      <c r="C95" s="66" t="s">
        <v>1629</v>
      </c>
      <c r="D95" s="65" t="s">
        <v>1630</v>
      </c>
      <c r="E95" s="72" t="s">
        <v>1631</v>
      </c>
    </row>
    <row r="96" spans="1:8" x14ac:dyDescent="0.25">
      <c r="A96" s="71" t="str">
        <f t="shared" si="1"/>
        <v>Contrôle des exigences d'application des produits par parcelle</v>
      </c>
      <c r="B96" s="66"/>
      <c r="C96" s="66" t="s">
        <v>522</v>
      </c>
      <c r="D96" s="65" t="s">
        <v>523</v>
      </c>
      <c r="E96" s="72" t="s">
        <v>741</v>
      </c>
    </row>
    <row r="97" spans="1:8" x14ac:dyDescent="0.25">
      <c r="A97" s="71" t="str">
        <f t="shared" si="1"/>
        <v>Complétez les zones</v>
      </c>
      <c r="B97" s="66"/>
      <c r="C97" s="66" t="s">
        <v>524</v>
      </c>
      <c r="D97" s="65" t="s">
        <v>525</v>
      </c>
      <c r="E97" s="72" t="s">
        <v>742</v>
      </c>
    </row>
    <row r="98" spans="1:8" x14ac:dyDescent="0.25">
      <c r="A98" s="71" t="str">
        <f t="shared" si="1"/>
        <v>Parcelle:</v>
      </c>
      <c r="B98" s="66"/>
      <c r="C98" s="66" t="s">
        <v>526</v>
      </c>
      <c r="D98" s="65" t="s">
        <v>527</v>
      </c>
      <c r="E98" s="72" t="s">
        <v>743</v>
      </c>
    </row>
    <row r="99" spans="1:8" x14ac:dyDescent="0.25">
      <c r="A99" s="71" t="str">
        <f t="shared" si="1"/>
        <v>Indiquez le nom d'une parcelle</v>
      </c>
      <c r="B99" s="66"/>
      <c r="C99" s="66" t="s">
        <v>528</v>
      </c>
      <c r="D99" s="65" t="s">
        <v>529</v>
      </c>
      <c r="E99" s="72" t="s">
        <v>744</v>
      </c>
    </row>
    <row r="100" spans="1:8" x14ac:dyDescent="0.25">
      <c r="A100" s="71" t="str">
        <f t="shared" si="1"/>
        <v>Forêt</v>
      </c>
      <c r="B100" s="66"/>
      <c r="C100" s="66" t="s">
        <v>530</v>
      </c>
      <c r="D100" s="65" t="s">
        <v>531</v>
      </c>
      <c r="E100" s="72" t="s">
        <v>745</v>
      </c>
    </row>
    <row r="101" spans="1:8" x14ac:dyDescent="0.25">
      <c r="A101" s="71" t="str">
        <f t="shared" si="1"/>
        <v>eau</v>
      </c>
      <c r="B101" s="66"/>
      <c r="C101" s="66" t="s">
        <v>532</v>
      </c>
      <c r="D101" s="65" t="s">
        <v>533</v>
      </c>
      <c r="E101" s="72" t="s">
        <v>746</v>
      </c>
    </row>
    <row r="102" spans="1:8" x14ac:dyDescent="0.25">
      <c r="A102" s="71" t="str">
        <f t="shared" si="1"/>
        <v>bande</v>
      </c>
      <c r="B102" s="66"/>
      <c r="C102" s="66" t="s">
        <v>534</v>
      </c>
      <c r="D102" s="65" t="s">
        <v>535</v>
      </c>
      <c r="E102" s="72" t="s">
        <v>747</v>
      </c>
    </row>
    <row r="103" spans="1:8" x14ac:dyDescent="0.25">
      <c r="A103" s="71" t="str">
        <f t="shared" si="1"/>
        <v>herbeuse</v>
      </c>
      <c r="B103" s="66"/>
      <c r="C103" s="66" t="s">
        <v>536</v>
      </c>
      <c r="D103" s="65" t="s">
        <v>537</v>
      </c>
      <c r="E103" s="72" t="s">
        <v>748</v>
      </c>
    </row>
    <row r="104" spans="1:8" x14ac:dyDescent="0.25">
      <c r="A104" s="71" t="str">
        <f t="shared" si="1"/>
        <v>biotope</v>
      </c>
      <c r="B104" s="66"/>
      <c r="C104" s="66" t="s">
        <v>538</v>
      </c>
      <c r="D104" s="65" t="s">
        <v>438</v>
      </c>
      <c r="E104" s="72" t="s">
        <v>692</v>
      </c>
    </row>
    <row r="105" spans="1:8" x14ac:dyDescent="0.25">
      <c r="A105" s="71" t="str">
        <f t="shared" si="1"/>
        <v>Données structurelles</v>
      </c>
      <c r="B105" s="66"/>
      <c r="C105" s="66" t="s">
        <v>539</v>
      </c>
      <c r="D105" s="65" t="s">
        <v>540</v>
      </c>
      <c r="E105" s="72" t="s">
        <v>749</v>
      </c>
    </row>
    <row r="106" spans="1:8" x14ac:dyDescent="0.25">
      <c r="A106" s="71" t="str">
        <f t="shared" si="1"/>
        <v>Distance par rapport eau de surface (m)</v>
      </c>
      <c r="B106" s="66"/>
      <c r="C106" s="66" t="s">
        <v>541</v>
      </c>
      <c r="D106" s="65" t="s">
        <v>542</v>
      </c>
      <c r="E106" s="72" t="s">
        <v>750</v>
      </c>
    </row>
    <row r="107" spans="1:8" x14ac:dyDescent="0.25">
      <c r="A107" s="71" t="str">
        <f t="shared" si="1"/>
        <v>Bande herbeuse le long des eaux de surface (m)</v>
      </c>
      <c r="B107" s="66"/>
      <c r="C107" s="66" t="s">
        <v>543</v>
      </c>
      <c r="D107" s="65" t="s">
        <v>544</v>
      </c>
      <c r="E107" s="72" t="s">
        <v>751</v>
      </c>
    </row>
    <row r="108" spans="1:8" x14ac:dyDescent="0.25">
      <c r="A108" s="71" t="str">
        <f t="shared" si="1"/>
        <v>Pente de la parcelle (%)</v>
      </c>
      <c r="B108" s="66"/>
      <c r="C108" s="66" t="s">
        <v>545</v>
      </c>
      <c r="D108" s="65" t="s">
        <v>546</v>
      </c>
      <c r="E108" s="72" t="s">
        <v>752</v>
      </c>
    </row>
    <row r="109" spans="1:8" x14ac:dyDescent="0.25">
      <c r="A109" s="71" t="str">
        <f t="shared" si="1"/>
        <v>Zone de source S2</v>
      </c>
      <c r="B109" s="66"/>
      <c r="C109" s="66" t="s">
        <v>547</v>
      </c>
      <c r="D109" s="65" t="s">
        <v>548</v>
      </c>
      <c r="E109" s="72" t="s">
        <v>753</v>
      </c>
    </row>
    <row r="110" spans="1:8" x14ac:dyDescent="0.25">
      <c r="A110" s="71" t="str">
        <f t="shared" si="1"/>
        <v>Zone karstique</v>
      </c>
      <c r="B110" s="66"/>
      <c r="C110" s="66" t="s">
        <v>549</v>
      </c>
      <c r="D110" s="65" t="s">
        <v>550</v>
      </c>
      <c r="E110" s="72" t="s">
        <v>754</v>
      </c>
    </row>
    <row r="111" spans="1:8" x14ac:dyDescent="0.25">
      <c r="A111" s="71" t="str">
        <f t="shared" si="1"/>
        <v>Distance par rapport biotopes (m)</v>
      </c>
      <c r="B111" s="66"/>
      <c r="C111" s="66" t="s">
        <v>551</v>
      </c>
      <c r="D111" s="65" t="s">
        <v>552</v>
      </c>
      <c r="E111" s="72" t="s">
        <v>755</v>
      </c>
    </row>
    <row r="112" spans="1:8" s="163" customFormat="1" x14ac:dyDescent="0.25">
      <c r="A112" s="110" t="str">
        <f t="shared" si="1"/>
        <v>Distance par rapport zones résidentielles</v>
      </c>
      <c r="B112" s="71"/>
      <c r="C112" s="110" t="s">
        <v>1704</v>
      </c>
      <c r="D112" s="65" t="s">
        <v>1703</v>
      </c>
      <c r="E112" s="72" t="s">
        <v>1702</v>
      </c>
      <c r="F112" s="21"/>
      <c r="G112" s="21"/>
      <c r="H112" s="21"/>
    </row>
    <row r="113" spans="1:8" x14ac:dyDescent="0.25">
      <c r="A113" s="71" t="str">
        <f t="shared" si="1"/>
        <v>Utilisation de produits</v>
      </c>
      <c r="B113" s="66"/>
      <c r="C113" s="66" t="s">
        <v>553</v>
      </c>
      <c r="D113" s="65" t="s">
        <v>554</v>
      </c>
      <c r="E113" s="72" t="s">
        <v>756</v>
      </c>
    </row>
    <row r="114" spans="1:8" x14ac:dyDescent="0.25">
      <c r="A114" s="71" t="str">
        <f t="shared" si="1"/>
        <v>Dimethachlore ces derniers 3 ans</v>
      </c>
      <c r="B114" s="66"/>
      <c r="C114" s="66" t="s">
        <v>555</v>
      </c>
      <c r="D114" s="66" t="s">
        <v>556</v>
      </c>
      <c r="E114" s="72" t="s">
        <v>757</v>
      </c>
    </row>
    <row r="115" spans="1:8" x14ac:dyDescent="0.25">
      <c r="A115" s="71" t="str">
        <f t="shared" si="1"/>
        <v>Aminopyralide ces derniers 2 ans</v>
      </c>
      <c r="B115" s="66"/>
      <c r="C115" s="66" t="s">
        <v>557</v>
      </c>
      <c r="D115" s="66" t="s">
        <v>558</v>
      </c>
      <c r="E115" s="72" t="s">
        <v>758</v>
      </c>
    </row>
    <row r="116" spans="1:8" x14ac:dyDescent="0.25">
      <c r="A116" s="71" t="str">
        <f t="shared" si="1"/>
        <v>Metazachlore ces derniers 3 ans</v>
      </c>
      <c r="B116" s="66"/>
      <c r="C116" s="66" t="s">
        <v>559</v>
      </c>
      <c r="D116" s="66" t="s">
        <v>560</v>
      </c>
      <c r="E116" s="72" t="s">
        <v>759</v>
      </c>
    </row>
    <row r="117" spans="1:8" x14ac:dyDescent="0.25">
      <c r="A117" s="71" t="str">
        <f t="shared" si="1"/>
        <v>Quinmerac ces derniers 2 ans</v>
      </c>
      <c r="B117" s="66"/>
      <c r="C117" s="66" t="s">
        <v>561</v>
      </c>
      <c r="D117" s="66" t="s">
        <v>562</v>
      </c>
      <c r="E117" s="72" t="s">
        <v>760</v>
      </c>
    </row>
    <row r="118" spans="1:8" x14ac:dyDescent="0.25">
      <c r="A118" s="71" t="str">
        <f t="shared" si="1"/>
        <v>Penoxsulame ces derniers 3 ans</v>
      </c>
      <c r="B118" s="66"/>
      <c r="C118" s="66" t="s">
        <v>563</v>
      </c>
      <c r="D118" s="66" t="s">
        <v>564</v>
      </c>
      <c r="E118" s="72" t="s">
        <v>761</v>
      </c>
    </row>
    <row r="119" spans="1:8" s="136" customFormat="1" x14ac:dyDescent="0.25">
      <c r="A119" s="71" t="str">
        <f t="shared" ref="A119" si="2">IF($G$1=1,C119,(IF($G$1=2,D119,IF($G$1=3,E119,""))))</f>
        <v>Thifensulfuron ces derniers 3 ans</v>
      </c>
      <c r="B119" s="71"/>
      <c r="C119" s="71" t="s">
        <v>1552</v>
      </c>
      <c r="D119" s="71" t="s">
        <v>1553</v>
      </c>
      <c r="E119" s="72" t="s">
        <v>1554</v>
      </c>
      <c r="F119" s="21"/>
      <c r="G119" s="21"/>
      <c r="H119" s="21"/>
    </row>
    <row r="120" spans="1:8" x14ac:dyDescent="0.25">
      <c r="A120" s="71" t="str">
        <f t="shared" si="1"/>
        <v>Pethoxamide ces derniers 2 ans</v>
      </c>
      <c r="B120" s="66"/>
      <c r="C120" s="66" t="s">
        <v>565</v>
      </c>
      <c r="D120" s="66" t="s">
        <v>566</v>
      </c>
      <c r="E120" s="72" t="s">
        <v>762</v>
      </c>
    </row>
    <row r="121" spans="1:8" x14ac:dyDescent="0.25">
      <c r="A121" s="71" t="str">
        <f t="shared" si="1"/>
        <v>Terbuthylazine ces derniers 3 ans</v>
      </c>
      <c r="B121" s="66"/>
      <c r="C121" s="66" t="s">
        <v>567</v>
      </c>
      <c r="D121" s="66" t="s">
        <v>568</v>
      </c>
      <c r="E121" s="72" t="s">
        <v>763</v>
      </c>
    </row>
    <row r="122" spans="1:8" x14ac:dyDescent="0.25">
      <c r="A122" s="71" t="str">
        <f t="shared" si="1"/>
        <v>Metolachlore ces derniers 3 ans</v>
      </c>
      <c r="B122" s="66"/>
      <c r="C122" s="66" t="s">
        <v>569</v>
      </c>
      <c r="D122" s="66" t="s">
        <v>570</v>
      </c>
      <c r="E122" s="72" t="s">
        <v>764</v>
      </c>
    </row>
    <row r="123" spans="1:8" x14ac:dyDescent="0.25">
      <c r="A123" s="71" t="str">
        <f t="shared" si="1"/>
        <v>Bentazone ces derniers 2 ans</v>
      </c>
      <c r="B123" s="66"/>
      <c r="C123" s="66" t="s">
        <v>1543</v>
      </c>
      <c r="D123" s="66" t="s">
        <v>1544</v>
      </c>
      <c r="E123" s="72" t="s">
        <v>1545</v>
      </c>
    </row>
    <row r="124" spans="1:8" x14ac:dyDescent="0.25">
      <c r="A124" s="71" t="str">
        <f t="shared" si="1"/>
        <v>Nicosulfuron ces derniers 2 ans</v>
      </c>
      <c r="B124" s="66"/>
      <c r="C124" s="66" t="s">
        <v>571</v>
      </c>
      <c r="D124" s="66" t="s">
        <v>572</v>
      </c>
      <c r="E124" s="72" t="s">
        <v>765</v>
      </c>
    </row>
    <row r="125" spans="1:8" x14ac:dyDescent="0.25">
      <c r="A125" s="71" t="str">
        <f t="shared" si="1"/>
        <v>oui</v>
      </c>
      <c r="B125" s="66"/>
      <c r="C125" s="66" t="s">
        <v>470</v>
      </c>
      <c r="D125" s="66" t="s">
        <v>471</v>
      </c>
      <c r="E125" s="72" t="s">
        <v>766</v>
      </c>
    </row>
    <row r="126" spans="1:8" x14ac:dyDescent="0.25">
      <c r="A126" s="71" t="str">
        <f t="shared" si="1"/>
        <v>non</v>
      </c>
      <c r="B126" s="66"/>
      <c r="C126" s="66" t="s">
        <v>573</v>
      </c>
      <c r="D126" s="66" t="s">
        <v>574</v>
      </c>
      <c r="E126" s="72" t="s">
        <v>767</v>
      </c>
    </row>
    <row r="127" spans="1:8" x14ac:dyDescent="0.25">
      <c r="A127" s="71" t="str">
        <f t="shared" si="1"/>
        <v>Appréciation de la situation</v>
      </c>
      <c r="B127" s="66"/>
      <c r="C127" s="66" t="s">
        <v>575</v>
      </c>
      <c r="D127" s="66" t="s">
        <v>576</v>
      </c>
      <c r="E127" s="72" t="s">
        <v>768</v>
      </c>
    </row>
    <row r="128" spans="1:8" x14ac:dyDescent="0.25">
      <c r="A128" s="71" t="str">
        <f t="shared" si="1"/>
        <v>Dérive:</v>
      </c>
      <c r="B128" s="66"/>
      <c r="C128" s="66" t="s">
        <v>577</v>
      </c>
      <c r="D128" s="66" t="s">
        <v>578</v>
      </c>
      <c r="E128" s="72" t="s">
        <v>769</v>
      </c>
    </row>
    <row r="129" spans="1:8" x14ac:dyDescent="0.25">
      <c r="A129" s="71" t="str">
        <f t="shared" si="1"/>
        <v>Ruissellement:</v>
      </c>
      <c r="B129" s="66"/>
      <c r="C129" s="66" t="s">
        <v>579</v>
      </c>
      <c r="D129" s="66" t="s">
        <v>580</v>
      </c>
      <c r="E129" s="72" t="s">
        <v>770</v>
      </c>
    </row>
    <row r="130" spans="1:8" x14ac:dyDescent="0.25">
      <c r="A130" s="71" t="str">
        <f t="shared" si="1"/>
        <v>Zone de source:</v>
      </c>
      <c r="B130" s="66"/>
      <c r="C130" s="66" t="s">
        <v>581</v>
      </c>
      <c r="D130" s="66" t="s">
        <v>582</v>
      </c>
      <c r="E130" s="72" t="s">
        <v>771</v>
      </c>
    </row>
    <row r="131" spans="1:8" x14ac:dyDescent="0.25">
      <c r="A131" s="71" t="str">
        <f t="shared" si="1"/>
        <v>Zone karstique:</v>
      </c>
      <c r="B131" s="66"/>
      <c r="C131" s="66" t="s">
        <v>583</v>
      </c>
      <c r="D131" s="66" t="s">
        <v>584</v>
      </c>
      <c r="E131" s="72" t="s">
        <v>772</v>
      </c>
    </row>
    <row r="132" spans="1:8" x14ac:dyDescent="0.25">
      <c r="A132" s="71" t="str">
        <f t="shared" si="1"/>
        <v>Biotope:</v>
      </c>
      <c r="B132" s="66"/>
      <c r="C132" s="66" t="s">
        <v>585</v>
      </c>
      <c r="D132" s="66" t="s">
        <v>585</v>
      </c>
      <c r="E132" s="72" t="s">
        <v>773</v>
      </c>
    </row>
    <row r="133" spans="1:8" x14ac:dyDescent="0.25">
      <c r="A133" s="71" t="str">
        <f t="shared" si="1"/>
        <v>Choix des produits</v>
      </c>
      <c r="B133" s="66"/>
      <c r="C133" s="66" t="s">
        <v>586</v>
      </c>
      <c r="D133" s="66" t="s">
        <v>587</v>
      </c>
      <c r="E133" s="72" t="s">
        <v>774</v>
      </c>
    </row>
    <row r="134" spans="1:8" x14ac:dyDescent="0.25">
      <c r="A134" s="71" t="str">
        <f t="shared" si="1"/>
        <v>Principaux produits utilisés. Le détail de tous les produits est disponible dans l'index phytosanitaire de l'OFAG</v>
      </c>
      <c r="B134" s="66"/>
      <c r="C134" s="67" t="s">
        <v>588</v>
      </c>
      <c r="D134" s="67" t="s">
        <v>589</v>
      </c>
      <c r="E134" s="72" t="s">
        <v>775</v>
      </c>
    </row>
    <row r="135" spans="1:8" x14ac:dyDescent="0.25">
      <c r="A135" s="71" t="str">
        <f t="shared" si="1"/>
        <v>Adaptez votre bordure</v>
      </c>
      <c r="B135" s="66"/>
      <c r="C135" s="66" t="s">
        <v>590</v>
      </c>
      <c r="D135" s="67" t="s">
        <v>591</v>
      </c>
      <c r="E135" s="72" t="s">
        <v>776</v>
      </c>
    </row>
    <row r="136" spans="1:8" x14ac:dyDescent="0.25">
      <c r="A136" s="71" t="str">
        <f t="shared" si="1"/>
        <v>Tous les produits sont utilisables</v>
      </c>
      <c r="B136" s="66"/>
      <c r="C136" s="66" t="s">
        <v>592</v>
      </c>
      <c r="D136" s="67" t="s">
        <v>593</v>
      </c>
      <c r="E136" s="72" t="s">
        <v>777</v>
      </c>
    </row>
    <row r="137" spans="1:8" x14ac:dyDescent="0.25">
      <c r="A137" s="71" t="str">
        <f t="shared" si="1"/>
        <v>Contrôlez la ZNT du produit à utiliser</v>
      </c>
      <c r="B137" s="66"/>
      <c r="C137" s="66" t="s">
        <v>594</v>
      </c>
      <c r="D137" s="67" t="s">
        <v>595</v>
      </c>
      <c r="E137" s="72" t="s">
        <v>778</v>
      </c>
    </row>
    <row r="138" spans="1:8" x14ac:dyDescent="0.25">
      <c r="A138" s="71" t="str">
        <f t="shared" si="1"/>
        <v>&gt;1 pt prendre des mesures</v>
      </c>
      <c r="B138" s="66"/>
      <c r="C138" s="66" t="s">
        <v>596</v>
      </c>
      <c r="D138" s="67" t="s">
        <v>597</v>
      </c>
      <c r="E138" s="72" t="s">
        <v>779</v>
      </c>
    </row>
    <row r="139" spans="1:8" x14ac:dyDescent="0.25">
      <c r="A139" s="71" t="str">
        <f t="shared" si="1"/>
        <v>Choix de produits restreint</v>
      </c>
      <c r="B139" s="66"/>
      <c r="C139" s="66" t="s">
        <v>598</v>
      </c>
      <c r="D139" s="67" t="s">
        <v>599</v>
      </c>
      <c r="E139" s="72" t="s">
        <v>780</v>
      </c>
    </row>
    <row r="140" spans="1:8" x14ac:dyDescent="0.25">
      <c r="A140" s="71" t="str">
        <f t="shared" si="1"/>
        <v>Adaptez les pratiques de pulvérisation pour quelques produits</v>
      </c>
      <c r="B140" s="66"/>
      <c r="C140" s="66" t="s">
        <v>600</v>
      </c>
      <c r="D140" s="67" t="s">
        <v>601</v>
      </c>
      <c r="E140" s="72" t="s">
        <v>781</v>
      </c>
    </row>
    <row r="141" spans="1:8" x14ac:dyDescent="0.25">
      <c r="A141" s="71" t="str">
        <f t="shared" si="1"/>
        <v>Eviter les produits avec la substance en question</v>
      </c>
      <c r="B141" s="66"/>
      <c r="C141" s="66" t="s">
        <v>602</v>
      </c>
      <c r="D141" s="67" t="s">
        <v>603</v>
      </c>
      <c r="E141" s="72" t="s">
        <v>782</v>
      </c>
    </row>
    <row r="142" spans="1:8" x14ac:dyDescent="0.25">
      <c r="A142" s="71" t="str">
        <f t="shared" si="1"/>
        <v>Max 0.75 kg de Dimethachlore en 3 ans</v>
      </c>
      <c r="B142" s="66"/>
      <c r="C142" s="66" t="s">
        <v>604</v>
      </c>
      <c r="D142" s="66" t="s">
        <v>605</v>
      </c>
      <c r="E142" s="72" t="s">
        <v>783</v>
      </c>
    </row>
    <row r="143" spans="1:8" x14ac:dyDescent="0.25">
      <c r="A143" s="71" t="str">
        <f t="shared" si="1"/>
        <v>Max 1 kg de Metazachlore en 3 ans</v>
      </c>
      <c r="B143" s="66"/>
      <c r="C143" s="66" t="s">
        <v>606</v>
      </c>
      <c r="D143" s="66" t="s">
        <v>607</v>
      </c>
      <c r="E143" s="72" t="s">
        <v>784</v>
      </c>
    </row>
    <row r="144" spans="1:8" s="136" customFormat="1" x14ac:dyDescent="0.25">
      <c r="A144" s="71" t="str">
        <f t="shared" si="1"/>
        <v>Max 0.75 kg de Terbuthylazine en 3 ans</v>
      </c>
      <c r="B144" s="71"/>
      <c r="C144" s="71" t="s">
        <v>1549</v>
      </c>
      <c r="D144" s="71" t="s">
        <v>1550</v>
      </c>
      <c r="E144" s="72" t="s">
        <v>1551</v>
      </c>
      <c r="F144" s="21"/>
      <c r="G144" s="21"/>
      <c r="H144" s="21"/>
    </row>
    <row r="145" spans="1:10" x14ac:dyDescent="0.25">
      <c r="A145" s="71" t="str">
        <f t="shared" si="1"/>
        <v>Max 1.5 kg de Metolachlore en 3 ans</v>
      </c>
      <c r="B145" s="66"/>
      <c r="C145" s="66" t="s">
        <v>608</v>
      </c>
      <c r="D145" s="66" t="s">
        <v>609</v>
      </c>
      <c r="E145" s="72" t="s">
        <v>785</v>
      </c>
    </row>
    <row r="146" spans="1:10" x14ac:dyDescent="0.25">
      <c r="A146" s="71" t="str">
        <f t="shared" si="1"/>
        <v>Max 0.96 kg de Bentazone en 2 ans</v>
      </c>
      <c r="B146" s="66"/>
      <c r="C146" s="66" t="s">
        <v>1546</v>
      </c>
      <c r="D146" s="66" t="s">
        <v>1547</v>
      </c>
      <c r="E146" s="72" t="s">
        <v>1548</v>
      </c>
    </row>
    <row r="147" spans="1:10" ht="23.25" customHeight="1" x14ac:dyDescent="0.35">
      <c r="A147" s="71" t="str">
        <f t="shared" si="1"/>
        <v>Max 60 g de Nicosulfuron en 2 ans</v>
      </c>
      <c r="B147" s="66"/>
      <c r="C147" s="66" t="s">
        <v>610</v>
      </c>
      <c r="D147" s="66" t="s">
        <v>611</v>
      </c>
      <c r="E147" s="72" t="s">
        <v>786</v>
      </c>
      <c r="F147" s="61"/>
      <c r="G147" s="61"/>
      <c r="H147" s="61"/>
      <c r="I147" s="47"/>
      <c r="J147" s="47"/>
    </row>
    <row r="148" spans="1:10" x14ac:dyDescent="0.25">
      <c r="A148" s="71" t="str">
        <f t="shared" si="1"/>
        <v>Prescritions d'utilisation des produits phytosanitaires homologués dans les grandes cultures</v>
      </c>
      <c r="B148" s="66"/>
      <c r="C148" s="68" t="s">
        <v>612</v>
      </c>
      <c r="D148" s="68" t="s">
        <v>613</v>
      </c>
      <c r="E148" s="74" t="s">
        <v>719</v>
      </c>
    </row>
    <row r="149" spans="1:10" ht="15" customHeight="1" x14ac:dyDescent="0.25">
      <c r="A149" s="71" t="str">
        <f t="shared" si="1"/>
        <v>Précision des informations contenues dans les tableaux joints</v>
      </c>
      <c r="B149" s="66"/>
      <c r="C149" s="66" t="s">
        <v>614</v>
      </c>
      <c r="D149" s="66" t="s">
        <v>615</v>
      </c>
      <c r="E149" s="73" t="s">
        <v>787</v>
      </c>
      <c r="F149" s="62"/>
      <c r="G149" s="62"/>
      <c r="H149" s="62"/>
      <c r="I149" s="48"/>
      <c r="J149" s="48"/>
    </row>
    <row r="150" spans="1:10" x14ac:dyDescent="0.25">
      <c r="A150" s="71" t="str">
        <f t="shared" si="1"/>
        <v>Les informations officielles se trouvent sur l'index de l'OFAG, se référer à cette source pour les produits manquants dans cette liste</v>
      </c>
      <c r="B150" s="66"/>
      <c r="C150" s="68" t="s">
        <v>616</v>
      </c>
      <c r="D150" s="68" t="s">
        <v>617</v>
      </c>
      <c r="E150" s="72" t="s">
        <v>788</v>
      </c>
    </row>
    <row r="151" spans="1:10" x14ac:dyDescent="0.25">
      <c r="A151" s="71" t="str">
        <f t="shared" ref="A151:A221" si="3">IF($G$1=1,C151,(IF($G$1=2,D151,IF($G$1=3,E151,""))))</f>
        <v>Pour plus de précisions concernant l'efficacité et l'application des produits, consultez les FT Agridea Grandes cultures ou les documents des firmes commerciales.</v>
      </c>
      <c r="B151" s="66"/>
      <c r="C151" s="66" t="s">
        <v>618</v>
      </c>
      <c r="D151" s="66" t="s">
        <v>619</v>
      </c>
      <c r="E151" s="74" t="s">
        <v>789</v>
      </c>
      <c r="F151" s="63"/>
      <c r="G151" s="63"/>
      <c r="H151" s="63"/>
    </row>
    <row r="152" spans="1:10" x14ac:dyDescent="0.25">
      <c r="A152" s="71" t="str">
        <f t="shared" si="3"/>
        <v>Nom du produit commercial</v>
      </c>
      <c r="B152" s="66"/>
      <c r="C152" s="68" t="s">
        <v>620</v>
      </c>
      <c r="D152" s="68" t="s">
        <v>621</v>
      </c>
      <c r="E152" s="74" t="s">
        <v>790</v>
      </c>
      <c r="F152" s="63"/>
      <c r="G152" s="63"/>
      <c r="H152" s="63"/>
    </row>
    <row r="153" spans="1:10" ht="15" customHeight="1" x14ac:dyDescent="0.25">
      <c r="A153" s="71" t="str">
        <f t="shared" si="3"/>
        <v>F=fongicide; H=herbicide; I=insecticide; M=moluscicide; R=régulateur</v>
      </c>
      <c r="B153" s="66"/>
      <c r="C153" s="68" t="s">
        <v>2</v>
      </c>
      <c r="D153" s="68" t="s">
        <v>622</v>
      </c>
      <c r="E153" s="74" t="s">
        <v>791</v>
      </c>
      <c r="F153" s="64"/>
      <c r="G153" s="64"/>
      <c r="H153" s="64"/>
    </row>
    <row r="154" spans="1:10" x14ac:dyDescent="0.25">
      <c r="A154" s="71" t="str">
        <f t="shared" si="3"/>
        <v>Am=Amreco, An=Andermatt; Ba=Bayer; BF=BASF; Fe=Fenaco; LG=Leu Gygax; Nu=Nufarm; Om=Omya; Sa=Sintagro; Sc=Schneiter; St=Stähler; Sy=Syngenta</v>
      </c>
      <c r="B154" s="66"/>
      <c r="C154" s="68" t="s">
        <v>1974</v>
      </c>
      <c r="D154" s="68" t="s">
        <v>1974</v>
      </c>
      <c r="E154" s="77" t="s">
        <v>1974</v>
      </c>
      <c r="F154" s="63"/>
      <c r="G154" s="63"/>
      <c r="H154" s="63"/>
    </row>
    <row r="155" spans="1:10" x14ac:dyDescent="0.25">
      <c r="A155" s="71" t="str">
        <f t="shared" si="3"/>
        <v>Application du produit interdite en zone S2</v>
      </c>
      <c r="B155" s="66"/>
      <c r="C155" s="69" t="s">
        <v>623</v>
      </c>
      <c r="D155" s="68" t="s">
        <v>624</v>
      </c>
      <c r="E155" s="74" t="s">
        <v>792</v>
      </c>
      <c r="F155" s="63"/>
      <c r="G155" s="63"/>
      <c r="H155" s="63"/>
    </row>
    <row r="156" spans="1:10" ht="15" customHeight="1" x14ac:dyDescent="0.25">
      <c r="A156" s="71" t="str">
        <f t="shared" si="3"/>
        <v>Application du produit interdite en zone karstique</v>
      </c>
      <c r="B156" s="66"/>
      <c r="C156" s="68" t="s">
        <v>625</v>
      </c>
      <c r="D156" s="68" t="s">
        <v>626</v>
      </c>
      <c r="E156" s="74" t="s">
        <v>793</v>
      </c>
      <c r="F156" s="64"/>
      <c r="G156" s="64"/>
      <c r="H156" s="64"/>
    </row>
    <row r="157" spans="1:10" ht="15" customHeight="1" x14ac:dyDescent="0.25">
      <c r="A157" s="71" t="str">
        <f t="shared" si="3"/>
        <v>Réduction de l'utilisation dans la rotation afin de protéger les eaux souterraines</v>
      </c>
      <c r="B157" s="66"/>
      <c r="C157" s="68" t="s">
        <v>627</v>
      </c>
      <c r="D157" s="62" t="s">
        <v>628</v>
      </c>
      <c r="E157" s="75" t="s">
        <v>794</v>
      </c>
      <c r="F157" s="64"/>
      <c r="G157" s="64"/>
      <c r="H157" s="64"/>
    </row>
    <row r="158" spans="1:10" x14ac:dyDescent="0.25">
      <c r="A158" s="71" t="str">
        <f t="shared" si="3"/>
        <v>Prévision de réduction de l'utilisation dans le cadre du plan d'action de la Confédération</v>
      </c>
      <c r="B158" s="66"/>
      <c r="C158" s="68" t="s">
        <v>629</v>
      </c>
      <c r="D158" s="68" t="s">
        <v>630</v>
      </c>
      <c r="E158" s="74" t="s">
        <v>795</v>
      </c>
      <c r="F158" s="63"/>
      <c r="G158" s="63"/>
      <c r="H158" s="63"/>
    </row>
    <row r="159" spans="1:10" x14ac:dyDescent="0.25">
      <c r="A159" s="71" t="str">
        <f t="shared" si="3"/>
        <v>Dangereux pour le milieu aquatique</v>
      </c>
      <c r="B159" s="66"/>
      <c r="C159" s="69" t="s">
        <v>631</v>
      </c>
      <c r="D159" s="68" t="s">
        <v>632</v>
      </c>
      <c r="E159" s="74" t="s">
        <v>796</v>
      </c>
      <c r="F159" s="63"/>
      <c r="G159" s="63"/>
      <c r="H159" s="63"/>
    </row>
    <row r="160" spans="1:10" s="163" customFormat="1" x14ac:dyDescent="0.25">
      <c r="A160" s="71" t="str">
        <f t="shared" si="3"/>
        <v xml:space="preserve">Potentiel calculé de risque pour les organismes aquatiques </v>
      </c>
      <c r="C160" s="121" t="s">
        <v>1699</v>
      </c>
      <c r="D160" s="163" t="s">
        <v>1697</v>
      </c>
      <c r="E160" s="167" t="s">
        <v>1698</v>
      </c>
      <c r="F160" s="63"/>
      <c r="G160" s="63"/>
      <c r="H160" s="63"/>
    </row>
    <row r="161" spans="1:8" s="163" customFormat="1" x14ac:dyDescent="0.25">
      <c r="A161" s="71" t="str">
        <f t="shared" ref="A161" si="4">IF($G$1=1,C161,(IF($G$1=2,D161,IF($G$1=3,E161,""))))</f>
        <v>Potentiel calculé de risque pour les organismes terrestres</v>
      </c>
      <c r="C161" s="121" t="s">
        <v>1890</v>
      </c>
      <c r="D161" s="163" t="s">
        <v>1891</v>
      </c>
      <c r="E161" s="167" t="s">
        <v>1698</v>
      </c>
      <c r="F161" s="63"/>
      <c r="G161" s="63"/>
      <c r="H161" s="63"/>
    </row>
    <row r="162" spans="1:8" x14ac:dyDescent="0.25">
      <c r="A162" s="71" t="str">
        <f t="shared" si="3"/>
        <v xml:space="preserve">Dangereux pour les abeilles </v>
      </c>
      <c r="B162" s="66"/>
      <c r="C162" s="68" t="s">
        <v>633</v>
      </c>
      <c r="D162" s="68" t="s">
        <v>634</v>
      </c>
      <c r="E162" s="74" t="s">
        <v>797</v>
      </c>
      <c r="F162" s="63"/>
      <c r="G162" s="63"/>
      <c r="H162" s="63"/>
    </row>
    <row r="163" spans="1:8" x14ac:dyDescent="0.25">
      <c r="A163" s="71" t="str">
        <f t="shared" si="3"/>
        <v>En plus des gants et d'une tenue de protection, port d'une visière lors de la préparation de la bouillie</v>
      </c>
      <c r="B163" s="66"/>
      <c r="C163" s="68" t="s">
        <v>918</v>
      </c>
      <c r="D163" s="68" t="s">
        <v>635</v>
      </c>
      <c r="E163" s="74" t="s">
        <v>798</v>
      </c>
      <c r="F163" s="63"/>
      <c r="G163" s="63"/>
      <c r="H163" s="63"/>
    </row>
    <row r="164" spans="1:8" x14ac:dyDescent="0.25">
      <c r="A164" s="71" t="str">
        <f t="shared" si="3"/>
        <v>En plus des gants et d'une tenue de protection, port d'un masque lors de la préparation de la bouillie</v>
      </c>
      <c r="B164" s="66"/>
      <c r="C164" s="68" t="s">
        <v>636</v>
      </c>
      <c r="D164" s="68" t="s">
        <v>637</v>
      </c>
      <c r="E164" s="74" t="s">
        <v>799</v>
      </c>
      <c r="F164" s="63"/>
      <c r="G164" s="63"/>
      <c r="H164" s="63"/>
    </row>
    <row r="165" spans="1:8" x14ac:dyDescent="0.25">
      <c r="A165" s="71" t="str">
        <f t="shared" si="3"/>
        <v>Prendre des mesures de précaution lors de l'application de la bouillie</v>
      </c>
      <c r="B165" s="66"/>
      <c r="C165" s="68" t="s">
        <v>638</v>
      </c>
      <c r="D165" s="68" t="s">
        <v>639</v>
      </c>
      <c r="E165" s="74" t="s">
        <v>800</v>
      </c>
      <c r="F165" s="63"/>
      <c r="G165" s="63"/>
      <c r="H165" s="63"/>
    </row>
    <row r="166" spans="1:8" x14ac:dyDescent="0.25">
      <c r="A166" s="71" t="str">
        <f t="shared" si="3"/>
        <v>Temps d'attente avant le retour au champs sans protection</v>
      </c>
      <c r="B166" s="66"/>
      <c r="C166" s="68" t="s">
        <v>640</v>
      </c>
      <c r="D166" s="68" t="s">
        <v>641</v>
      </c>
      <c r="E166" s="72" t="s">
        <v>801</v>
      </c>
      <c r="F166" s="63"/>
      <c r="G166" s="63"/>
      <c r="H166" s="63"/>
    </row>
    <row r="167" spans="1:8" x14ac:dyDescent="0.25">
      <c r="A167" s="71" t="str">
        <f t="shared" si="3"/>
        <v>Homologation dans les céréales</v>
      </c>
      <c r="B167" s="66"/>
      <c r="C167" s="68" t="s">
        <v>642</v>
      </c>
      <c r="D167" s="68" t="s">
        <v>643</v>
      </c>
      <c r="E167" s="74" t="s">
        <v>802</v>
      </c>
      <c r="F167" s="63"/>
      <c r="G167" s="63"/>
      <c r="H167" s="63"/>
    </row>
    <row r="168" spans="1:8" x14ac:dyDescent="0.25">
      <c r="A168" s="71" t="str">
        <f t="shared" si="3"/>
        <v>Homologation dans les betteraves</v>
      </c>
      <c r="B168" s="66"/>
      <c r="C168" s="68" t="s">
        <v>644</v>
      </c>
      <c r="D168" s="68" t="s">
        <v>645</v>
      </c>
      <c r="E168" s="74" t="s">
        <v>803</v>
      </c>
      <c r="F168" s="63"/>
      <c r="G168" s="63"/>
      <c r="H168" s="63"/>
    </row>
    <row r="169" spans="1:8" x14ac:dyDescent="0.25">
      <c r="A169" s="71" t="str">
        <f t="shared" si="3"/>
        <v>Homologation dans les pommes de terre</v>
      </c>
      <c r="B169" s="66"/>
      <c r="C169" s="68" t="s">
        <v>646</v>
      </c>
      <c r="D169" s="68" t="s">
        <v>647</v>
      </c>
      <c r="E169" s="74" t="s">
        <v>804</v>
      </c>
      <c r="F169" s="63"/>
      <c r="G169" s="63"/>
      <c r="H169" s="63"/>
    </row>
    <row r="170" spans="1:8" x14ac:dyDescent="0.25">
      <c r="A170" s="71" t="str">
        <f t="shared" si="3"/>
        <v>Homologation dans le maïs</v>
      </c>
      <c r="B170" s="66"/>
      <c r="C170" s="68" t="s">
        <v>648</v>
      </c>
      <c r="D170" s="68" t="s">
        <v>649</v>
      </c>
      <c r="E170" s="74" t="s">
        <v>805</v>
      </c>
      <c r="F170" s="63"/>
      <c r="G170" s="63"/>
      <c r="H170" s="63"/>
    </row>
    <row r="171" spans="1:8" x14ac:dyDescent="0.25">
      <c r="A171" s="71" t="str">
        <f t="shared" si="3"/>
        <v>Homologation dans le colza</v>
      </c>
      <c r="B171" s="66"/>
      <c r="C171" s="68" t="s">
        <v>650</v>
      </c>
      <c r="D171" s="68" t="s">
        <v>651</v>
      </c>
      <c r="E171" s="74" t="s">
        <v>806</v>
      </c>
      <c r="F171" s="63"/>
      <c r="G171" s="63"/>
      <c r="H171" s="63"/>
    </row>
    <row r="172" spans="1:8" x14ac:dyDescent="0.25">
      <c r="A172" s="71" t="str">
        <f t="shared" si="3"/>
        <v>Homologation dans le tournesol</v>
      </c>
      <c r="B172" s="66"/>
      <c r="C172" s="68" t="s">
        <v>652</v>
      </c>
      <c r="D172" s="68" t="s">
        <v>653</v>
      </c>
      <c r="E172" s="74" t="s">
        <v>807</v>
      </c>
      <c r="F172" s="63"/>
      <c r="G172" s="63"/>
      <c r="H172" s="63"/>
    </row>
    <row r="173" spans="1:8" x14ac:dyDescent="0.25">
      <c r="A173" s="71" t="str">
        <f t="shared" si="3"/>
        <v>Homologation dans les pois protéagineux</v>
      </c>
      <c r="B173" s="66"/>
      <c r="C173" s="68" t="s">
        <v>654</v>
      </c>
      <c r="D173" s="68" t="s">
        <v>655</v>
      </c>
      <c r="E173" s="74" t="s">
        <v>808</v>
      </c>
      <c r="F173" s="63"/>
      <c r="G173" s="63"/>
      <c r="H173" s="63"/>
    </row>
    <row r="174" spans="1:8" x14ac:dyDescent="0.25">
      <c r="A174" s="71" t="str">
        <f t="shared" si="3"/>
        <v>Homologation dans la féverole, le lupin ou le soja</v>
      </c>
      <c r="B174" s="66"/>
      <c r="C174" s="68" t="s">
        <v>656</v>
      </c>
      <c r="D174" s="68" t="s">
        <v>657</v>
      </c>
      <c r="E174" s="74" t="s">
        <v>809</v>
      </c>
      <c r="F174" s="63"/>
      <c r="G174" s="63"/>
      <c r="H174" s="63"/>
    </row>
    <row r="175" spans="1:8" x14ac:dyDescent="0.25">
      <c r="A175" s="71" t="str">
        <f t="shared" si="3"/>
        <v>Homologation dans le tabac</v>
      </c>
      <c r="B175" s="66"/>
      <c r="C175" s="68" t="s">
        <v>658</v>
      </c>
      <c r="D175" s="68" t="s">
        <v>659</v>
      </c>
      <c r="E175" s="74" t="s">
        <v>810</v>
      </c>
      <c r="F175" s="63"/>
      <c r="G175" s="63"/>
      <c r="H175" s="63"/>
    </row>
    <row r="176" spans="1:8" x14ac:dyDescent="0.25">
      <c r="A176" s="71" t="str">
        <f t="shared" si="3"/>
        <v>Homologation dans les prairies</v>
      </c>
      <c r="B176" s="66"/>
      <c r="C176" s="68" t="s">
        <v>660</v>
      </c>
      <c r="D176" s="68" t="s">
        <v>661</v>
      </c>
      <c r="E176" s="74" t="s">
        <v>811</v>
      </c>
      <c r="F176" s="63"/>
      <c r="G176" s="63"/>
      <c r="H176" s="63"/>
    </row>
    <row r="177" spans="1:5" x14ac:dyDescent="0.25">
      <c r="A177" s="71" t="str">
        <f t="shared" si="3"/>
        <v>Version de l'index phytosanitaire de l'OFAG</v>
      </c>
      <c r="B177" s="66"/>
      <c r="C177" s="68" t="s">
        <v>662</v>
      </c>
      <c r="D177" s="68" t="s">
        <v>663</v>
      </c>
      <c r="E177" s="72" t="s">
        <v>812</v>
      </c>
    </row>
    <row r="178" spans="1:5" x14ac:dyDescent="0.25">
      <c r="A178" s="71" t="str">
        <f t="shared" si="3"/>
        <v>Eviter les produits avec plus de 6 m de ZNT</v>
      </c>
      <c r="C178" s="70" t="s">
        <v>672</v>
      </c>
      <c r="D178" s="70" t="s">
        <v>673</v>
      </c>
      <c r="E178" s="72" t="s">
        <v>814</v>
      </c>
    </row>
    <row r="179" spans="1:5" x14ac:dyDescent="0.25">
      <c r="A179" s="71" t="str">
        <f t="shared" si="3"/>
        <v>&gt;2 pt prendre des mesures</v>
      </c>
      <c r="C179" s="66" t="s">
        <v>674</v>
      </c>
      <c r="D179" s="67" t="s">
        <v>675</v>
      </c>
      <c r="E179" s="72" t="s">
        <v>813</v>
      </c>
    </row>
    <row r="180" spans="1:5" x14ac:dyDescent="0.25">
      <c r="A180" s="71" t="str">
        <f t="shared" si="3"/>
        <v>&gt;3 pt prendre des mesures</v>
      </c>
      <c r="C180" s="66" t="s">
        <v>676</v>
      </c>
      <c r="D180" s="67" t="s">
        <v>677</v>
      </c>
      <c r="E180" s="72" t="s">
        <v>813</v>
      </c>
    </row>
    <row r="181" spans="1:5" x14ac:dyDescent="0.25">
      <c r="A181" s="71" t="str">
        <f t="shared" si="3"/>
        <v>Mesures de réduction de la dérive</v>
      </c>
      <c r="C181" s="21" t="s">
        <v>378</v>
      </c>
      <c r="D181" s="83" t="s">
        <v>861</v>
      </c>
      <c r="E181" s="72" t="s">
        <v>840</v>
      </c>
    </row>
    <row r="182" spans="1:5" x14ac:dyDescent="0.25">
      <c r="A182" s="71" t="str">
        <f t="shared" si="3"/>
        <v>Point</v>
      </c>
      <c r="C182" s="19" t="s">
        <v>817</v>
      </c>
      <c r="D182" s="83" t="s">
        <v>862</v>
      </c>
      <c r="E182" s="72" t="s">
        <v>841</v>
      </c>
    </row>
    <row r="183" spans="1:5" x14ac:dyDescent="0.25">
      <c r="A183" s="71" t="str">
        <f t="shared" si="3"/>
        <v>Buses</v>
      </c>
      <c r="C183" s="21" t="s">
        <v>818</v>
      </c>
      <c r="D183" s="83" t="s">
        <v>863</v>
      </c>
      <c r="E183" s="72" t="s">
        <v>842</v>
      </c>
    </row>
    <row r="184" spans="1:5" x14ac:dyDescent="0.25">
      <c r="A184" s="71" t="str">
        <f t="shared" si="3"/>
        <v>Buses injection d'air (50% réduction)</v>
      </c>
      <c r="C184" s="21" t="s">
        <v>864</v>
      </c>
      <c r="D184" s="83" t="s">
        <v>865</v>
      </c>
      <c r="E184" s="72" t="s">
        <v>866</v>
      </c>
    </row>
    <row r="185" spans="1:5" x14ac:dyDescent="0.25">
      <c r="A185" s="71" t="str">
        <f t="shared" si="3"/>
        <v>Buses injection d'air avec max 3 bar (75% dérive)</v>
      </c>
      <c r="C185" s="21" t="s">
        <v>826</v>
      </c>
      <c r="D185" s="83" t="s">
        <v>867</v>
      </c>
      <c r="E185" s="72" t="s">
        <v>843</v>
      </c>
    </row>
    <row r="186" spans="1:5" x14ac:dyDescent="0.25">
      <c r="A186" s="71" t="str">
        <f t="shared" si="3"/>
        <v>Buses injection d'air avec max 2 bar (90% dérive)</v>
      </c>
      <c r="C186" s="21" t="s">
        <v>827</v>
      </c>
      <c r="D186" s="83" t="s">
        <v>868</v>
      </c>
      <c r="E186" s="72" t="s">
        <v>844</v>
      </c>
    </row>
    <row r="187" spans="1:5" x14ac:dyDescent="0.25">
      <c r="A187" s="71" t="str">
        <f t="shared" si="3"/>
        <v>Buses injection d'air avec 95% dérive</v>
      </c>
      <c r="C187" s="21" t="s">
        <v>845</v>
      </c>
      <c r="D187" s="83" t="s">
        <v>869</v>
      </c>
      <c r="E187" s="72" t="s">
        <v>846</v>
      </c>
    </row>
    <row r="188" spans="1:5" x14ac:dyDescent="0.25">
      <c r="A188" s="71" t="str">
        <f t="shared" si="3"/>
        <v>Matériel</v>
      </c>
      <c r="C188" s="21" t="s">
        <v>819</v>
      </c>
      <c r="D188" s="83" t="s">
        <v>870</v>
      </c>
      <c r="E188" s="72" t="s">
        <v>847</v>
      </c>
    </row>
    <row r="189" spans="1:5" x14ac:dyDescent="0.25">
      <c r="A189" s="71" t="str">
        <f t="shared" si="3"/>
        <v>Pulvérisateur avec assistance d'air</v>
      </c>
      <c r="C189" s="21" t="s">
        <v>825</v>
      </c>
      <c r="D189" s="83" t="s">
        <v>885</v>
      </c>
      <c r="E189" s="72" t="s">
        <v>848</v>
      </c>
    </row>
    <row r="190" spans="1:5" x14ac:dyDescent="0.25">
      <c r="A190" s="71" t="str">
        <f t="shared" si="3"/>
        <v>Pulvérisation sous-foliaire</v>
      </c>
      <c r="C190" s="21" t="s">
        <v>828</v>
      </c>
      <c r="D190" s="83" t="s">
        <v>871</v>
      </c>
      <c r="E190" s="72" t="s">
        <v>849</v>
      </c>
    </row>
    <row r="191" spans="1:5" x14ac:dyDescent="0.25">
      <c r="A191" s="71" t="str">
        <f t="shared" si="3"/>
        <v>Traitement herbicide en bande</v>
      </c>
      <c r="C191" s="21" t="s">
        <v>829</v>
      </c>
      <c r="D191" s="83" t="s">
        <v>872</v>
      </c>
      <c r="E191" s="72" t="s">
        <v>850</v>
      </c>
    </row>
    <row r="192" spans="1:5" x14ac:dyDescent="0.25">
      <c r="A192" s="71" t="str">
        <f t="shared" si="3"/>
        <v>Parcelle</v>
      </c>
      <c r="C192" s="21" t="s">
        <v>820</v>
      </c>
      <c r="D192" s="83" t="s">
        <v>873</v>
      </c>
      <c r="E192" s="72" t="s">
        <v>851</v>
      </c>
    </row>
    <row r="193" spans="1:5" x14ac:dyDescent="0.25">
      <c r="A193" s="71" t="str">
        <f t="shared" si="3"/>
        <v>Bande végétalisée continue de min 3 m de large et aussi haute que la culture traitée</v>
      </c>
      <c r="C193" s="21" t="s">
        <v>830</v>
      </c>
      <c r="D193" s="83" t="s">
        <v>884</v>
      </c>
      <c r="E193" s="72" t="s">
        <v>852</v>
      </c>
    </row>
    <row r="194" spans="1:5" x14ac:dyDescent="0.25">
      <c r="A194" s="71" t="str">
        <f t="shared" si="3"/>
        <v>Distance</v>
      </c>
      <c r="C194" s="21" t="s">
        <v>821</v>
      </c>
      <c r="D194" s="83" t="s">
        <v>874</v>
      </c>
      <c r="E194" s="21" t="s">
        <v>837</v>
      </c>
    </row>
    <row r="195" spans="1:5" x14ac:dyDescent="0.25">
      <c r="A195" s="71" t="str">
        <f t="shared" si="3"/>
        <v>Points nécessaires</v>
      </c>
      <c r="C195" s="21" t="s">
        <v>823</v>
      </c>
      <c r="D195" s="83" t="s">
        <v>875</v>
      </c>
      <c r="E195" s="21" t="s">
        <v>838</v>
      </c>
    </row>
    <row r="196" spans="1:5" x14ac:dyDescent="0.25">
      <c r="A196" s="71" t="str">
        <f t="shared" si="3"/>
        <v>Réduction de la largeur de la ZNT à …</v>
      </c>
      <c r="C196" s="59" t="s">
        <v>824</v>
      </c>
      <c r="D196" s="83" t="s">
        <v>876</v>
      </c>
      <c r="E196" s="21" t="s">
        <v>839</v>
      </c>
    </row>
    <row r="197" spans="1:5" x14ac:dyDescent="0.25">
      <c r="A197" s="71" t="str">
        <f t="shared" si="3"/>
        <v>Mesures de réduction du ruissellement</v>
      </c>
      <c r="C197" s="21" t="s">
        <v>379</v>
      </c>
      <c r="D197" s="83" t="s">
        <v>877</v>
      </c>
      <c r="E197" s="81" t="s">
        <v>853</v>
      </c>
    </row>
    <row r="198" spans="1:5" x14ac:dyDescent="0.25">
      <c r="A198" s="71" t="str">
        <f t="shared" si="3"/>
        <v>Bande herbeuse le long d'eau de surface</v>
      </c>
      <c r="C198" s="21" t="s">
        <v>831</v>
      </c>
      <c r="D198" s="83" t="s">
        <v>878</v>
      </c>
      <c r="E198" s="81" t="s">
        <v>854</v>
      </c>
    </row>
    <row r="199" spans="1:5" x14ac:dyDescent="0.25">
      <c r="A199" s="71" t="str">
        <f t="shared" si="3"/>
        <v>6 m (entièrement couverte d'une couverture végétale</v>
      </c>
      <c r="C199" s="21" t="s">
        <v>832</v>
      </c>
      <c r="D199" s="83" t="s">
        <v>879</v>
      </c>
      <c r="E199" s="81" t="s">
        <v>822</v>
      </c>
    </row>
    <row r="200" spans="1:5" x14ac:dyDescent="0.25">
      <c r="A200" s="71" t="str">
        <f t="shared" si="3"/>
        <v>Type de travail du sol</v>
      </c>
      <c r="C200" s="21" t="s">
        <v>833</v>
      </c>
      <c r="D200" s="83" t="s">
        <v>880</v>
      </c>
      <c r="E200" s="81" t="s">
        <v>855</v>
      </c>
    </row>
    <row r="201" spans="1:5" ht="45" x14ac:dyDescent="0.25">
      <c r="A201" s="71" t="str">
        <f t="shared" si="3"/>
        <v>- semis direct
- semis en bande
- semis sous litière</v>
      </c>
      <c r="C201" s="21" t="s">
        <v>834</v>
      </c>
      <c r="D201" s="82" t="s">
        <v>881</v>
      </c>
      <c r="E201" s="82" t="s">
        <v>856</v>
      </c>
    </row>
    <row r="202" spans="1:5" x14ac:dyDescent="0.25">
      <c r="A202" s="71" t="str">
        <f t="shared" si="3"/>
        <v>Mesures à la parcelles</v>
      </c>
      <c r="C202" s="21" t="s">
        <v>835</v>
      </c>
      <c r="D202" s="83" t="s">
        <v>882</v>
      </c>
      <c r="E202" s="81" t="s">
        <v>857</v>
      </c>
    </row>
    <row r="203" spans="1:5" ht="135" x14ac:dyDescent="0.25">
      <c r="A203" s="71" t="str">
        <f t="shared" si="3"/>
        <v>- Diguettes transversales dans les cultures à buttes
- Enherbement des passages du tracteur
- Bande enherbée de 3 m à l'origine du ruissellement
- Enherbement des tournières</v>
      </c>
      <c r="C203" s="21" t="s">
        <v>836</v>
      </c>
      <c r="D203" s="82" t="s">
        <v>883</v>
      </c>
      <c r="E203" s="82" t="s">
        <v>858</v>
      </c>
    </row>
    <row r="204" spans="1:5" x14ac:dyDescent="0.25">
      <c r="A204" s="71" t="str">
        <f t="shared" si="3"/>
        <v>1 point: Réduction de la surface traitée par le traitement en bande (max 50% de la surface traitée)</v>
      </c>
      <c r="C204" s="81" t="s">
        <v>859</v>
      </c>
      <c r="D204" s="83" t="s">
        <v>886</v>
      </c>
      <c r="E204" s="81" t="s">
        <v>860</v>
      </c>
    </row>
    <row r="205" spans="1:5" x14ac:dyDescent="0.25">
      <c r="A205" s="71" t="str">
        <f t="shared" si="3"/>
        <v>obligation légale</v>
      </c>
      <c r="C205" s="39" t="s">
        <v>902</v>
      </c>
      <c r="D205" s="89" t="s">
        <v>903</v>
      </c>
      <c r="E205" s="21" t="s">
        <v>1979</v>
      </c>
    </row>
    <row r="206" spans="1:5" x14ac:dyDescent="0.25">
      <c r="A206" s="71" t="str">
        <f t="shared" si="3"/>
        <v>risque important</v>
      </c>
      <c r="C206" s="39" t="s">
        <v>900</v>
      </c>
      <c r="D206" s="21" t="s">
        <v>904</v>
      </c>
      <c r="E206" s="81" t="s">
        <v>1980</v>
      </c>
    </row>
    <row r="207" spans="1:5" x14ac:dyDescent="0.25">
      <c r="A207" s="71" t="str">
        <f t="shared" si="3"/>
        <v>risque relatif (métabolites non pertinents)</v>
      </c>
      <c r="C207" s="39" t="s">
        <v>901</v>
      </c>
      <c r="D207" s="81" t="s">
        <v>905</v>
      </c>
      <c r="E207" s="21" t="s">
        <v>1981</v>
      </c>
    </row>
    <row r="208" spans="1:5" x14ac:dyDescent="0.25">
      <c r="A208" s="71" t="str">
        <f t="shared" si="3"/>
        <v>hors vol des abeilles</v>
      </c>
      <c r="C208" s="104" t="s">
        <v>970</v>
      </c>
      <c r="D208" s="21" t="s">
        <v>973</v>
      </c>
      <c r="E208" s="21" t="s">
        <v>1982</v>
      </c>
    </row>
    <row r="209" spans="1:14" x14ac:dyDescent="0.25">
      <c r="A209" s="71" t="str">
        <f t="shared" si="3"/>
        <v>PER - Phytosanitaires : Liste et contraintes des produits utilisés durant la campagne</v>
      </c>
      <c r="C209" s="21" t="s">
        <v>1560</v>
      </c>
      <c r="D209" s="81" t="s">
        <v>1565</v>
      </c>
      <c r="E209" s="21" t="s">
        <v>1983</v>
      </c>
    </row>
    <row r="210" spans="1:14" x14ac:dyDescent="0.25">
      <c r="A210" s="71" t="str">
        <f t="shared" si="3"/>
        <v>Fiche facultative d’aide pour la gestion des contraintes liées aux produits phytosanitaires</v>
      </c>
      <c r="C210" s="146" t="s">
        <v>1561</v>
      </c>
      <c r="D210" s="81" t="s">
        <v>1566</v>
      </c>
      <c r="E210" s="21" t="s">
        <v>1984</v>
      </c>
    </row>
    <row r="211" spans="1:14" x14ac:dyDescent="0.25">
      <c r="A211" s="71" t="str">
        <f t="shared" si="3"/>
        <v>Choisissez un produit dans la liste et les données</v>
      </c>
      <c r="C211" s="146" t="s">
        <v>1563</v>
      </c>
      <c r="D211" s="81" t="s">
        <v>481</v>
      </c>
      <c r="E211" s="21" t="s">
        <v>1985</v>
      </c>
    </row>
    <row r="212" spans="1:14" ht="16.5" x14ac:dyDescent="0.25">
      <c r="A212" s="71" t="str">
        <f t="shared" si="3"/>
        <v>seront affichées</v>
      </c>
      <c r="C212" s="146" t="s">
        <v>1562</v>
      </c>
      <c r="D212" s="81" t="s">
        <v>1567</v>
      </c>
      <c r="E212" s="265" t="s">
        <v>1986</v>
      </c>
      <c r="F212" s="265"/>
    </row>
    <row r="213" spans="1:14" s="163" customFormat="1" ht="16.5" x14ac:dyDescent="0.25">
      <c r="A213" s="110" t="str">
        <f t="shared" si="3"/>
        <v>Risques</v>
      </c>
      <c r="B213" s="21"/>
      <c r="C213" s="146" t="s">
        <v>966</v>
      </c>
      <c r="D213" s="81" t="s">
        <v>429</v>
      </c>
      <c r="E213" s="265" t="s">
        <v>1987</v>
      </c>
      <c r="F213" s="21"/>
      <c r="G213" s="21"/>
      <c r="H213" s="21"/>
      <c r="N213"/>
    </row>
    <row r="214" spans="1:14" s="163" customFormat="1" ht="16.5" x14ac:dyDescent="0.25">
      <c r="A214" s="110" t="str">
        <f t="shared" si="3"/>
        <v>Eau de surface</v>
      </c>
      <c r="B214" s="21"/>
      <c r="C214" s="146" t="s">
        <v>1583</v>
      </c>
      <c r="D214" s="81" t="s">
        <v>1851</v>
      </c>
      <c r="E214" s="265" t="s">
        <v>1988</v>
      </c>
      <c r="F214" s="21"/>
      <c r="G214" s="21"/>
      <c r="H214" s="21"/>
    </row>
    <row r="215" spans="1:14" s="163" customFormat="1" ht="16.5" x14ac:dyDescent="0.25">
      <c r="A215" s="110" t="str">
        <f t="shared" si="3"/>
        <v>Org. terrestres</v>
      </c>
      <c r="B215" s="21"/>
      <c r="C215" s="146" t="s">
        <v>1852</v>
      </c>
      <c r="D215" s="81" t="s">
        <v>1854</v>
      </c>
      <c r="E215" s="265" t="s">
        <v>1989</v>
      </c>
      <c r="F215" s="21"/>
      <c r="G215" s="21"/>
      <c r="H215" s="21"/>
    </row>
    <row r="216" spans="1:14" ht="16.5" x14ac:dyDescent="0.25">
      <c r="A216" s="71" t="str">
        <f t="shared" si="3"/>
        <v>ZNT en m</v>
      </c>
      <c r="C216" s="146" t="s">
        <v>1776</v>
      </c>
      <c r="D216" s="81" t="s">
        <v>1777</v>
      </c>
      <c r="E216" s="265" t="s">
        <v>1990</v>
      </c>
    </row>
    <row r="217" spans="1:14" ht="16.5" x14ac:dyDescent="0.25">
      <c r="A217" s="71" t="str">
        <f t="shared" si="3"/>
        <v>Nom d'exploitation</v>
      </c>
      <c r="C217" s="146" t="s">
        <v>1778</v>
      </c>
      <c r="D217" s="81" t="s">
        <v>1779</v>
      </c>
      <c r="E217" s="265" t="s">
        <v>1991</v>
      </c>
    </row>
    <row r="218" spans="1:14" s="163" customFormat="1" ht="16.5" x14ac:dyDescent="0.25">
      <c r="A218" s="110" t="str">
        <f t="shared" si="3"/>
        <v>Dose indicative</v>
      </c>
      <c r="B218" s="21"/>
      <c r="C218" s="146" t="s">
        <v>2053</v>
      </c>
      <c r="D218" s="81" t="s">
        <v>2054</v>
      </c>
      <c r="E218" s="265" t="s">
        <v>2055</v>
      </c>
      <c r="F218" s="21"/>
      <c r="G218" s="21"/>
      <c r="H218" s="21"/>
    </row>
    <row r="219" spans="1:14" s="163" customFormat="1" ht="16.5" x14ac:dyDescent="0.25">
      <c r="A219" s="110" t="str">
        <f t="shared" si="3"/>
        <v>Dose appliquée</v>
      </c>
      <c r="B219" s="21"/>
      <c r="C219" s="146" t="s">
        <v>1897</v>
      </c>
      <c r="D219" s="81" t="s">
        <v>1898</v>
      </c>
      <c r="E219" s="265" t="s">
        <v>1992</v>
      </c>
      <c r="F219" s="21"/>
      <c r="G219" s="21"/>
      <c r="H219" s="21"/>
    </row>
    <row r="220" spans="1:14" ht="16.5" x14ac:dyDescent="0.25">
      <c r="A220" s="71" t="str">
        <f t="shared" si="3"/>
        <v>Appréciation du risque de dérive et de ruissellement pour les parcelles d'une exploitation</v>
      </c>
      <c r="C220" s="21" t="s">
        <v>1759</v>
      </c>
      <c r="D220" s="81" t="s">
        <v>1785</v>
      </c>
      <c r="E220" s="265" t="s">
        <v>1993</v>
      </c>
    </row>
    <row r="221" spans="1:14" ht="16.5" x14ac:dyDescent="0.25">
      <c r="A221" s="71" t="str">
        <f t="shared" si="3"/>
        <v>Mesures de réduction à l'application ou à la parcelle</v>
      </c>
      <c r="C221" s="21" t="s">
        <v>1769</v>
      </c>
      <c r="D221" s="81" t="s">
        <v>1786</v>
      </c>
      <c r="E221" s="265" t="s">
        <v>1994</v>
      </c>
    </row>
    <row r="222" spans="1:14" ht="16.5" x14ac:dyDescent="0.25">
      <c r="A222" s="71" t="str">
        <f t="shared" ref="A222:A271" si="5">IF($G$1=1,C222,(IF($G$1=2,D222,IF($G$1=3,E222,""))))</f>
        <v>Distance du bord de parcelle</v>
      </c>
      <c r="C222" s="21" t="s">
        <v>1716</v>
      </c>
      <c r="D222" s="21" t="s">
        <v>1787</v>
      </c>
      <c r="E222" s="265" t="s">
        <v>1995</v>
      </c>
    </row>
    <row r="223" spans="1:14" ht="16.5" x14ac:dyDescent="0.25">
      <c r="A223" s="71" t="str">
        <f t="shared" si="5"/>
        <v>Appréciation 1</v>
      </c>
      <c r="C223" s="21" t="s">
        <v>1886</v>
      </c>
      <c r="D223" s="21" t="s">
        <v>1887</v>
      </c>
      <c r="E223" s="265" t="s">
        <v>1996</v>
      </c>
    </row>
    <row r="224" spans="1:14" ht="16.5" x14ac:dyDescent="0.25">
      <c r="A224" s="71" t="str">
        <f t="shared" si="5"/>
        <v>dérive</v>
      </c>
      <c r="C224" s="21" t="s">
        <v>1770</v>
      </c>
      <c r="D224" s="81" t="s">
        <v>1788</v>
      </c>
      <c r="E224" s="265" t="s">
        <v>1997</v>
      </c>
    </row>
    <row r="225" spans="1:5" ht="16.5" x14ac:dyDescent="0.25">
      <c r="A225" s="71" t="str">
        <f t="shared" si="5"/>
        <v>ruissellement</v>
      </c>
      <c r="C225" s="21" t="s">
        <v>1771</v>
      </c>
      <c r="D225" s="81" t="s">
        <v>437</v>
      </c>
      <c r="E225" s="265" t="s">
        <v>1998</v>
      </c>
    </row>
    <row r="226" spans="1:5" ht="16.5" x14ac:dyDescent="0.25">
      <c r="A226" s="71" t="str">
        <f t="shared" si="5"/>
        <v>Appréciation 2 (après mesures à la parcelle)</v>
      </c>
      <c r="C226" s="21" t="s">
        <v>1888</v>
      </c>
      <c r="D226" s="21" t="s">
        <v>1889</v>
      </c>
      <c r="E226" s="265" t="s">
        <v>1999</v>
      </c>
    </row>
    <row r="227" spans="1:5" ht="16.5" x14ac:dyDescent="0.25">
      <c r="A227" s="71" t="str">
        <f t="shared" si="5"/>
        <v>Pente de la parcelle</v>
      </c>
      <c r="C227" s="21" t="s">
        <v>1713</v>
      </c>
      <c r="D227" s="81" t="s">
        <v>1789</v>
      </c>
      <c r="E227" s="265" t="s">
        <v>2000</v>
      </c>
    </row>
    <row r="228" spans="1:5" ht="16.5" x14ac:dyDescent="0.25">
      <c r="A228" s="71" t="str">
        <f t="shared" si="5"/>
        <v>Eau de surface</v>
      </c>
      <c r="C228" s="21" t="s">
        <v>1583</v>
      </c>
      <c r="D228" s="81" t="s">
        <v>1790</v>
      </c>
      <c r="E228" s="265" t="s">
        <v>1988</v>
      </c>
    </row>
    <row r="229" spans="1:5" ht="16.5" x14ac:dyDescent="0.25">
      <c r="A229" s="71" t="str">
        <f t="shared" si="5"/>
        <v>Eau en contre-bas de la parcelle</v>
      </c>
      <c r="C229" s="21" t="s">
        <v>1729</v>
      </c>
      <c r="D229" s="21" t="s">
        <v>1791</v>
      </c>
      <c r="E229" s="265" t="s">
        <v>2001</v>
      </c>
    </row>
    <row r="230" spans="1:5" ht="16.5" x14ac:dyDescent="0.25">
      <c r="A230" s="71" t="str">
        <f t="shared" si="5"/>
        <v>Biotope</v>
      </c>
      <c r="C230" s="21" t="s">
        <v>438</v>
      </c>
      <c r="D230" s="81" t="s">
        <v>438</v>
      </c>
      <c r="E230" s="265" t="s">
        <v>692</v>
      </c>
    </row>
    <row r="231" spans="1:5" ht="16.5" x14ac:dyDescent="0.25">
      <c r="A231" s="71" t="str">
        <f t="shared" si="5"/>
        <v>Habitations ou zone publique</v>
      </c>
      <c r="C231" s="21" t="s">
        <v>1715</v>
      </c>
      <c r="D231" s="21" t="s">
        <v>1792</v>
      </c>
      <c r="E231" s="265" t="s">
        <v>2002</v>
      </c>
    </row>
    <row r="232" spans="1:5" ht="16.5" x14ac:dyDescent="0.25">
      <c r="A232" s="71" t="str">
        <f t="shared" si="5"/>
        <v>Evacuation sur une route drainée en contre-bas</v>
      </c>
      <c r="C232" s="21" t="s">
        <v>1760</v>
      </c>
      <c r="D232" s="21" t="s">
        <v>1817</v>
      </c>
      <c r="E232" s="265" t="s">
        <v>2003</v>
      </c>
    </row>
    <row r="233" spans="1:5" ht="16.5" x14ac:dyDescent="0.25">
      <c r="A233" s="71" t="str">
        <f t="shared" si="5"/>
        <v>Type de buses de pulvérisation</v>
      </c>
      <c r="C233" s="21" t="s">
        <v>1712</v>
      </c>
      <c r="D233" s="21" t="s">
        <v>1793</v>
      </c>
      <c r="E233" s="265" t="s">
        <v>2004</v>
      </c>
    </row>
    <row r="234" spans="1:5" ht="16.5" x14ac:dyDescent="0.25">
      <c r="A234" s="71" t="str">
        <f t="shared" si="5"/>
        <v>Dérive PER</v>
      </c>
      <c r="C234" s="21" t="s">
        <v>1742</v>
      </c>
      <c r="D234" s="81" t="s">
        <v>1794</v>
      </c>
      <c r="E234" s="265" t="s">
        <v>2005</v>
      </c>
    </row>
    <row r="235" spans="1:5" ht="16.5" x14ac:dyDescent="0.25">
      <c r="A235" s="71" t="str">
        <f t="shared" si="5"/>
        <v>Dérive eau</v>
      </c>
      <c r="C235" s="21" t="s">
        <v>1707</v>
      </c>
      <c r="D235" s="81" t="s">
        <v>1795</v>
      </c>
      <c r="E235" s="265" t="s">
        <v>2006</v>
      </c>
    </row>
    <row r="236" spans="1:5" ht="16.5" x14ac:dyDescent="0.25">
      <c r="A236" s="71" t="str">
        <f t="shared" si="5"/>
        <v>Dérive biotope</v>
      </c>
      <c r="C236" s="21" t="s">
        <v>1708</v>
      </c>
      <c r="D236" s="81" t="s">
        <v>1796</v>
      </c>
      <c r="E236" s="265" t="s">
        <v>2007</v>
      </c>
    </row>
    <row r="237" spans="1:5" ht="16.5" x14ac:dyDescent="0.25">
      <c r="A237" s="71" t="str">
        <f t="shared" si="5"/>
        <v>Dérive zone publique</v>
      </c>
      <c r="C237" s="21" t="s">
        <v>2008</v>
      </c>
      <c r="D237" s="81" t="s">
        <v>1797</v>
      </c>
      <c r="E237" s="265" t="s">
        <v>2009</v>
      </c>
    </row>
    <row r="238" spans="1:5" ht="16.5" x14ac:dyDescent="0.25">
      <c r="A238" s="71" t="str">
        <f t="shared" si="5"/>
        <v>Ruissellement eau</v>
      </c>
      <c r="C238" s="21" t="s">
        <v>1710</v>
      </c>
      <c r="D238" s="81" t="s">
        <v>1798</v>
      </c>
      <c r="E238" s="265" t="s">
        <v>2010</v>
      </c>
    </row>
    <row r="239" spans="1:5" ht="16.5" x14ac:dyDescent="0.25">
      <c r="A239" s="71" t="str">
        <f t="shared" si="5"/>
        <v>Ruissellement route</v>
      </c>
      <c r="C239" s="21" t="s">
        <v>1711</v>
      </c>
      <c r="D239" s="81" t="s">
        <v>1799</v>
      </c>
      <c r="E239" s="265" t="s">
        <v>2011</v>
      </c>
    </row>
    <row r="240" spans="1:5" ht="16.5" x14ac:dyDescent="0.25">
      <c r="A240" s="71" t="str">
        <f t="shared" si="5"/>
        <v>Traitement en bandes</v>
      </c>
      <c r="C240" s="21" t="s">
        <v>1724</v>
      </c>
      <c r="D240" s="81" t="s">
        <v>1800</v>
      </c>
      <c r="E240" s="265" t="s">
        <v>2012</v>
      </c>
    </row>
    <row r="241" spans="1:5" ht="16.5" x14ac:dyDescent="0.25">
      <c r="A241" s="71" t="str">
        <f t="shared" si="5"/>
        <v>Pulvérisation sous-foliaire</v>
      </c>
      <c r="C241" s="21" t="s">
        <v>828</v>
      </c>
      <c r="D241" s="81" t="s">
        <v>1801</v>
      </c>
      <c r="E241" s="265" t="s">
        <v>2013</v>
      </c>
    </row>
    <row r="242" spans="1:5" ht="16.5" x14ac:dyDescent="0.25">
      <c r="A242" s="71" t="str">
        <f t="shared" si="5"/>
        <v>Barrière verticale dépassant culture de 1m</v>
      </c>
      <c r="C242" s="21" t="s">
        <v>1762</v>
      </c>
      <c r="D242" s="21" t="s">
        <v>1802</v>
      </c>
      <c r="E242" s="265" t="s">
        <v>2015</v>
      </c>
    </row>
    <row r="243" spans="1:5" ht="16.5" x14ac:dyDescent="0.25">
      <c r="A243" s="71" t="str">
        <f t="shared" si="5"/>
        <v>Bande végétalisée (hauteur de la culture)</v>
      </c>
      <c r="C243" s="21" t="s">
        <v>1768</v>
      </c>
      <c r="D243" s="21" t="s">
        <v>1803</v>
      </c>
      <c r="E243" s="265" t="s">
        <v>2014</v>
      </c>
    </row>
    <row r="244" spans="1:5" x14ac:dyDescent="0.25">
      <c r="A244" s="71" t="str">
        <f t="shared" si="5"/>
        <v>Travail du sol sans labour</v>
      </c>
      <c r="C244" s="21" t="s">
        <v>1717</v>
      </c>
      <c r="D244" s="21" t="s">
        <v>1804</v>
      </c>
      <c r="E244" t="s">
        <v>2016</v>
      </c>
    </row>
    <row r="245" spans="1:5" x14ac:dyDescent="0.25">
      <c r="A245" s="71" t="str">
        <f t="shared" si="5"/>
        <v>Diguettes transversales</v>
      </c>
      <c r="C245" s="21" t="s">
        <v>1718</v>
      </c>
      <c r="D245" s="81" t="s">
        <v>1805</v>
      </c>
      <c r="E245" t="s">
        <v>2017</v>
      </c>
    </row>
    <row r="246" spans="1:5" x14ac:dyDescent="0.25">
      <c r="A246" s="71" t="str">
        <f t="shared" si="5"/>
        <v>Enherbement des passages de traitement</v>
      </c>
      <c r="C246" s="21" t="s">
        <v>1767</v>
      </c>
      <c r="D246" s="81" t="s">
        <v>1806</v>
      </c>
      <c r="E246" t="s">
        <v>2018</v>
      </c>
    </row>
    <row r="247" spans="1:5" x14ac:dyDescent="0.25">
      <c r="A247" s="71" t="str">
        <f t="shared" si="5"/>
        <v>Bandes enherbées à l'origine du ruissellement</v>
      </c>
      <c r="C247" s="21" t="s">
        <v>1720</v>
      </c>
      <c r="D247" s="81" t="s">
        <v>1807</v>
      </c>
      <c r="E247" t="s">
        <v>2019</v>
      </c>
    </row>
    <row r="248" spans="1:5" x14ac:dyDescent="0.25">
      <c r="A248" s="71" t="str">
        <f t="shared" si="5"/>
        <v>Enherbement des tournières</v>
      </c>
      <c r="C248" s="21" t="s">
        <v>1721</v>
      </c>
      <c r="D248" s="81" t="s">
        <v>1808</v>
      </c>
      <c r="E248" t="s">
        <v>2020</v>
      </c>
    </row>
    <row r="249" spans="1:5" ht="16.5" x14ac:dyDescent="0.25">
      <c r="A249" s="71" t="str">
        <f t="shared" si="5"/>
        <v>Enherbement entre parcelle et eau de surface</v>
      </c>
      <c r="C249" s="21" t="s">
        <v>1766</v>
      </c>
      <c r="D249" s="81" t="s">
        <v>1809</v>
      </c>
      <c r="E249" s="265" t="s">
        <v>2021</v>
      </c>
    </row>
    <row r="250" spans="1:5" ht="16.5" x14ac:dyDescent="0.25">
      <c r="A250" s="71" t="str">
        <f t="shared" si="5"/>
        <v>dont en bordure de route</v>
      </c>
      <c r="C250" s="21" t="s">
        <v>1811</v>
      </c>
      <c r="D250" s="81" t="s">
        <v>1810</v>
      </c>
      <c r="E250" s="265" t="s">
        <v>2022</v>
      </c>
    </row>
    <row r="251" spans="1:5" ht="16.5" x14ac:dyDescent="0.25">
      <c r="A251" s="71" t="str">
        <f t="shared" si="5"/>
        <v>Points de dérive</v>
      </c>
      <c r="C251" s="21" t="s">
        <v>1752</v>
      </c>
      <c r="D251" s="81" t="s">
        <v>1812</v>
      </c>
      <c r="E251" s="265" t="s">
        <v>2023</v>
      </c>
    </row>
    <row r="252" spans="1:5" ht="16.5" x14ac:dyDescent="0.25">
      <c r="A252" s="71" t="str">
        <f t="shared" si="5"/>
        <v>Points de ruissellement</v>
      </c>
      <c r="C252" s="21" t="s">
        <v>1751</v>
      </c>
      <c r="D252" s="81" t="s">
        <v>1813</v>
      </c>
      <c r="E252" s="265" t="s">
        <v>2024</v>
      </c>
    </row>
    <row r="253" spans="1:5" ht="16.5" x14ac:dyDescent="0.25">
      <c r="A253" s="71" t="str">
        <f t="shared" si="5"/>
        <v>en m</v>
      </c>
      <c r="C253" s="21" t="s">
        <v>1761</v>
      </c>
      <c r="D253" s="81" t="s">
        <v>1814</v>
      </c>
      <c r="E253" s="265" t="s">
        <v>1814</v>
      </c>
    </row>
    <row r="254" spans="1:5" ht="16.5" x14ac:dyDescent="0.25">
      <c r="A254" s="71" t="str">
        <f t="shared" si="5"/>
        <v>Produit: prescription maximale tolérée</v>
      </c>
      <c r="C254" s="21" t="s">
        <v>1772</v>
      </c>
      <c r="D254" s="81" t="s">
        <v>1815</v>
      </c>
      <c r="E254" s="265" t="s">
        <v>2025</v>
      </c>
    </row>
    <row r="255" spans="1:5" x14ac:dyDescent="0.25">
      <c r="A255" s="71" t="str">
        <f t="shared" si="5"/>
        <v>o/n, max 1 pt ds groupe</v>
      </c>
      <c r="C255" s="21" t="s">
        <v>1784</v>
      </c>
      <c r="D255" s="81" t="s">
        <v>1816</v>
      </c>
      <c r="E255" s="21" t="s">
        <v>2026</v>
      </c>
    </row>
    <row r="256" spans="1:5" x14ac:dyDescent="0.25">
      <c r="A256" s="71">
        <f t="shared" si="5"/>
        <v>0</v>
      </c>
    </row>
    <row r="257" spans="1:1" x14ac:dyDescent="0.25">
      <c r="A257" s="71">
        <f t="shared" si="5"/>
        <v>0</v>
      </c>
    </row>
    <row r="258" spans="1:1" x14ac:dyDescent="0.25">
      <c r="A258" s="71">
        <f t="shared" si="5"/>
        <v>0</v>
      </c>
    </row>
    <row r="259" spans="1:1" x14ac:dyDescent="0.25">
      <c r="A259" s="71">
        <f t="shared" si="5"/>
        <v>0</v>
      </c>
    </row>
    <row r="260" spans="1:1" x14ac:dyDescent="0.25">
      <c r="A260" s="71">
        <f t="shared" si="5"/>
        <v>0</v>
      </c>
    </row>
    <row r="261" spans="1:1" x14ac:dyDescent="0.25">
      <c r="A261" s="71">
        <f t="shared" si="5"/>
        <v>0</v>
      </c>
    </row>
    <row r="262" spans="1:1" x14ac:dyDescent="0.25">
      <c r="A262" s="71">
        <f t="shared" si="5"/>
        <v>0</v>
      </c>
    </row>
    <row r="263" spans="1:1" x14ac:dyDescent="0.25">
      <c r="A263" s="71">
        <f t="shared" si="5"/>
        <v>0</v>
      </c>
    </row>
    <row r="264" spans="1:1" x14ac:dyDescent="0.25">
      <c r="A264" s="71">
        <f t="shared" si="5"/>
        <v>0</v>
      </c>
    </row>
    <row r="265" spans="1:1" x14ac:dyDescent="0.25">
      <c r="A265" s="71">
        <f t="shared" si="5"/>
        <v>0</v>
      </c>
    </row>
    <row r="266" spans="1:1" x14ac:dyDescent="0.25">
      <c r="A266" s="71">
        <f t="shared" si="5"/>
        <v>0</v>
      </c>
    </row>
    <row r="267" spans="1:1" x14ac:dyDescent="0.25">
      <c r="A267" s="71">
        <f t="shared" si="5"/>
        <v>0</v>
      </c>
    </row>
    <row r="268" spans="1:1" x14ac:dyDescent="0.25">
      <c r="A268" s="71">
        <f t="shared" si="5"/>
        <v>0</v>
      </c>
    </row>
    <row r="269" spans="1:1" x14ac:dyDescent="0.25">
      <c r="A269" s="71">
        <f t="shared" si="5"/>
        <v>0</v>
      </c>
    </row>
    <row r="270" spans="1:1" x14ac:dyDescent="0.25">
      <c r="A270" s="71">
        <f t="shared" si="5"/>
        <v>0</v>
      </c>
    </row>
    <row r="271" spans="1:1" x14ac:dyDescent="0.25">
      <c r="A271" s="71">
        <f t="shared" si="5"/>
        <v>0</v>
      </c>
    </row>
  </sheetData>
  <autoFilter ref="A1:K271" xr:uid="{00000000-0001-0000-0800-000000000000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Z532"/>
  <sheetViews>
    <sheetView zoomScale="90" zoomScaleNormal="90" workbookViewId="0">
      <pane xSplit="5" ySplit="4" topLeftCell="F350" activePane="bottomRight" state="frozen"/>
      <selection pane="topRight" activeCell="F1" sqref="F1"/>
      <selection pane="bottomLeft" activeCell="A5" sqref="A5"/>
      <selection pane="bottomRight" activeCell="C379" sqref="C379"/>
    </sheetView>
  </sheetViews>
  <sheetFormatPr baseColWidth="10" defaultColWidth="11.42578125" defaultRowHeight="14.25" x14ac:dyDescent="0.2"/>
  <cols>
    <col min="1" max="1" width="3.42578125" style="1" customWidth="1"/>
    <col min="2" max="2" width="26.7109375" style="1" customWidth="1"/>
    <col min="3" max="3" width="20.7109375" style="1" customWidth="1"/>
    <col min="4" max="4" width="6.85546875" style="3" customWidth="1"/>
    <col min="5" max="5" width="10.7109375" style="3" customWidth="1"/>
    <col min="6" max="8" width="8.42578125" style="3" customWidth="1"/>
    <col min="9" max="9" width="8" style="3" customWidth="1"/>
    <col min="10" max="11" width="11.42578125" style="3" customWidth="1"/>
    <col min="12" max="12" width="9.5703125" style="3" customWidth="1"/>
    <col min="13" max="14" width="5.85546875" style="3" customWidth="1"/>
    <col min="15" max="15" width="4.7109375" style="3" customWidth="1"/>
    <col min="16" max="16" width="24.140625" style="3" customWidth="1"/>
    <col min="17" max="17" width="6.5703125" style="3" customWidth="1"/>
    <col min="18" max="19" width="8.7109375" style="3" customWidth="1"/>
    <col min="20" max="20" width="9.5703125" style="3" customWidth="1"/>
    <col min="21" max="22" width="9.140625" style="3" customWidth="1"/>
    <col min="23" max="23" width="4.42578125" style="3" customWidth="1"/>
    <col min="24" max="24" width="4.85546875" style="3" customWidth="1"/>
    <col min="25" max="26" width="4.42578125" style="3" customWidth="1"/>
    <col min="27" max="27" width="9.42578125" style="3" customWidth="1"/>
    <col min="28" max="28" width="11.42578125" style="3" customWidth="1"/>
    <col min="29" max="29" width="6.28515625" style="3" customWidth="1"/>
    <col min="30" max="30" width="6.85546875" style="3" customWidth="1"/>
    <col min="31" max="31" width="8" style="3" customWidth="1"/>
    <col min="32" max="32" width="11.42578125" style="3" customWidth="1"/>
    <col min="33" max="33" width="6.42578125" style="3" customWidth="1"/>
    <col min="34" max="34" width="7.42578125" style="3" bestFit="1" customWidth="1"/>
    <col min="35" max="35" width="11.28515625" style="3" bestFit="1" customWidth="1"/>
    <col min="36" max="36" width="8.28515625" style="3" bestFit="1" customWidth="1"/>
    <col min="37" max="37" width="9" style="3" customWidth="1"/>
    <col min="38" max="38" width="7" style="3" customWidth="1"/>
    <col min="39" max="39" width="12.28515625" style="1" customWidth="1"/>
    <col min="40" max="40" width="11.42578125" style="1" customWidth="1"/>
    <col min="41" max="41" width="19.7109375" style="1" customWidth="1"/>
    <col min="42" max="42" width="14.5703125" style="1" customWidth="1"/>
    <col min="43" max="44" width="11.42578125" style="1" customWidth="1"/>
    <col min="45" max="45" width="8.5703125" style="1" customWidth="1"/>
    <col min="46" max="46" width="7.28515625" style="1" customWidth="1"/>
    <col min="47" max="47" width="7" style="1" customWidth="1"/>
    <col min="48" max="48" width="7.140625" style="1" customWidth="1"/>
    <col min="49" max="50" width="11.42578125" style="1"/>
    <col min="51" max="51" width="8.42578125" style="95" customWidth="1"/>
    <col min="52" max="52" width="8.28515625" style="1" customWidth="1"/>
    <col min="53" max="16384" width="11.42578125" style="1"/>
  </cols>
  <sheetData>
    <row r="1" spans="1:52" x14ac:dyDescent="0.2">
      <c r="B1" s="1">
        <v>1</v>
      </c>
      <c r="C1" s="1">
        <f>+B1+1</f>
        <v>2</v>
      </c>
      <c r="D1" s="1">
        <f>+C1+1</f>
        <v>3</v>
      </c>
      <c r="E1" s="1">
        <f t="shared" ref="E1:AZ1" si="0">+D1+1</f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t="shared" si="0"/>
        <v>34</v>
      </c>
      <c r="AJ1" s="1">
        <f t="shared" si="0"/>
        <v>35</v>
      </c>
      <c r="AK1" s="1">
        <f t="shared" si="0"/>
        <v>36</v>
      </c>
      <c r="AL1" s="1">
        <f t="shared" si="0"/>
        <v>37</v>
      </c>
      <c r="AM1" s="1">
        <f t="shared" si="0"/>
        <v>38</v>
      </c>
      <c r="AN1" s="1">
        <f t="shared" si="0"/>
        <v>39</v>
      </c>
      <c r="AO1" s="1">
        <f t="shared" si="0"/>
        <v>40</v>
      </c>
      <c r="AP1" s="1">
        <f t="shared" si="0"/>
        <v>41</v>
      </c>
      <c r="AQ1" s="1">
        <f t="shared" si="0"/>
        <v>42</v>
      </c>
      <c r="AR1" s="1">
        <f t="shared" si="0"/>
        <v>43</v>
      </c>
      <c r="AS1" s="1">
        <f t="shared" si="0"/>
        <v>44</v>
      </c>
      <c r="AT1" s="1">
        <f t="shared" si="0"/>
        <v>45</v>
      </c>
      <c r="AU1" s="1">
        <f t="shared" si="0"/>
        <v>46</v>
      </c>
      <c r="AV1" s="1">
        <f t="shared" si="0"/>
        <v>47</v>
      </c>
      <c r="AW1" s="1">
        <f t="shared" si="0"/>
        <v>48</v>
      </c>
      <c r="AX1" s="1">
        <f t="shared" si="0"/>
        <v>49</v>
      </c>
      <c r="AY1" s="1">
        <f t="shared" si="0"/>
        <v>50</v>
      </c>
      <c r="AZ1" s="1">
        <f t="shared" si="0"/>
        <v>51</v>
      </c>
    </row>
    <row r="2" spans="1:52" x14ac:dyDescent="0.2">
      <c r="B2" s="1" t="str">
        <f>+Produit!C4</f>
        <v>Agiliti</v>
      </c>
      <c r="C2" s="3" t="str">
        <f t="shared" ref="C2:AV2" si="1">VLOOKUP($B2,$B$5:$AV$512,C1,FALSE)</f>
        <v>W-7189-1</v>
      </c>
      <c r="D2" s="3" t="str">
        <f t="shared" si="1"/>
        <v>H</v>
      </c>
      <c r="E2" s="3" t="str">
        <f t="shared" si="1"/>
        <v>Om</v>
      </c>
      <c r="F2" s="3">
        <f t="shared" si="1"/>
        <v>2</v>
      </c>
      <c r="G2" s="3">
        <f t="shared" si="1"/>
        <v>2</v>
      </c>
      <c r="H2" s="3">
        <f t="shared" si="1"/>
        <v>0</v>
      </c>
      <c r="I2" s="3">
        <f t="shared" si="1"/>
        <v>0</v>
      </c>
      <c r="J2" s="3">
        <f t="shared" si="1"/>
        <v>3</v>
      </c>
      <c r="K2" s="3">
        <f t="shared" si="1"/>
        <v>0</v>
      </c>
      <c r="L2" s="3">
        <f t="shared" si="1"/>
        <v>0</v>
      </c>
      <c r="M2" s="3">
        <f t="shared" si="1"/>
        <v>0</v>
      </c>
      <c r="N2" s="3">
        <f t="shared" si="1"/>
        <v>0</v>
      </c>
      <c r="O2" s="3">
        <f t="shared" si="1"/>
        <v>0</v>
      </c>
      <c r="P2" s="3">
        <f t="shared" si="1"/>
        <v>0</v>
      </c>
      <c r="Q2" s="3">
        <f t="shared" si="1"/>
        <v>0</v>
      </c>
      <c r="R2" s="3">
        <f t="shared" si="1"/>
        <v>1.4387627117714321</v>
      </c>
      <c r="S2" s="3">
        <f t="shared" si="1"/>
        <v>320.58907776193519</v>
      </c>
      <c r="T2" s="3" t="str">
        <f t="shared" si="1"/>
        <v>!</v>
      </c>
      <c r="U2" s="3">
        <f t="shared" si="1"/>
        <v>0</v>
      </c>
      <c r="V2" s="3">
        <f t="shared" si="1"/>
        <v>0</v>
      </c>
      <c r="W2" s="3" t="str">
        <f t="shared" si="1"/>
        <v>!</v>
      </c>
      <c r="X2" s="3">
        <f t="shared" si="1"/>
        <v>0</v>
      </c>
      <c r="Y2" s="3">
        <f t="shared" si="1"/>
        <v>0</v>
      </c>
      <c r="Z2" s="3">
        <f t="shared" si="1"/>
        <v>0</v>
      </c>
      <c r="AA2" s="3">
        <f t="shared" si="1"/>
        <v>1</v>
      </c>
      <c r="AB2" s="3">
        <f t="shared" si="1"/>
        <v>0</v>
      </c>
      <c r="AC2" s="3">
        <f t="shared" si="1"/>
        <v>0</v>
      </c>
      <c r="AD2" s="3">
        <f t="shared" si="1"/>
        <v>0</v>
      </c>
      <c r="AE2" s="3">
        <f t="shared" si="1"/>
        <v>0</v>
      </c>
      <c r="AF2" s="3">
        <f t="shared" si="1"/>
        <v>0</v>
      </c>
      <c r="AG2" s="3">
        <f t="shared" si="1"/>
        <v>0</v>
      </c>
      <c r="AH2" s="3">
        <f t="shared" si="1"/>
        <v>0</v>
      </c>
      <c r="AI2" s="3">
        <f t="shared" si="1"/>
        <v>0</v>
      </c>
      <c r="AJ2" s="3">
        <f t="shared" si="1"/>
        <v>0</v>
      </c>
      <c r="AK2" s="3">
        <f t="shared" si="1"/>
        <v>0</v>
      </c>
      <c r="AL2" s="3">
        <f t="shared" si="1"/>
        <v>0</v>
      </c>
      <c r="AM2" s="3">
        <f t="shared" si="1"/>
        <v>45232</v>
      </c>
      <c r="AN2" s="3">
        <f t="shared" si="1"/>
        <v>0</v>
      </c>
      <c r="AO2" s="3" t="str">
        <f t="shared" si="1"/>
        <v>propoxycarbazone-Sodium</v>
      </c>
      <c r="AP2" s="3" t="str">
        <f t="shared" si="1"/>
        <v>mesosulfuron-methyl</v>
      </c>
      <c r="AQ2" s="3" t="str">
        <f t="shared" si="1"/>
        <v>mefenpyr-diethyl</v>
      </c>
      <c r="AR2" s="3">
        <f t="shared" si="1"/>
        <v>0</v>
      </c>
      <c r="AS2" s="3">
        <f t="shared" si="1"/>
        <v>67.5</v>
      </c>
      <c r="AT2" s="3">
        <f t="shared" si="1"/>
        <v>45</v>
      </c>
      <c r="AU2" s="3">
        <f t="shared" si="1"/>
        <v>90</v>
      </c>
      <c r="AV2" s="3">
        <f t="shared" si="1"/>
        <v>0</v>
      </c>
      <c r="AW2" s="3">
        <f t="shared" ref="AW2:AZ2" si="2">VLOOKUP($B2,$B$5:$BH$504,AW1,FALSE)</f>
        <v>0</v>
      </c>
      <c r="AX2" s="3">
        <f t="shared" si="2"/>
        <v>1</v>
      </c>
      <c r="AY2" s="3">
        <f t="shared" si="2"/>
        <v>1</v>
      </c>
      <c r="AZ2" s="3">
        <f t="shared" si="2"/>
        <v>0.3</v>
      </c>
    </row>
    <row r="3" spans="1:52" customFormat="1" ht="15" x14ac:dyDescent="0.25">
      <c r="D3" s="10"/>
      <c r="F3" s="342" t="s">
        <v>380</v>
      </c>
      <c r="G3" s="342"/>
      <c r="H3" s="342"/>
      <c r="I3" s="346" t="s">
        <v>381</v>
      </c>
      <c r="J3" s="347"/>
      <c r="K3" s="348"/>
      <c r="L3" s="170"/>
      <c r="M3" s="346" t="s">
        <v>382</v>
      </c>
      <c r="N3" s="347"/>
      <c r="O3" s="347"/>
      <c r="P3" s="347"/>
      <c r="Q3" s="348"/>
      <c r="R3" s="346" t="s">
        <v>966</v>
      </c>
      <c r="S3" s="347"/>
      <c r="T3" s="347"/>
      <c r="U3" s="347" t="s">
        <v>967</v>
      </c>
      <c r="V3" s="348"/>
      <c r="W3" s="346" t="s">
        <v>383</v>
      </c>
      <c r="X3" s="347"/>
      <c r="Y3" s="347"/>
      <c r="Z3" s="348"/>
      <c r="AA3" s="342" t="s">
        <v>384</v>
      </c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W3" s="163"/>
      <c r="AX3" s="163"/>
      <c r="AY3" s="10"/>
      <c r="AZ3" s="163"/>
    </row>
    <row r="4" spans="1:52" x14ac:dyDescent="0.2">
      <c r="B4" s="4" t="s">
        <v>385</v>
      </c>
      <c r="C4" s="4" t="s">
        <v>1444</v>
      </c>
      <c r="D4" s="11" t="s">
        <v>1</v>
      </c>
      <c r="E4" s="7" t="s">
        <v>386</v>
      </c>
      <c r="F4" s="11" t="s">
        <v>387</v>
      </c>
      <c r="G4" s="11" t="s">
        <v>388</v>
      </c>
      <c r="H4" s="11" t="s">
        <v>10</v>
      </c>
      <c r="I4" s="11" t="s">
        <v>1914</v>
      </c>
      <c r="J4" s="11" t="s">
        <v>1915</v>
      </c>
      <c r="K4" s="11" t="s">
        <v>1916</v>
      </c>
      <c r="L4" s="11" t="s">
        <v>389</v>
      </c>
      <c r="M4" s="11" t="s">
        <v>391</v>
      </c>
      <c r="N4" s="11" t="s">
        <v>957</v>
      </c>
      <c r="O4" s="11" t="s">
        <v>392</v>
      </c>
      <c r="P4" s="11" t="s">
        <v>394</v>
      </c>
      <c r="Q4" s="11" t="s">
        <v>395</v>
      </c>
      <c r="R4" s="11" t="str">
        <f>+Textes!A89</f>
        <v>Org. aquatiques</v>
      </c>
      <c r="S4" s="11" t="str">
        <f>+Textes!A215</f>
        <v>Org. terrestres</v>
      </c>
      <c r="T4" s="11" t="s">
        <v>396</v>
      </c>
      <c r="U4" s="11" t="s">
        <v>968</v>
      </c>
      <c r="V4" s="11" t="s">
        <v>1917</v>
      </c>
      <c r="W4" s="11" t="s">
        <v>919</v>
      </c>
      <c r="X4" s="11" t="s">
        <v>6</v>
      </c>
      <c r="Y4" s="11" t="s">
        <v>118</v>
      </c>
      <c r="Z4" s="11" t="s">
        <v>398</v>
      </c>
      <c r="AA4" s="7" t="s">
        <v>399</v>
      </c>
      <c r="AB4" s="7" t="s">
        <v>400</v>
      </c>
      <c r="AC4" s="11" t="s">
        <v>401</v>
      </c>
      <c r="AD4" s="11" t="s">
        <v>402</v>
      </c>
      <c r="AE4" s="11" t="s">
        <v>403</v>
      </c>
      <c r="AF4" s="7" t="s">
        <v>404</v>
      </c>
      <c r="AG4" s="11" t="s">
        <v>405</v>
      </c>
      <c r="AH4" s="11" t="s">
        <v>1922</v>
      </c>
      <c r="AI4" s="11" t="s">
        <v>1923</v>
      </c>
      <c r="AJ4" s="11" t="s">
        <v>1924</v>
      </c>
      <c r="AK4" s="11" t="s">
        <v>406</v>
      </c>
      <c r="AL4" s="7" t="s">
        <v>407</v>
      </c>
      <c r="AM4" s="4" t="s">
        <v>408</v>
      </c>
      <c r="AN4" s="4" t="s">
        <v>1822</v>
      </c>
      <c r="AO4" s="4" t="s">
        <v>8</v>
      </c>
      <c r="AP4" s="4" t="s">
        <v>9</v>
      </c>
      <c r="AQ4" s="4" t="s">
        <v>10</v>
      </c>
      <c r="AR4" s="4" t="s">
        <v>11</v>
      </c>
      <c r="AS4" s="11" t="s">
        <v>410</v>
      </c>
      <c r="AT4" s="11" t="s">
        <v>411</v>
      </c>
      <c r="AU4" s="11" t="s">
        <v>412</v>
      </c>
      <c r="AV4" s="11" t="s">
        <v>413</v>
      </c>
      <c r="AW4" s="4" t="s">
        <v>1821</v>
      </c>
      <c r="AX4" s="4" t="s">
        <v>965</v>
      </c>
      <c r="AY4" s="7" t="s">
        <v>934</v>
      </c>
      <c r="AZ4" s="4" t="s">
        <v>899</v>
      </c>
    </row>
    <row r="5" spans="1:52" ht="28.5" customHeight="1" x14ac:dyDescent="0.25">
      <c r="B5" s="112" t="s">
        <v>113</v>
      </c>
      <c r="C5" s="6" t="s">
        <v>1656</v>
      </c>
      <c r="D5" s="9" t="s">
        <v>4</v>
      </c>
      <c r="E5" s="9" t="s">
        <v>26</v>
      </c>
      <c r="F5" s="9">
        <v>4</v>
      </c>
      <c r="G5" s="9"/>
      <c r="H5" s="9"/>
      <c r="I5" s="7">
        <v>20</v>
      </c>
      <c r="J5" s="7"/>
      <c r="K5" s="7">
        <v>3</v>
      </c>
      <c r="L5" s="7" t="s">
        <v>14</v>
      </c>
      <c r="M5" s="122"/>
      <c r="N5" s="122"/>
      <c r="O5" s="122"/>
      <c r="P5" s="96"/>
      <c r="Q5" s="7"/>
      <c r="R5" s="93">
        <v>4</v>
      </c>
      <c r="S5" s="93">
        <v>187</v>
      </c>
      <c r="T5" s="122" t="s">
        <v>1518</v>
      </c>
      <c r="U5" s="7"/>
      <c r="V5" s="7"/>
      <c r="W5" s="122" t="s">
        <v>1518</v>
      </c>
      <c r="X5" s="122"/>
      <c r="Y5" s="122" t="s">
        <v>1518</v>
      </c>
      <c r="Z5" s="7" t="s">
        <v>7</v>
      </c>
      <c r="AA5" s="7">
        <v>1</v>
      </c>
      <c r="AB5" s="7"/>
      <c r="AC5" s="7"/>
      <c r="AD5" s="7">
        <v>1</v>
      </c>
      <c r="AE5" s="7"/>
      <c r="AF5" s="7"/>
      <c r="AG5" s="7"/>
      <c r="AH5" s="7"/>
      <c r="AI5" s="7"/>
      <c r="AJ5" s="7"/>
      <c r="AK5" s="7"/>
      <c r="AL5" s="7">
        <v>1</v>
      </c>
      <c r="AM5" s="16">
        <v>44911</v>
      </c>
      <c r="AN5" s="4"/>
      <c r="AO5" s="105" t="s">
        <v>112</v>
      </c>
      <c r="AP5" s="4"/>
      <c r="AQ5" s="4"/>
      <c r="AR5" s="4"/>
      <c r="AS5" s="37">
        <v>500</v>
      </c>
      <c r="AT5" s="11"/>
      <c r="AU5" s="11"/>
      <c r="AV5" s="11"/>
      <c r="AW5" s="4"/>
      <c r="AX5" s="4">
        <f t="shared" ref="AX5:AX67" si="3">SUM(AA5:AL5)</f>
        <v>3</v>
      </c>
      <c r="AY5" s="93">
        <v>1</v>
      </c>
      <c r="AZ5" s="4">
        <v>1.4</v>
      </c>
    </row>
    <row r="6" spans="1:52" ht="14.25" customHeight="1" x14ac:dyDescent="0.25">
      <c r="B6" s="92" t="s">
        <v>12</v>
      </c>
      <c r="C6" s="6" t="s">
        <v>1038</v>
      </c>
      <c r="D6" s="7" t="s">
        <v>3</v>
      </c>
      <c r="E6" s="7" t="s">
        <v>13</v>
      </c>
      <c r="F6" s="9">
        <v>3</v>
      </c>
      <c r="G6" s="9">
        <v>7</v>
      </c>
      <c r="H6" s="9"/>
      <c r="I6" s="7"/>
      <c r="J6" s="7"/>
      <c r="K6" s="7"/>
      <c r="L6" s="7" t="s">
        <v>14</v>
      </c>
      <c r="M6" s="122"/>
      <c r="N6" s="122"/>
      <c r="O6" s="122"/>
      <c r="P6" s="96"/>
      <c r="Q6" s="14">
        <v>0.3</v>
      </c>
      <c r="R6" s="93">
        <v>2</v>
      </c>
      <c r="S6" s="93">
        <v>5</v>
      </c>
      <c r="T6" s="122" t="s">
        <v>1518</v>
      </c>
      <c r="U6" s="7"/>
      <c r="V6" s="7"/>
      <c r="W6" s="122" t="s">
        <v>1518</v>
      </c>
      <c r="X6" s="122" t="s">
        <v>1518</v>
      </c>
      <c r="Y6" s="122"/>
      <c r="Z6" s="7"/>
      <c r="AA6" s="7">
        <v>1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6">
        <v>45262</v>
      </c>
      <c r="AN6" s="4"/>
      <c r="AO6" s="4" t="s">
        <v>15</v>
      </c>
      <c r="AP6" s="4" t="s">
        <v>16</v>
      </c>
      <c r="AQ6" s="4"/>
      <c r="AR6" s="4"/>
      <c r="AS6" s="11">
        <v>150</v>
      </c>
      <c r="AT6" s="11">
        <v>75</v>
      </c>
      <c r="AU6" s="11"/>
      <c r="AV6" s="11"/>
      <c r="AW6" s="4"/>
      <c r="AX6" s="4">
        <f t="shared" si="3"/>
        <v>1</v>
      </c>
      <c r="AY6" s="93" t="s">
        <v>935</v>
      </c>
      <c r="AZ6" s="4">
        <v>1.25</v>
      </c>
    </row>
    <row r="7" spans="1:52" ht="14.25" customHeight="1" x14ac:dyDescent="0.25">
      <c r="B7" s="113" t="s">
        <v>1039</v>
      </c>
      <c r="C7" s="6" t="s">
        <v>1040</v>
      </c>
      <c r="D7" s="7" t="s">
        <v>118</v>
      </c>
      <c r="E7" s="9" t="s">
        <v>26</v>
      </c>
      <c r="F7" s="9"/>
      <c r="G7" s="9"/>
      <c r="H7" s="9"/>
      <c r="I7" s="7"/>
      <c r="J7" s="7"/>
      <c r="K7" s="7"/>
      <c r="L7" s="7"/>
      <c r="M7" s="122"/>
      <c r="N7" s="122"/>
      <c r="O7" s="122"/>
      <c r="P7" s="96"/>
      <c r="Q7" s="7"/>
      <c r="R7" s="93">
        <v>0.40596397998417622</v>
      </c>
      <c r="S7" s="93">
        <v>0.3537417138542851</v>
      </c>
      <c r="T7" s="122"/>
      <c r="U7" s="7"/>
      <c r="V7" s="7"/>
      <c r="W7" s="122"/>
      <c r="X7" s="122"/>
      <c r="Y7" s="122"/>
      <c r="Z7" s="7"/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16">
        <v>44169</v>
      </c>
      <c r="AN7" s="4"/>
      <c r="AO7" s="6" t="s">
        <v>332</v>
      </c>
      <c r="AP7" s="6"/>
      <c r="AQ7" s="4"/>
      <c r="AR7" s="4"/>
      <c r="AS7" s="38">
        <v>842</v>
      </c>
      <c r="AT7" s="38"/>
      <c r="AU7" s="11"/>
      <c r="AV7" s="11"/>
      <c r="AW7" s="4"/>
      <c r="AX7" s="4">
        <f t="shared" si="3"/>
        <v>12</v>
      </c>
      <c r="AY7" s="93"/>
      <c r="AZ7" s="4">
        <v>2</v>
      </c>
    </row>
    <row r="8" spans="1:52" ht="14.25" customHeight="1" x14ac:dyDescent="0.25">
      <c r="B8" s="114" t="s">
        <v>114</v>
      </c>
      <c r="C8" s="6" t="s">
        <v>1041</v>
      </c>
      <c r="D8" s="8" t="s">
        <v>4</v>
      </c>
      <c r="E8" s="8" t="s">
        <v>21</v>
      </c>
      <c r="F8" s="9">
        <v>2</v>
      </c>
      <c r="G8" s="9">
        <v>27</v>
      </c>
      <c r="H8" s="9"/>
      <c r="I8" s="7"/>
      <c r="J8" s="7">
        <v>3</v>
      </c>
      <c r="K8" s="7"/>
      <c r="L8" s="7" t="s">
        <v>14</v>
      </c>
      <c r="M8" s="122" t="s">
        <v>1518</v>
      </c>
      <c r="N8" s="122" t="s">
        <v>1518</v>
      </c>
      <c r="O8" s="122"/>
      <c r="P8" s="96" t="s">
        <v>1607</v>
      </c>
      <c r="Q8" s="7"/>
      <c r="R8" s="93">
        <v>3.5475568060729201</v>
      </c>
      <c r="S8" s="93">
        <v>160.01756157635441</v>
      </c>
      <c r="T8" s="122" t="s">
        <v>1518</v>
      </c>
      <c r="U8" s="7"/>
      <c r="V8" s="7"/>
      <c r="W8" s="122"/>
      <c r="X8" s="122"/>
      <c r="Y8" s="122"/>
      <c r="Z8" s="7"/>
      <c r="AA8" s="7"/>
      <c r="AB8" s="7"/>
      <c r="AC8" s="7"/>
      <c r="AD8" s="7">
        <v>1</v>
      </c>
      <c r="AE8" s="7"/>
      <c r="AF8" s="7"/>
      <c r="AG8" s="7"/>
      <c r="AH8" s="7"/>
      <c r="AI8" s="7"/>
      <c r="AJ8" s="7"/>
      <c r="AK8" s="7"/>
      <c r="AL8" s="7"/>
      <c r="AM8" s="16">
        <v>44540</v>
      </c>
      <c r="AN8" s="4"/>
      <c r="AO8" s="4" t="s">
        <v>116</v>
      </c>
      <c r="AP8" s="4" t="s">
        <v>115</v>
      </c>
      <c r="AQ8" s="4" t="s">
        <v>1005</v>
      </c>
      <c r="AR8" s="4"/>
      <c r="AS8" s="11">
        <v>90</v>
      </c>
      <c r="AT8" s="11">
        <v>225</v>
      </c>
      <c r="AU8" s="11">
        <v>150</v>
      </c>
      <c r="AV8" s="11"/>
      <c r="AW8" s="4"/>
      <c r="AX8" s="4">
        <f t="shared" si="3"/>
        <v>1</v>
      </c>
      <c r="AY8" s="93">
        <v>1</v>
      </c>
      <c r="AZ8" s="4">
        <v>0.27</v>
      </c>
    </row>
    <row r="9" spans="1:52" ht="14.25" customHeight="1" x14ac:dyDescent="0.25">
      <c r="B9" s="114" t="s">
        <v>1856</v>
      </c>
      <c r="C9" s="6" t="s">
        <v>1857</v>
      </c>
      <c r="D9" s="8" t="s">
        <v>4</v>
      </c>
      <c r="E9" s="8" t="s">
        <v>17</v>
      </c>
      <c r="F9" s="9">
        <v>2</v>
      </c>
      <c r="G9" s="9">
        <v>27</v>
      </c>
      <c r="H9" s="9"/>
      <c r="I9" s="7"/>
      <c r="J9" s="7">
        <v>3</v>
      </c>
      <c r="K9" s="7"/>
      <c r="L9" s="7" t="s">
        <v>14</v>
      </c>
      <c r="M9" s="122" t="s">
        <v>1518</v>
      </c>
      <c r="N9" s="122" t="s">
        <v>1518</v>
      </c>
      <c r="O9" s="122"/>
      <c r="P9" s="96" t="s">
        <v>1607</v>
      </c>
      <c r="Q9" s="7"/>
      <c r="R9" s="93">
        <v>3.5475568060729201</v>
      </c>
      <c r="S9" s="93">
        <v>160.01756157635441</v>
      </c>
      <c r="T9" s="122" t="s">
        <v>1518</v>
      </c>
      <c r="U9" s="7"/>
      <c r="V9" s="7"/>
      <c r="W9" s="122"/>
      <c r="X9" s="122"/>
      <c r="Y9" s="122"/>
      <c r="Z9" s="7"/>
      <c r="AA9" s="7"/>
      <c r="AB9" s="7"/>
      <c r="AC9" s="7"/>
      <c r="AD9" s="7">
        <v>1</v>
      </c>
      <c r="AE9" s="7"/>
      <c r="AF9" s="7"/>
      <c r="AG9" s="7"/>
      <c r="AH9" s="7"/>
      <c r="AI9" s="7"/>
      <c r="AJ9" s="7"/>
      <c r="AK9" s="7"/>
      <c r="AL9" s="7"/>
      <c r="AM9" s="16">
        <v>44911</v>
      </c>
      <c r="AN9" s="4"/>
      <c r="AO9" s="4" t="s">
        <v>116</v>
      </c>
      <c r="AP9" s="4" t="s">
        <v>115</v>
      </c>
      <c r="AQ9" s="4" t="s">
        <v>1005</v>
      </c>
      <c r="AR9" s="4"/>
      <c r="AS9" s="11">
        <v>90</v>
      </c>
      <c r="AT9" s="11">
        <v>225</v>
      </c>
      <c r="AU9" s="11">
        <v>150</v>
      </c>
      <c r="AV9" s="11"/>
      <c r="AW9" s="4"/>
      <c r="AX9" s="4">
        <f t="shared" si="3"/>
        <v>1</v>
      </c>
      <c r="AY9" s="93">
        <v>1</v>
      </c>
      <c r="AZ9" s="4">
        <v>0.27</v>
      </c>
    </row>
    <row r="10" spans="1:52" ht="14.25" customHeight="1" x14ac:dyDescent="0.25">
      <c r="B10" s="113" t="s">
        <v>1657</v>
      </c>
      <c r="C10" s="6" t="s">
        <v>1254</v>
      </c>
      <c r="D10" s="7" t="s">
        <v>3</v>
      </c>
      <c r="E10" s="7" t="s">
        <v>19</v>
      </c>
      <c r="F10" s="9">
        <v>3</v>
      </c>
      <c r="G10" s="9">
        <v>7</v>
      </c>
      <c r="H10" s="9"/>
      <c r="I10" s="7">
        <v>6</v>
      </c>
      <c r="J10" s="7"/>
      <c r="K10" s="7"/>
      <c r="L10" s="7" t="s">
        <v>14</v>
      </c>
      <c r="M10" s="122"/>
      <c r="N10" s="122"/>
      <c r="O10" s="122"/>
      <c r="P10" s="96"/>
      <c r="Q10" s="14">
        <v>0.5</v>
      </c>
      <c r="R10" s="93">
        <v>3.3456874878545255</v>
      </c>
      <c r="S10" s="93">
        <v>7.3359149029982298</v>
      </c>
      <c r="T10" s="122" t="s">
        <v>1518</v>
      </c>
      <c r="U10" s="7"/>
      <c r="V10" s="7"/>
      <c r="W10" s="122" t="s">
        <v>1518</v>
      </c>
      <c r="X10" s="122"/>
      <c r="Y10" s="122" t="s">
        <v>1518</v>
      </c>
      <c r="Z10" s="7"/>
      <c r="AA10" s="7">
        <v>1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6">
        <v>45262</v>
      </c>
      <c r="AN10" s="16"/>
      <c r="AO10" s="6" t="s">
        <v>1021</v>
      </c>
      <c r="AP10" s="6" t="s">
        <v>1004</v>
      </c>
      <c r="AQ10" s="4"/>
      <c r="AR10" s="4"/>
      <c r="AS10" s="11">
        <v>45</v>
      </c>
      <c r="AT10" s="11">
        <v>62.5</v>
      </c>
      <c r="AU10" s="11"/>
      <c r="AV10" s="11"/>
      <c r="AW10" s="4"/>
      <c r="AX10" s="4">
        <f t="shared" si="3"/>
        <v>1</v>
      </c>
      <c r="AY10" s="93" t="s">
        <v>935</v>
      </c>
      <c r="AZ10" s="4">
        <v>2</v>
      </c>
    </row>
    <row r="11" spans="1:52" ht="14.25" customHeight="1" x14ac:dyDescent="0.25">
      <c r="B11" s="112" t="s">
        <v>1951</v>
      </c>
      <c r="C11" s="6" t="s">
        <v>1953</v>
      </c>
      <c r="D11" s="8" t="s">
        <v>4</v>
      </c>
      <c r="E11" s="8" t="s">
        <v>26</v>
      </c>
      <c r="F11" s="9">
        <v>12</v>
      </c>
      <c r="G11" s="9">
        <v>15</v>
      </c>
      <c r="H11" s="9"/>
      <c r="I11" s="7">
        <v>6</v>
      </c>
      <c r="J11" s="7"/>
      <c r="K11" s="7"/>
      <c r="L11" s="7" t="s">
        <v>14</v>
      </c>
      <c r="M11" s="122"/>
      <c r="N11" s="122"/>
      <c r="O11" s="122"/>
      <c r="P11" s="96"/>
      <c r="Q11" s="14">
        <v>0.3</v>
      </c>
      <c r="R11" s="93">
        <v>16.552595829761422</v>
      </c>
      <c r="S11" s="93">
        <v>218.6711904761903</v>
      </c>
      <c r="T11" s="122" t="s">
        <v>1518</v>
      </c>
      <c r="U11" s="7"/>
      <c r="V11" s="7"/>
      <c r="W11" s="122"/>
      <c r="X11" s="122"/>
      <c r="Y11" s="122" t="s">
        <v>1518</v>
      </c>
      <c r="Z11" s="7"/>
      <c r="AA11" s="7">
        <v>1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6">
        <v>45262</v>
      </c>
      <c r="AN11" s="4"/>
      <c r="AO11" s="6" t="s">
        <v>999</v>
      </c>
      <c r="AP11" s="4" t="s">
        <v>143</v>
      </c>
      <c r="AQ11" s="4"/>
      <c r="AR11" s="4"/>
      <c r="AS11" s="53">
        <v>200</v>
      </c>
      <c r="AT11" s="53">
        <v>400</v>
      </c>
      <c r="AU11" s="11"/>
      <c r="AV11" s="11"/>
      <c r="AW11" s="4"/>
      <c r="AX11" s="4">
        <f t="shared" si="3"/>
        <v>1</v>
      </c>
      <c r="AY11" s="93"/>
      <c r="AZ11" s="4">
        <v>0.4</v>
      </c>
    </row>
    <row r="12" spans="1:52" ht="14.25" customHeight="1" x14ac:dyDescent="0.25">
      <c r="B12" s="112" t="s">
        <v>1952</v>
      </c>
      <c r="C12" s="6" t="s">
        <v>1953</v>
      </c>
      <c r="D12" s="8" t="s">
        <v>4</v>
      </c>
      <c r="E12" s="8" t="s">
        <v>26</v>
      </c>
      <c r="F12" s="9">
        <v>12</v>
      </c>
      <c r="G12" s="9">
        <v>15</v>
      </c>
      <c r="H12" s="9"/>
      <c r="I12" s="7">
        <v>6</v>
      </c>
      <c r="J12" s="7"/>
      <c r="K12" s="7"/>
      <c r="L12" s="7" t="s">
        <v>120</v>
      </c>
      <c r="M12" s="122"/>
      <c r="N12" s="122"/>
      <c r="O12" s="122"/>
      <c r="P12" s="96"/>
      <c r="Q12" s="14">
        <v>0.3</v>
      </c>
      <c r="R12" s="93">
        <v>24.82889374464213</v>
      </c>
      <c r="S12" s="93">
        <v>328.00678571428546</v>
      </c>
      <c r="T12" s="122" t="s">
        <v>1518</v>
      </c>
      <c r="U12" s="7"/>
      <c r="V12" s="7"/>
      <c r="W12" s="122"/>
      <c r="X12" s="122"/>
      <c r="Y12" s="122" t="s">
        <v>1518</v>
      </c>
      <c r="Z12" s="7"/>
      <c r="AA12" s="7">
        <v>1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6">
        <v>45262</v>
      </c>
      <c r="AN12" s="4"/>
      <c r="AO12" s="6" t="s">
        <v>999</v>
      </c>
      <c r="AP12" s="4" t="s">
        <v>143</v>
      </c>
      <c r="AQ12" s="4"/>
      <c r="AR12" s="4"/>
      <c r="AS12" s="53">
        <v>200</v>
      </c>
      <c r="AT12" s="53">
        <v>400</v>
      </c>
      <c r="AU12" s="11"/>
      <c r="AV12" s="11"/>
      <c r="AW12" s="4"/>
      <c r="AX12" s="4">
        <f t="shared" si="3"/>
        <v>1</v>
      </c>
      <c r="AY12" s="93"/>
      <c r="AZ12" s="4">
        <v>0.6</v>
      </c>
    </row>
    <row r="13" spans="1:52" ht="14.25" customHeight="1" x14ac:dyDescent="0.25">
      <c r="B13" s="113" t="s">
        <v>312</v>
      </c>
      <c r="C13" s="6" t="s">
        <v>1042</v>
      </c>
      <c r="D13" s="8" t="s">
        <v>5</v>
      </c>
      <c r="E13" s="8" t="s">
        <v>29</v>
      </c>
      <c r="F13" s="9">
        <v>6</v>
      </c>
      <c r="G13" s="9"/>
      <c r="H13" s="9"/>
      <c r="I13" s="7">
        <v>6</v>
      </c>
      <c r="J13" s="7">
        <v>20</v>
      </c>
      <c r="K13" s="7"/>
      <c r="L13" s="7" t="s">
        <v>14</v>
      </c>
      <c r="M13" s="122"/>
      <c r="N13" s="122"/>
      <c r="O13" s="122"/>
      <c r="P13" s="96"/>
      <c r="Q13" s="14">
        <v>0.3</v>
      </c>
      <c r="R13" s="93">
        <v>1936.3315145548024</v>
      </c>
      <c r="S13" s="93">
        <v>29698.174157303321</v>
      </c>
      <c r="T13" s="122" t="s">
        <v>1518</v>
      </c>
      <c r="U13" s="7">
        <v>1</v>
      </c>
      <c r="V13" s="7"/>
      <c r="W13" s="122"/>
      <c r="X13" s="122"/>
      <c r="Y13" s="122"/>
      <c r="Z13" s="7"/>
      <c r="AA13" s="7"/>
      <c r="AB13" s="7"/>
      <c r="AC13" s="7"/>
      <c r="AD13" s="7"/>
      <c r="AE13" s="7"/>
      <c r="AF13" s="7"/>
      <c r="AG13" s="7">
        <v>3</v>
      </c>
      <c r="AH13" s="7"/>
      <c r="AI13" s="7"/>
      <c r="AJ13" s="7"/>
      <c r="AK13" s="7"/>
      <c r="AL13" s="7"/>
      <c r="AM13" s="16">
        <v>44169</v>
      </c>
      <c r="AN13" s="4"/>
      <c r="AO13" s="6" t="s">
        <v>1002</v>
      </c>
      <c r="AP13" s="4"/>
      <c r="AQ13" s="4"/>
      <c r="AR13" s="4"/>
      <c r="AS13" s="11">
        <v>950</v>
      </c>
      <c r="AT13" s="11"/>
      <c r="AU13" s="11"/>
      <c r="AV13" s="11"/>
      <c r="AW13" s="4"/>
      <c r="AX13" s="4">
        <f t="shared" si="3"/>
        <v>3</v>
      </c>
      <c r="AY13" s="93">
        <v>2</v>
      </c>
      <c r="AZ13" s="4">
        <v>1.5</v>
      </c>
    </row>
    <row r="14" spans="1:52" ht="14.25" customHeight="1" x14ac:dyDescent="0.25">
      <c r="B14" s="114" t="s">
        <v>117</v>
      </c>
      <c r="C14" s="6" t="s">
        <v>1043</v>
      </c>
      <c r="D14" s="8" t="s">
        <v>4</v>
      </c>
      <c r="E14" s="8" t="s">
        <v>13</v>
      </c>
      <c r="F14" s="9">
        <v>1</v>
      </c>
      <c r="G14" s="9"/>
      <c r="H14" s="9"/>
      <c r="I14" s="7"/>
      <c r="J14" s="7"/>
      <c r="K14" s="7"/>
      <c r="L14" s="7"/>
      <c r="M14" s="122"/>
      <c r="N14" s="122"/>
      <c r="O14" s="122"/>
      <c r="P14" s="96"/>
      <c r="Q14" s="7"/>
      <c r="R14" s="93">
        <v>0.33114035087719268</v>
      </c>
      <c r="S14" s="93">
        <v>6.777999999999988</v>
      </c>
      <c r="T14" s="122" t="s">
        <v>1518</v>
      </c>
      <c r="U14" s="7"/>
      <c r="V14" s="7"/>
      <c r="W14" s="122" t="s">
        <v>1518</v>
      </c>
      <c r="X14" s="122"/>
      <c r="Y14" s="122"/>
      <c r="Z14" s="7"/>
      <c r="AA14" s="7"/>
      <c r="AB14" s="7">
        <v>1</v>
      </c>
      <c r="AC14" s="7">
        <v>1</v>
      </c>
      <c r="AD14" s="7"/>
      <c r="AE14" s="7">
        <v>1</v>
      </c>
      <c r="AF14" s="7"/>
      <c r="AG14" s="7">
        <v>1</v>
      </c>
      <c r="AH14" s="7">
        <v>1</v>
      </c>
      <c r="AI14" s="7">
        <v>1</v>
      </c>
      <c r="AJ14" s="7"/>
      <c r="AK14" s="7"/>
      <c r="AL14" s="7"/>
      <c r="AM14" s="16">
        <v>44169</v>
      </c>
      <c r="AN14" s="4"/>
      <c r="AO14" s="4" t="s">
        <v>665</v>
      </c>
      <c r="AP14" s="4"/>
      <c r="AQ14" s="4"/>
      <c r="AR14" s="4"/>
      <c r="AS14" s="11">
        <v>100</v>
      </c>
      <c r="AT14" s="11"/>
      <c r="AU14" s="11"/>
      <c r="AV14" s="11"/>
      <c r="AW14" s="4"/>
      <c r="AX14" s="4">
        <f t="shared" si="3"/>
        <v>6</v>
      </c>
      <c r="AY14" s="93">
        <v>1.25</v>
      </c>
      <c r="AZ14" s="4">
        <v>1</v>
      </c>
    </row>
    <row r="15" spans="1:52" ht="14.25" customHeight="1" x14ac:dyDescent="0.25">
      <c r="A15" s="1">
        <v>1</v>
      </c>
      <c r="B15" s="114" t="s">
        <v>1044</v>
      </c>
      <c r="C15" s="6" t="s">
        <v>1045</v>
      </c>
      <c r="D15" s="8" t="s">
        <v>4</v>
      </c>
      <c r="E15" s="9" t="s">
        <v>26</v>
      </c>
      <c r="F15" s="9">
        <v>2</v>
      </c>
      <c r="G15" s="9">
        <v>2</v>
      </c>
      <c r="H15" s="9"/>
      <c r="I15" s="7"/>
      <c r="J15" s="7">
        <v>3</v>
      </c>
      <c r="K15" s="7"/>
      <c r="L15" s="7"/>
      <c r="M15" s="122"/>
      <c r="N15" s="122"/>
      <c r="O15" s="122"/>
      <c r="P15" s="96"/>
      <c r="Q15" s="7"/>
      <c r="R15" s="93">
        <v>1.4387627117714321</v>
      </c>
      <c r="S15" s="93">
        <v>320.58907776193519</v>
      </c>
      <c r="T15" s="122" t="s">
        <v>1518</v>
      </c>
      <c r="U15" s="7"/>
      <c r="V15" s="7"/>
      <c r="W15" s="122" t="s">
        <v>1518</v>
      </c>
      <c r="X15" s="122"/>
      <c r="Y15" s="122"/>
      <c r="Z15" s="7"/>
      <c r="AA15" s="7">
        <v>1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6">
        <v>45232</v>
      </c>
      <c r="AN15" s="4"/>
      <c r="AO15" s="6" t="s">
        <v>1003</v>
      </c>
      <c r="AP15" s="6" t="s">
        <v>1006</v>
      </c>
      <c r="AQ15" s="6" t="s">
        <v>1007</v>
      </c>
      <c r="AR15" s="4"/>
      <c r="AS15" s="11">
        <v>67.5</v>
      </c>
      <c r="AT15" s="11">
        <v>45</v>
      </c>
      <c r="AU15" s="11">
        <v>90</v>
      </c>
      <c r="AV15" s="11"/>
      <c r="AW15" s="4"/>
      <c r="AX15" s="4">
        <f t="shared" si="3"/>
        <v>1</v>
      </c>
      <c r="AY15" s="93">
        <v>1</v>
      </c>
      <c r="AZ15" s="4">
        <v>0.3</v>
      </c>
    </row>
    <row r="16" spans="1:52" ht="14.25" customHeight="1" x14ac:dyDescent="0.25">
      <c r="B16" s="112" t="s">
        <v>1606</v>
      </c>
      <c r="C16" s="6" t="s">
        <v>1651</v>
      </c>
      <c r="D16" s="8" t="s">
        <v>5</v>
      </c>
      <c r="E16" s="8" t="s">
        <v>109</v>
      </c>
      <c r="F16" s="9" t="s">
        <v>339</v>
      </c>
      <c r="G16" s="9"/>
      <c r="H16" s="9"/>
      <c r="I16" s="7"/>
      <c r="J16" s="7"/>
      <c r="K16" s="7"/>
      <c r="L16" s="7"/>
      <c r="M16" s="122"/>
      <c r="N16" s="122"/>
      <c r="O16" s="122"/>
      <c r="P16" s="96"/>
      <c r="Q16" s="7"/>
      <c r="R16" s="93">
        <v>0.72544658231387604</v>
      </c>
      <c r="S16" s="93">
        <v>4.6174513124470865E-2</v>
      </c>
      <c r="T16" s="122" t="s">
        <v>1518</v>
      </c>
      <c r="U16" s="7"/>
      <c r="V16" s="7"/>
      <c r="W16" s="122"/>
      <c r="X16" s="122"/>
      <c r="Y16" s="122"/>
      <c r="Z16" s="7"/>
      <c r="AA16" s="7"/>
      <c r="AB16" s="7"/>
      <c r="AC16" s="7">
        <v>2</v>
      </c>
      <c r="AD16" s="7"/>
      <c r="AE16" s="7"/>
      <c r="AF16" s="7"/>
      <c r="AG16" s="7"/>
      <c r="AH16" s="7"/>
      <c r="AI16" s="7"/>
      <c r="AJ16" s="7"/>
      <c r="AK16" s="7"/>
      <c r="AL16" s="7"/>
      <c r="AM16" s="16">
        <v>44540</v>
      </c>
      <c r="AN16" s="4"/>
      <c r="AO16" s="6" t="s">
        <v>995</v>
      </c>
      <c r="AP16" s="4"/>
      <c r="AQ16" s="4"/>
      <c r="AR16" s="4"/>
      <c r="AS16" s="11">
        <v>9.8000000000000007</v>
      </c>
      <c r="AT16" s="11"/>
      <c r="AU16" s="11"/>
      <c r="AV16" s="11"/>
      <c r="AW16" s="4"/>
      <c r="AX16" s="4">
        <f t="shared" si="3"/>
        <v>2</v>
      </c>
      <c r="AY16" s="93">
        <v>2</v>
      </c>
      <c r="AZ16" s="4">
        <v>2.5</v>
      </c>
    </row>
    <row r="17" spans="2:52" ht="14.25" customHeight="1" x14ac:dyDescent="0.25">
      <c r="B17" s="113" t="s">
        <v>23</v>
      </c>
      <c r="C17" s="6" t="s">
        <v>1046</v>
      </c>
      <c r="D17" s="7" t="s">
        <v>3</v>
      </c>
      <c r="E17" s="7" t="s">
        <v>24</v>
      </c>
      <c r="F17" s="9" t="s">
        <v>25</v>
      </c>
      <c r="G17" s="9" t="s">
        <v>25</v>
      </c>
      <c r="H17" s="9"/>
      <c r="I17" s="7"/>
      <c r="J17" s="7"/>
      <c r="K17" s="7"/>
      <c r="L17" s="7"/>
      <c r="M17" s="122"/>
      <c r="N17" s="122"/>
      <c r="O17" s="122"/>
      <c r="P17" s="96"/>
      <c r="Q17" s="14">
        <v>0.5</v>
      </c>
      <c r="R17" s="93">
        <v>63.68891475263564</v>
      </c>
      <c r="S17" s="93">
        <v>1.0585899666470366</v>
      </c>
      <c r="T17" s="122" t="s">
        <v>1518</v>
      </c>
      <c r="U17" s="7"/>
      <c r="V17" s="7"/>
      <c r="W17" s="122"/>
      <c r="X17" s="122" t="s">
        <v>1518</v>
      </c>
      <c r="Y17" s="122" t="s">
        <v>1518</v>
      </c>
      <c r="Z17" s="7"/>
      <c r="AA17" s="7"/>
      <c r="AB17" s="7">
        <v>1</v>
      </c>
      <c r="AC17" s="7">
        <v>1</v>
      </c>
      <c r="AD17" s="7"/>
      <c r="AE17" s="7"/>
      <c r="AF17" s="7"/>
      <c r="AG17" s="7"/>
      <c r="AH17" s="7"/>
      <c r="AI17" s="7"/>
      <c r="AJ17" s="7"/>
      <c r="AK17" s="7"/>
      <c r="AL17" s="7"/>
      <c r="AM17" s="16">
        <v>44911</v>
      </c>
      <c r="AN17" s="4"/>
      <c r="AO17" s="4" t="s">
        <v>49</v>
      </c>
      <c r="AP17" s="4" t="s">
        <v>69</v>
      </c>
      <c r="AQ17" s="4"/>
      <c r="AR17" s="4"/>
      <c r="AS17" s="11">
        <v>245</v>
      </c>
      <c r="AT17" s="11">
        <v>244</v>
      </c>
      <c r="AU17" s="11"/>
      <c r="AV17" s="11"/>
      <c r="AW17" s="4"/>
      <c r="AX17" s="4">
        <f t="shared" si="3"/>
        <v>2</v>
      </c>
      <c r="AY17" s="93"/>
      <c r="AZ17" s="4">
        <v>2.5</v>
      </c>
    </row>
    <row r="18" spans="2:52" ht="24" customHeight="1" x14ac:dyDescent="0.25">
      <c r="B18" s="114" t="s">
        <v>119</v>
      </c>
      <c r="C18" s="6" t="s">
        <v>1448</v>
      </c>
      <c r="D18" s="8" t="s">
        <v>4</v>
      </c>
      <c r="E18" s="8" t="s">
        <v>1449</v>
      </c>
      <c r="F18" s="9">
        <v>5</v>
      </c>
      <c r="G18" s="9">
        <v>15</v>
      </c>
      <c r="H18" s="9"/>
      <c r="I18" s="7"/>
      <c r="J18" s="7"/>
      <c r="K18" s="7"/>
      <c r="L18" s="7" t="s">
        <v>120</v>
      </c>
      <c r="M18" s="122" t="s">
        <v>1518</v>
      </c>
      <c r="N18" s="122" t="s">
        <v>1518</v>
      </c>
      <c r="O18" s="122" t="s">
        <v>1518</v>
      </c>
      <c r="P18" s="96" t="s">
        <v>1500</v>
      </c>
      <c r="Q18" s="7"/>
      <c r="R18" s="93">
        <v>9.6302696306355973</v>
      </c>
      <c r="S18" s="93">
        <v>686.90595794392561</v>
      </c>
      <c r="T18" s="122" t="s">
        <v>1518</v>
      </c>
      <c r="U18" s="7"/>
      <c r="V18" s="7"/>
      <c r="W18" s="122"/>
      <c r="X18" s="122"/>
      <c r="Y18" s="122" t="s">
        <v>1518</v>
      </c>
      <c r="Z18" s="7"/>
      <c r="AA18" s="7"/>
      <c r="AB18" s="7"/>
      <c r="AC18" s="7"/>
      <c r="AD18" s="7">
        <v>3</v>
      </c>
      <c r="AE18" s="7"/>
      <c r="AF18" s="7"/>
      <c r="AG18" s="7"/>
      <c r="AH18" s="7"/>
      <c r="AI18" s="7"/>
      <c r="AJ18" s="7"/>
      <c r="AK18" s="7"/>
      <c r="AL18" s="7"/>
      <c r="AM18" s="16">
        <v>44169</v>
      </c>
      <c r="AN18" s="4" t="s">
        <v>1955</v>
      </c>
      <c r="AO18" s="4" t="s">
        <v>121</v>
      </c>
      <c r="AP18" s="6" t="s">
        <v>1008</v>
      </c>
      <c r="AQ18" s="4"/>
      <c r="AR18" s="4"/>
      <c r="AS18" s="11">
        <v>250</v>
      </c>
      <c r="AT18" s="11">
        <v>280</v>
      </c>
      <c r="AU18" s="11"/>
      <c r="AV18" s="11"/>
      <c r="AW18" s="4" t="s">
        <v>1824</v>
      </c>
      <c r="AX18" s="4">
        <f t="shared" si="3"/>
        <v>3</v>
      </c>
      <c r="AY18" s="93"/>
      <c r="AZ18" s="4">
        <v>3</v>
      </c>
    </row>
    <row r="19" spans="2:52" ht="14.25" customHeight="1" x14ac:dyDescent="0.25">
      <c r="B19" s="114" t="s">
        <v>313</v>
      </c>
      <c r="C19" s="6" t="s">
        <v>1658</v>
      </c>
      <c r="D19" s="8" t="s">
        <v>5</v>
      </c>
      <c r="E19" s="9" t="s">
        <v>26</v>
      </c>
      <c r="F19" s="9" t="s">
        <v>314</v>
      </c>
      <c r="G19" s="9"/>
      <c r="H19" s="9"/>
      <c r="I19" s="7">
        <v>100</v>
      </c>
      <c r="J19" s="7"/>
      <c r="K19" s="7"/>
      <c r="L19" s="7" t="s">
        <v>14</v>
      </c>
      <c r="M19" s="122"/>
      <c r="N19" s="122"/>
      <c r="O19" s="122"/>
      <c r="P19" s="96"/>
      <c r="Q19" s="7"/>
      <c r="R19" s="93">
        <v>112734.46673207216</v>
      </c>
      <c r="S19" s="93">
        <v>148.38666666666592</v>
      </c>
      <c r="T19" s="122" t="s">
        <v>1518</v>
      </c>
      <c r="U19" s="7">
        <v>2</v>
      </c>
      <c r="V19" s="7"/>
      <c r="W19" s="122" t="s">
        <v>1518</v>
      </c>
      <c r="X19" s="122"/>
      <c r="Y19" s="122"/>
      <c r="Z19" s="7"/>
      <c r="AA19" s="7"/>
      <c r="AB19" s="7">
        <v>3</v>
      </c>
      <c r="AC19" s="7"/>
      <c r="AD19" s="7"/>
      <c r="AE19" s="7">
        <v>3</v>
      </c>
      <c r="AF19" s="7"/>
      <c r="AG19" s="7"/>
      <c r="AH19" s="7"/>
      <c r="AI19" s="7"/>
      <c r="AJ19" s="7"/>
      <c r="AK19" s="7"/>
      <c r="AL19" s="7"/>
      <c r="AM19" s="16">
        <v>44169</v>
      </c>
      <c r="AN19" s="4"/>
      <c r="AO19" s="4" t="s">
        <v>316</v>
      </c>
      <c r="AP19" s="4"/>
      <c r="AQ19" s="4"/>
      <c r="AR19" s="4"/>
      <c r="AS19" s="11">
        <v>25</v>
      </c>
      <c r="AT19" s="11"/>
      <c r="AU19" s="11"/>
      <c r="AV19" s="11"/>
      <c r="AW19" s="4"/>
      <c r="AX19" s="4">
        <f t="shared" si="3"/>
        <v>6</v>
      </c>
      <c r="AY19" s="93">
        <v>1</v>
      </c>
      <c r="AZ19" s="4">
        <v>0.4</v>
      </c>
    </row>
    <row r="20" spans="2:52" ht="28.5" customHeight="1" x14ac:dyDescent="0.25">
      <c r="B20" s="114" t="s">
        <v>315</v>
      </c>
      <c r="C20" s="6" t="s">
        <v>1658</v>
      </c>
      <c r="D20" s="8" t="s">
        <v>5</v>
      </c>
      <c r="E20" s="9" t="s">
        <v>26</v>
      </c>
      <c r="F20" s="9" t="s">
        <v>314</v>
      </c>
      <c r="G20" s="9"/>
      <c r="H20" s="9"/>
      <c r="I20" s="7">
        <v>50</v>
      </c>
      <c r="J20" s="7"/>
      <c r="K20" s="7"/>
      <c r="L20" s="7" t="s">
        <v>14</v>
      </c>
      <c r="M20" s="122"/>
      <c r="N20" s="122"/>
      <c r="O20" s="122"/>
      <c r="P20" s="96"/>
      <c r="Q20" s="7"/>
      <c r="R20" s="93">
        <v>84550.850049054119</v>
      </c>
      <c r="S20" s="93">
        <v>111.28999999999944</v>
      </c>
      <c r="T20" s="122" t="s">
        <v>1518</v>
      </c>
      <c r="U20" s="7">
        <v>2</v>
      </c>
      <c r="V20" s="7"/>
      <c r="W20" s="122" t="s">
        <v>1518</v>
      </c>
      <c r="X20" s="122"/>
      <c r="Y20" s="122"/>
      <c r="Z20" s="7"/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/>
      <c r="AG20" s="7">
        <v>3</v>
      </c>
      <c r="AH20" s="7">
        <v>3</v>
      </c>
      <c r="AI20" s="7"/>
      <c r="AJ20" s="7"/>
      <c r="AK20" s="7"/>
      <c r="AL20" s="7"/>
      <c r="AM20" s="16">
        <v>44169</v>
      </c>
      <c r="AN20" s="4"/>
      <c r="AO20" s="4" t="s">
        <v>316</v>
      </c>
      <c r="AP20" s="4"/>
      <c r="AQ20" s="4"/>
      <c r="AR20" s="4"/>
      <c r="AS20" s="11">
        <v>25</v>
      </c>
      <c r="AT20" s="11"/>
      <c r="AU20" s="11"/>
      <c r="AV20" s="11"/>
      <c r="AW20" s="4"/>
      <c r="AX20" s="4">
        <f t="shared" si="3"/>
        <v>21</v>
      </c>
      <c r="AY20" s="93">
        <v>1</v>
      </c>
      <c r="AZ20" s="4">
        <v>0.3</v>
      </c>
    </row>
    <row r="21" spans="2:52" ht="14.25" customHeight="1" x14ac:dyDescent="0.25">
      <c r="B21" s="114" t="s">
        <v>122</v>
      </c>
      <c r="C21" s="6" t="s">
        <v>1047</v>
      </c>
      <c r="D21" s="8" t="s">
        <v>4</v>
      </c>
      <c r="E21" s="8" t="s">
        <v>17</v>
      </c>
      <c r="F21" s="9">
        <v>2</v>
      </c>
      <c r="G21" s="9">
        <v>2</v>
      </c>
      <c r="H21" s="9">
        <v>2</v>
      </c>
      <c r="I21" s="7"/>
      <c r="J21" s="7">
        <v>20</v>
      </c>
      <c r="K21" s="7"/>
      <c r="L21" s="7"/>
      <c r="M21" s="122"/>
      <c r="N21" s="122"/>
      <c r="O21" s="122"/>
      <c r="P21" s="96"/>
      <c r="Q21" s="14">
        <v>0.3</v>
      </c>
      <c r="R21" s="93">
        <v>1.2765865495428912</v>
      </c>
      <c r="S21" s="93">
        <v>675.71089585679454</v>
      </c>
      <c r="T21" s="122" t="s">
        <v>1518</v>
      </c>
      <c r="U21" s="7"/>
      <c r="V21" s="7"/>
      <c r="W21" s="122" t="s">
        <v>1518</v>
      </c>
      <c r="X21" s="122"/>
      <c r="Y21" s="122"/>
      <c r="Z21" s="7"/>
      <c r="AA21" s="7">
        <v>1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6">
        <v>44898</v>
      </c>
      <c r="AN21" s="4" t="s">
        <v>1861</v>
      </c>
      <c r="AO21" s="4" t="s">
        <v>123</v>
      </c>
      <c r="AP21" s="106" t="s">
        <v>1009</v>
      </c>
      <c r="AQ21" s="6" t="s">
        <v>1010</v>
      </c>
      <c r="AR21" s="4"/>
      <c r="AS21" s="11">
        <v>83</v>
      </c>
      <c r="AT21" s="11">
        <v>83</v>
      </c>
      <c r="AU21" s="11">
        <v>105</v>
      </c>
      <c r="AV21" s="11"/>
      <c r="AW21" s="4"/>
      <c r="AX21" s="4">
        <f t="shared" si="3"/>
        <v>1</v>
      </c>
      <c r="AY21" s="93">
        <v>1</v>
      </c>
      <c r="AZ21" s="4">
        <v>0.05</v>
      </c>
    </row>
    <row r="22" spans="2:52" ht="14.25" customHeight="1" x14ac:dyDescent="0.25">
      <c r="B22" s="114" t="s">
        <v>1850</v>
      </c>
      <c r="C22" s="6" t="s">
        <v>1048</v>
      </c>
      <c r="D22" s="8" t="s">
        <v>4</v>
      </c>
      <c r="E22" s="8" t="s">
        <v>17</v>
      </c>
      <c r="F22" s="9">
        <v>2</v>
      </c>
      <c r="G22" s="9"/>
      <c r="H22" s="9"/>
      <c r="I22" s="7"/>
      <c r="J22" s="7">
        <v>20</v>
      </c>
      <c r="K22" s="7"/>
      <c r="L22" s="7"/>
      <c r="M22" s="122"/>
      <c r="N22" s="122"/>
      <c r="O22" s="122"/>
      <c r="P22" s="96"/>
      <c r="Q22" s="14">
        <v>0.3</v>
      </c>
      <c r="R22" s="93">
        <v>1.1532208370279704</v>
      </c>
      <c r="S22" s="93">
        <v>470.69444444444468</v>
      </c>
      <c r="T22" s="122" t="s">
        <v>1518</v>
      </c>
      <c r="U22" s="7"/>
      <c r="V22" s="7"/>
      <c r="W22" s="122"/>
      <c r="X22" s="122"/>
      <c r="Y22" s="122"/>
      <c r="Z22" s="7"/>
      <c r="AA22" s="7">
        <v>1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6">
        <v>44898</v>
      </c>
      <c r="AN22" s="4" t="s">
        <v>1861</v>
      </c>
      <c r="AO22" s="11" t="s">
        <v>123</v>
      </c>
      <c r="AP22" s="4"/>
      <c r="AQ22" s="4"/>
      <c r="AR22" s="4"/>
      <c r="AS22" s="11">
        <v>200</v>
      </c>
      <c r="AT22" s="11"/>
      <c r="AU22" s="11"/>
      <c r="AV22" s="11"/>
      <c r="AW22" s="4"/>
      <c r="AX22" s="4">
        <f t="shared" si="3"/>
        <v>1</v>
      </c>
      <c r="AY22" s="93">
        <v>1</v>
      </c>
      <c r="AZ22" s="4">
        <v>2.5000000000000001E-2</v>
      </c>
    </row>
    <row r="23" spans="2:52" ht="14.25" customHeight="1" x14ac:dyDescent="0.25">
      <c r="B23" s="114" t="s">
        <v>1849</v>
      </c>
      <c r="C23" s="6" t="s">
        <v>1048</v>
      </c>
      <c r="D23" s="8" t="s">
        <v>4</v>
      </c>
      <c r="E23" s="8" t="s">
        <v>17</v>
      </c>
      <c r="F23" s="9">
        <v>2</v>
      </c>
      <c r="G23" s="9"/>
      <c r="H23" s="9"/>
      <c r="I23" s="7"/>
      <c r="J23" s="7">
        <v>50</v>
      </c>
      <c r="K23" s="7"/>
      <c r="L23" s="7"/>
      <c r="M23" s="122"/>
      <c r="N23" s="122"/>
      <c r="O23" s="122"/>
      <c r="P23" s="96"/>
      <c r="Q23" s="14">
        <v>0.3</v>
      </c>
      <c r="R23" s="93">
        <v>1.8451533392447528</v>
      </c>
      <c r="S23" s="93">
        <v>753.11111111111154</v>
      </c>
      <c r="T23" s="122" t="s">
        <v>1518</v>
      </c>
      <c r="U23" s="7"/>
      <c r="V23" s="7"/>
      <c r="W23" s="122"/>
      <c r="X23" s="122"/>
      <c r="Y23" s="122"/>
      <c r="Z23" s="7"/>
      <c r="AA23" s="7">
        <v>1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6">
        <v>44898</v>
      </c>
      <c r="AN23" s="4" t="s">
        <v>1861</v>
      </c>
      <c r="AO23" s="11" t="s">
        <v>123</v>
      </c>
      <c r="AP23" s="4"/>
      <c r="AQ23" s="4"/>
      <c r="AR23" s="4"/>
      <c r="AS23" s="11">
        <v>200</v>
      </c>
      <c r="AT23" s="11"/>
      <c r="AU23" s="11"/>
      <c r="AV23" s="11"/>
      <c r="AW23" s="4"/>
      <c r="AX23" s="4">
        <f t="shared" si="3"/>
        <v>1</v>
      </c>
      <c r="AY23" s="93">
        <v>1</v>
      </c>
      <c r="AZ23" s="4">
        <v>0.04</v>
      </c>
    </row>
    <row r="24" spans="2:52" ht="14.25" customHeight="1" x14ac:dyDescent="0.25">
      <c r="B24" s="114" t="s">
        <v>124</v>
      </c>
      <c r="C24" s="6" t="s">
        <v>1049</v>
      </c>
      <c r="D24" s="8" t="s">
        <v>4</v>
      </c>
      <c r="E24" s="8" t="s">
        <v>17</v>
      </c>
      <c r="F24" s="9">
        <v>2</v>
      </c>
      <c r="G24" s="9"/>
      <c r="H24" s="9"/>
      <c r="I24" s="7"/>
      <c r="J24" s="7"/>
      <c r="K24" s="7"/>
      <c r="L24" s="7"/>
      <c r="M24" s="122"/>
      <c r="N24" s="122"/>
      <c r="O24" s="122"/>
      <c r="P24" s="96"/>
      <c r="Q24" s="14">
        <v>0.3</v>
      </c>
      <c r="R24" s="93"/>
      <c r="S24" s="93"/>
      <c r="T24" s="122" t="s">
        <v>1518</v>
      </c>
      <c r="U24" s="7"/>
      <c r="V24" s="7"/>
      <c r="W24" s="122"/>
      <c r="X24" s="122"/>
      <c r="Y24" s="122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>
        <v>1</v>
      </c>
      <c r="AM24" s="16">
        <v>44169</v>
      </c>
      <c r="AN24" s="4"/>
      <c r="AO24" s="11" t="s">
        <v>123</v>
      </c>
      <c r="AP24" s="4"/>
      <c r="AQ24" s="4"/>
      <c r="AR24" s="4"/>
      <c r="AS24" s="11" t="s">
        <v>815</v>
      </c>
      <c r="AT24" s="11"/>
      <c r="AU24" s="11"/>
      <c r="AV24" s="11"/>
      <c r="AW24" s="4"/>
      <c r="AX24" s="4">
        <f t="shared" si="3"/>
        <v>1</v>
      </c>
      <c r="AY24" s="93"/>
      <c r="AZ24" s="4"/>
    </row>
    <row r="25" spans="2:52" ht="14.25" customHeight="1" x14ac:dyDescent="0.25">
      <c r="B25" s="114" t="s">
        <v>125</v>
      </c>
      <c r="C25" s="6" t="s">
        <v>1050</v>
      </c>
      <c r="D25" s="8" t="s">
        <v>4</v>
      </c>
      <c r="E25" s="9" t="s">
        <v>26</v>
      </c>
      <c r="F25" s="9">
        <v>4</v>
      </c>
      <c r="G25" s="9"/>
      <c r="H25" s="9"/>
      <c r="I25" s="7"/>
      <c r="J25" s="7"/>
      <c r="K25" s="7"/>
      <c r="L25" s="7"/>
      <c r="M25" s="122"/>
      <c r="N25" s="122"/>
      <c r="O25" s="122"/>
      <c r="P25" s="96"/>
      <c r="Q25" s="7"/>
      <c r="R25" s="93">
        <v>4.9309339318677828E-4</v>
      </c>
      <c r="S25" s="93">
        <v>28.10299034482766</v>
      </c>
      <c r="T25" s="122" t="s">
        <v>1518</v>
      </c>
      <c r="U25" s="7"/>
      <c r="V25" s="7"/>
      <c r="W25" s="122"/>
      <c r="X25" s="122"/>
      <c r="Y25" s="122"/>
      <c r="Z25" s="7"/>
      <c r="AA25" s="7"/>
      <c r="AB25" s="7">
        <v>1</v>
      </c>
      <c r="AC25" s="7"/>
      <c r="AD25" s="7"/>
      <c r="AE25" s="7">
        <v>1</v>
      </c>
      <c r="AF25" s="7"/>
      <c r="AG25" s="7"/>
      <c r="AH25" s="7"/>
      <c r="AI25" s="7"/>
      <c r="AJ25" s="7"/>
      <c r="AK25" s="7"/>
      <c r="AL25" s="7">
        <v>1</v>
      </c>
      <c r="AM25" s="16">
        <v>44169</v>
      </c>
      <c r="AN25" s="4"/>
      <c r="AO25" s="11" t="s">
        <v>126</v>
      </c>
      <c r="AP25" s="4"/>
      <c r="AQ25" s="4"/>
      <c r="AR25" s="4"/>
      <c r="AS25" s="11">
        <v>720</v>
      </c>
      <c r="AT25" s="11"/>
      <c r="AU25" s="11"/>
      <c r="AV25" s="11"/>
      <c r="AW25" s="4"/>
      <c r="AX25" s="4">
        <f t="shared" si="3"/>
        <v>3</v>
      </c>
      <c r="AY25" s="93">
        <v>1</v>
      </c>
      <c r="AZ25" s="4">
        <v>0.16700000000000001</v>
      </c>
    </row>
    <row r="26" spans="2:52" ht="14.25" customHeight="1" x14ac:dyDescent="0.25">
      <c r="B26" s="114" t="s">
        <v>1051</v>
      </c>
      <c r="C26" s="6" t="s">
        <v>1052</v>
      </c>
      <c r="D26" s="8" t="s">
        <v>6</v>
      </c>
      <c r="E26" s="8" t="s">
        <v>13</v>
      </c>
      <c r="F26" s="9"/>
      <c r="G26" s="9"/>
      <c r="H26" s="9"/>
      <c r="I26" s="7"/>
      <c r="J26" s="7"/>
      <c r="K26" s="7"/>
      <c r="L26" s="7"/>
      <c r="M26" s="122"/>
      <c r="N26" s="122"/>
      <c r="O26" s="122"/>
      <c r="P26" s="96" t="s">
        <v>352</v>
      </c>
      <c r="Q26" s="7"/>
      <c r="R26" s="93">
        <v>3.8850512249202587E-3</v>
      </c>
      <c r="S26" s="93">
        <v>6.8940707964601847E-2</v>
      </c>
      <c r="T26" s="122"/>
      <c r="U26" s="7"/>
      <c r="V26" s="7"/>
      <c r="W26" s="122"/>
      <c r="X26" s="122"/>
      <c r="Y26" s="122" t="s">
        <v>1518</v>
      </c>
      <c r="Z26" s="7"/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16">
        <v>44169</v>
      </c>
      <c r="AN26" s="4"/>
      <c r="AO26" s="4" t="s">
        <v>356</v>
      </c>
      <c r="AP26" s="4"/>
      <c r="AQ26" s="4"/>
      <c r="AR26" s="4"/>
      <c r="AS26" s="11">
        <v>50</v>
      </c>
      <c r="AT26" s="11"/>
      <c r="AU26" s="11"/>
      <c r="AV26" s="11"/>
      <c r="AW26" s="4"/>
      <c r="AX26" s="4">
        <f t="shared" si="3"/>
        <v>24</v>
      </c>
      <c r="AY26" s="93"/>
      <c r="AZ26" s="4">
        <v>7</v>
      </c>
    </row>
    <row r="27" spans="2:52" ht="14.25" customHeight="1" x14ac:dyDescent="0.25">
      <c r="B27" s="114" t="s">
        <v>27</v>
      </c>
      <c r="C27" s="6" t="s">
        <v>1450</v>
      </c>
      <c r="D27" s="8" t="s">
        <v>3</v>
      </c>
      <c r="E27" s="9" t="s">
        <v>1530</v>
      </c>
      <c r="F27" s="9">
        <v>11</v>
      </c>
      <c r="G27" s="9"/>
      <c r="H27" s="9"/>
      <c r="I27" s="7"/>
      <c r="J27" s="7"/>
      <c r="K27" s="7"/>
      <c r="L27" s="7"/>
      <c r="M27" s="122" t="s">
        <v>1518</v>
      </c>
      <c r="N27" s="122" t="s">
        <v>1518</v>
      </c>
      <c r="O27" s="122"/>
      <c r="P27" s="96"/>
      <c r="Q27" s="7"/>
      <c r="R27" s="93">
        <v>2.5557162218723408</v>
      </c>
      <c r="S27" s="93">
        <v>2.7822499999999965E-2</v>
      </c>
      <c r="T27" s="122" t="s">
        <v>1518</v>
      </c>
      <c r="U27" s="7"/>
      <c r="V27" s="7"/>
      <c r="W27" s="122"/>
      <c r="X27" s="122"/>
      <c r="Y27" s="122"/>
      <c r="Z27" s="7"/>
      <c r="AA27" s="7">
        <v>1</v>
      </c>
      <c r="AB27" s="7"/>
      <c r="AC27" s="7">
        <v>1</v>
      </c>
      <c r="AD27" s="7"/>
      <c r="AE27" s="7">
        <v>1</v>
      </c>
      <c r="AF27" s="7"/>
      <c r="AG27" s="7">
        <v>1</v>
      </c>
      <c r="AH27" s="7"/>
      <c r="AI27" s="7"/>
      <c r="AJ27" s="7">
        <v>1</v>
      </c>
      <c r="AK27" s="7">
        <v>1</v>
      </c>
      <c r="AL27" s="7"/>
      <c r="AM27" s="16">
        <v>44169</v>
      </c>
      <c r="AN27" s="4"/>
      <c r="AO27" s="6" t="s">
        <v>996</v>
      </c>
      <c r="AP27" s="4"/>
      <c r="AQ27" s="4"/>
      <c r="AR27" s="4"/>
      <c r="AS27" s="11">
        <v>250</v>
      </c>
      <c r="AT27" s="11"/>
      <c r="AU27" s="11"/>
      <c r="AV27" s="11"/>
      <c r="AW27" s="4"/>
      <c r="AX27" s="4">
        <f t="shared" si="3"/>
        <v>6</v>
      </c>
      <c r="AY27" s="93">
        <v>1</v>
      </c>
      <c r="AZ27" s="4">
        <v>1</v>
      </c>
    </row>
    <row r="28" spans="2:52" s="2" customFormat="1" ht="14.25" customHeight="1" x14ac:dyDescent="0.25">
      <c r="B28" s="114" t="s">
        <v>28</v>
      </c>
      <c r="C28" s="6" t="s">
        <v>1053</v>
      </c>
      <c r="D28" s="8" t="s">
        <v>3</v>
      </c>
      <c r="E28" s="8" t="s">
        <v>29</v>
      </c>
      <c r="F28" s="9">
        <v>27</v>
      </c>
      <c r="G28" s="9">
        <v>40</v>
      </c>
      <c r="H28" s="9"/>
      <c r="I28" s="7"/>
      <c r="J28" s="7"/>
      <c r="K28" s="7"/>
      <c r="L28" s="7"/>
      <c r="M28" s="122"/>
      <c r="N28" s="122"/>
      <c r="O28" s="122"/>
      <c r="P28" s="96"/>
      <c r="Q28" s="7"/>
      <c r="R28" s="93">
        <v>0.38013579581153012</v>
      </c>
      <c r="S28" s="93">
        <v>4.7768202326732681</v>
      </c>
      <c r="T28" s="122" t="s">
        <v>1518</v>
      </c>
      <c r="U28" s="7"/>
      <c r="V28" s="7"/>
      <c r="W28" s="122"/>
      <c r="X28" s="122"/>
      <c r="Y28" s="122"/>
      <c r="Z28" s="7"/>
      <c r="AA28" s="7"/>
      <c r="AB28" s="7"/>
      <c r="AC28" s="7">
        <v>1</v>
      </c>
      <c r="AD28" s="7"/>
      <c r="AE28" s="7"/>
      <c r="AF28" s="7"/>
      <c r="AG28" s="7"/>
      <c r="AH28" s="7"/>
      <c r="AI28" s="7"/>
      <c r="AJ28" s="7"/>
      <c r="AK28" s="7"/>
      <c r="AL28" s="12"/>
      <c r="AM28" s="16">
        <v>44169</v>
      </c>
      <c r="AN28" s="5"/>
      <c r="AO28" s="4" t="s">
        <v>30</v>
      </c>
      <c r="AP28" s="6" t="s">
        <v>97</v>
      </c>
      <c r="AQ28" s="4"/>
      <c r="AR28" s="4"/>
      <c r="AS28" s="11">
        <v>180</v>
      </c>
      <c r="AT28" s="11">
        <v>250</v>
      </c>
      <c r="AU28" s="11"/>
      <c r="AV28" s="11"/>
      <c r="AW28" s="5"/>
      <c r="AX28" s="4">
        <f t="shared" si="3"/>
        <v>1</v>
      </c>
      <c r="AY28" s="93"/>
      <c r="AZ28" s="5">
        <v>0.6</v>
      </c>
    </row>
    <row r="29" spans="2:52" s="2" customFormat="1" ht="14.25" customHeight="1" x14ac:dyDescent="0.25">
      <c r="B29" s="114" t="s">
        <v>358</v>
      </c>
      <c r="C29" s="6" t="s">
        <v>1054</v>
      </c>
      <c r="D29" s="8" t="s">
        <v>7</v>
      </c>
      <c r="E29" s="8" t="s">
        <v>359</v>
      </c>
      <c r="F29" s="9"/>
      <c r="G29" s="9"/>
      <c r="H29" s="9"/>
      <c r="I29" s="7">
        <v>100</v>
      </c>
      <c r="J29" s="7"/>
      <c r="K29" s="7"/>
      <c r="L29" s="7" t="s">
        <v>14</v>
      </c>
      <c r="M29" s="122"/>
      <c r="N29" s="122"/>
      <c r="O29" s="122"/>
      <c r="P29" s="96"/>
      <c r="Q29" s="7"/>
      <c r="R29" s="93">
        <v>71.406269875392482</v>
      </c>
      <c r="S29" s="93">
        <v>14.715011111111066</v>
      </c>
      <c r="T29" s="122" t="s">
        <v>1518</v>
      </c>
      <c r="U29" s="7">
        <v>1</v>
      </c>
      <c r="V29" s="7"/>
      <c r="W29" s="122" t="s">
        <v>1518</v>
      </c>
      <c r="X29" s="122"/>
      <c r="Y29" s="122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>
        <v>1</v>
      </c>
      <c r="AL29" s="12"/>
      <c r="AM29" s="16">
        <v>44169</v>
      </c>
      <c r="AN29" s="5"/>
      <c r="AO29" s="6" t="s">
        <v>987</v>
      </c>
      <c r="AP29" s="4"/>
      <c r="AQ29" s="4"/>
      <c r="AR29" s="4"/>
      <c r="AS29" s="11">
        <v>686</v>
      </c>
      <c r="AT29" s="11"/>
      <c r="AU29" s="11"/>
      <c r="AV29" s="11"/>
      <c r="AW29" s="5"/>
      <c r="AX29" s="4">
        <f t="shared" si="3"/>
        <v>1</v>
      </c>
      <c r="AY29" s="93"/>
      <c r="AZ29" s="5">
        <v>17</v>
      </c>
    </row>
    <row r="30" spans="2:52" ht="14.25" customHeight="1" x14ac:dyDescent="0.25">
      <c r="B30" s="112" t="s">
        <v>1659</v>
      </c>
      <c r="C30" s="6" t="s">
        <v>1660</v>
      </c>
      <c r="D30" s="8" t="s">
        <v>6</v>
      </c>
      <c r="E30" s="8" t="s">
        <v>109</v>
      </c>
      <c r="F30" s="9"/>
      <c r="G30" s="9"/>
      <c r="H30" s="9"/>
      <c r="I30" s="7"/>
      <c r="J30" s="7"/>
      <c r="K30" s="7"/>
      <c r="L30" s="7"/>
      <c r="M30" s="122"/>
      <c r="N30" s="122"/>
      <c r="O30" s="122"/>
      <c r="P30" s="96"/>
      <c r="Q30" s="7"/>
      <c r="R30" s="93">
        <v>0.12407534152970985</v>
      </c>
      <c r="S30" s="93">
        <v>3.4024968152866215E-2</v>
      </c>
      <c r="T30" s="122"/>
      <c r="U30" s="7"/>
      <c r="V30" s="7"/>
      <c r="W30" s="122"/>
      <c r="X30" s="122"/>
      <c r="Y30" s="122" t="s">
        <v>1518</v>
      </c>
      <c r="Z30" s="7"/>
      <c r="AA30" s="7">
        <v>2</v>
      </c>
      <c r="AB30" s="7">
        <v>2</v>
      </c>
      <c r="AC30" s="7">
        <v>2</v>
      </c>
      <c r="AD30" s="7">
        <v>2</v>
      </c>
      <c r="AE30" s="7">
        <v>2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2</v>
      </c>
      <c r="AL30" s="7">
        <v>2</v>
      </c>
      <c r="AM30" s="16">
        <v>44169</v>
      </c>
      <c r="AN30" s="4"/>
      <c r="AO30" s="4" t="s">
        <v>816</v>
      </c>
      <c r="AP30" s="4"/>
      <c r="AQ30" s="4"/>
      <c r="AR30" s="4"/>
      <c r="AS30" s="11">
        <v>24</v>
      </c>
      <c r="AT30" s="11"/>
      <c r="AU30" s="11"/>
      <c r="AV30" s="11"/>
      <c r="AW30" s="4"/>
      <c r="AX30" s="4">
        <f t="shared" si="3"/>
        <v>24</v>
      </c>
      <c r="AY30" s="93"/>
      <c r="AZ30" s="4">
        <v>7</v>
      </c>
    </row>
    <row r="31" spans="2:52" ht="14.25" customHeight="1" x14ac:dyDescent="0.25">
      <c r="B31" s="112" t="s">
        <v>127</v>
      </c>
      <c r="C31" s="6" t="s">
        <v>1439</v>
      </c>
      <c r="D31" s="8" t="s">
        <v>4</v>
      </c>
      <c r="E31" s="8" t="s">
        <v>64</v>
      </c>
      <c r="F31" s="9">
        <v>12</v>
      </c>
      <c r="G31" s="9">
        <v>15</v>
      </c>
      <c r="H31" s="9"/>
      <c r="I31" s="7"/>
      <c r="J31" s="7"/>
      <c r="K31" s="7"/>
      <c r="L31" s="7" t="s">
        <v>14</v>
      </c>
      <c r="M31" s="122"/>
      <c r="N31" s="122"/>
      <c r="O31" s="122"/>
      <c r="P31" s="96"/>
      <c r="Q31" s="14">
        <v>0.3</v>
      </c>
      <c r="R31" s="93">
        <v>16.552595829761422</v>
      </c>
      <c r="S31" s="93">
        <v>218.6711904761903</v>
      </c>
      <c r="T31" s="122" t="s">
        <v>1518</v>
      </c>
      <c r="U31" s="7"/>
      <c r="V31" s="7"/>
      <c r="W31" s="122"/>
      <c r="X31" s="122"/>
      <c r="Y31" s="122" t="s">
        <v>1518</v>
      </c>
      <c r="Z31" s="7"/>
      <c r="AA31" s="7">
        <v>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6">
        <v>44169</v>
      </c>
      <c r="AN31" s="4"/>
      <c r="AO31" s="6" t="s">
        <v>999</v>
      </c>
      <c r="AP31" s="4" t="s">
        <v>143</v>
      </c>
      <c r="AQ31" s="4"/>
      <c r="AR31" s="4"/>
      <c r="AS31" s="53">
        <v>200</v>
      </c>
      <c r="AT31" s="53">
        <v>400</v>
      </c>
      <c r="AU31" s="11"/>
      <c r="AV31" s="11"/>
      <c r="AW31" s="4"/>
      <c r="AX31" s="4">
        <f t="shared" si="3"/>
        <v>1</v>
      </c>
      <c r="AY31" s="93"/>
      <c r="AZ31" s="4">
        <v>0.4</v>
      </c>
    </row>
    <row r="32" spans="2:52" ht="14.25" customHeight="1" x14ac:dyDescent="0.25">
      <c r="B32" s="112" t="s">
        <v>128</v>
      </c>
      <c r="C32" s="6" t="s">
        <v>1445</v>
      </c>
      <c r="D32" s="8" t="s">
        <v>4</v>
      </c>
      <c r="E32" s="8" t="s">
        <v>64</v>
      </c>
      <c r="F32" s="9">
        <v>12</v>
      </c>
      <c r="G32" s="9">
        <v>15</v>
      </c>
      <c r="H32" s="9"/>
      <c r="I32" s="7"/>
      <c r="J32" s="7"/>
      <c r="K32" s="7"/>
      <c r="L32" s="7" t="s">
        <v>120</v>
      </c>
      <c r="M32" s="122"/>
      <c r="N32" s="122"/>
      <c r="O32" s="122"/>
      <c r="P32" s="96"/>
      <c r="Q32" s="14">
        <v>0.3</v>
      </c>
      <c r="R32" s="93">
        <v>24.82889374464213</v>
      </c>
      <c r="S32" s="93">
        <v>328.00678571428546</v>
      </c>
      <c r="T32" s="122" t="s">
        <v>1518</v>
      </c>
      <c r="U32" s="7"/>
      <c r="V32" s="7"/>
      <c r="W32" s="122"/>
      <c r="X32" s="122"/>
      <c r="Y32" s="122" t="s">
        <v>1518</v>
      </c>
      <c r="Z32" s="7"/>
      <c r="AA32" s="7">
        <v>1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6">
        <v>44169</v>
      </c>
      <c r="AN32" s="4"/>
      <c r="AO32" s="6" t="s">
        <v>999</v>
      </c>
      <c r="AP32" s="4" t="s">
        <v>143</v>
      </c>
      <c r="AQ32" s="4"/>
      <c r="AR32" s="4"/>
      <c r="AS32" s="53">
        <v>200</v>
      </c>
      <c r="AT32" s="53">
        <v>400</v>
      </c>
      <c r="AU32" s="11"/>
      <c r="AV32" s="11"/>
      <c r="AW32" s="4"/>
      <c r="AX32" s="4">
        <f t="shared" si="3"/>
        <v>1</v>
      </c>
      <c r="AY32" s="93"/>
      <c r="AZ32" s="4">
        <v>0.6</v>
      </c>
    </row>
    <row r="33" spans="1:52" s="2" customFormat="1" ht="14.25" customHeight="1" x14ac:dyDescent="0.25">
      <c r="B33" s="114" t="s">
        <v>938</v>
      </c>
      <c r="C33" s="6" t="s">
        <v>1055</v>
      </c>
      <c r="D33" s="8" t="s">
        <v>4</v>
      </c>
      <c r="E33" s="8" t="s">
        <v>29</v>
      </c>
      <c r="F33" s="8">
        <v>4</v>
      </c>
      <c r="G33" s="8"/>
      <c r="H33" s="8"/>
      <c r="I33" s="7"/>
      <c r="J33" s="7"/>
      <c r="K33" s="7"/>
      <c r="L33" s="7"/>
      <c r="M33" s="122"/>
      <c r="N33" s="122"/>
      <c r="O33" s="122"/>
      <c r="P33" s="96"/>
      <c r="Q33" s="7"/>
      <c r="R33" s="93">
        <v>0.42816364513334831</v>
      </c>
      <c r="S33" s="93">
        <v>187.50614754098456</v>
      </c>
      <c r="T33" s="122" t="s">
        <v>1518</v>
      </c>
      <c r="U33" s="7"/>
      <c r="V33" s="7"/>
      <c r="W33" s="122" t="s">
        <v>1518</v>
      </c>
      <c r="X33" s="122"/>
      <c r="Y33" s="122"/>
      <c r="Z33" s="7"/>
      <c r="AA33" s="7">
        <v>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2"/>
      <c r="AM33" s="16">
        <v>44169</v>
      </c>
      <c r="AN33" s="5"/>
      <c r="AO33" s="4" t="s">
        <v>215</v>
      </c>
      <c r="AP33" s="4"/>
      <c r="AQ33" s="4"/>
      <c r="AR33" s="4"/>
      <c r="AS33" s="11">
        <v>200</v>
      </c>
      <c r="AT33" s="11"/>
      <c r="AU33" s="11"/>
      <c r="AV33" s="11"/>
      <c r="AW33" s="5"/>
      <c r="AX33" s="4">
        <f t="shared" si="3"/>
        <v>1</v>
      </c>
      <c r="AY33" s="93">
        <v>1</v>
      </c>
      <c r="AZ33" s="5">
        <v>0.9</v>
      </c>
    </row>
    <row r="34" spans="1:52" ht="14.25" customHeight="1" x14ac:dyDescent="0.25">
      <c r="B34" s="112" t="s">
        <v>1633</v>
      </c>
      <c r="C34" s="6" t="s">
        <v>1632</v>
      </c>
      <c r="D34" s="8" t="s">
        <v>4</v>
      </c>
      <c r="E34" s="8" t="s">
        <v>17</v>
      </c>
      <c r="F34" s="9" t="s">
        <v>962</v>
      </c>
      <c r="G34" s="9"/>
      <c r="H34" s="9"/>
      <c r="I34" s="7"/>
      <c r="J34" s="7"/>
      <c r="K34" s="7"/>
      <c r="L34" s="7"/>
      <c r="M34" s="122"/>
      <c r="N34" s="122"/>
      <c r="O34" s="122"/>
      <c r="P34" s="96"/>
      <c r="Q34" s="7"/>
      <c r="R34" s="93">
        <v>0.54862255127722548</v>
      </c>
      <c r="S34" s="93">
        <v>22.137822580645185</v>
      </c>
      <c r="T34" s="122" t="s">
        <v>1518</v>
      </c>
      <c r="U34" s="7"/>
      <c r="V34" s="7"/>
      <c r="W34" s="122" t="s">
        <v>1518</v>
      </c>
      <c r="X34" s="122"/>
      <c r="Y34" s="122"/>
      <c r="Z34" s="7"/>
      <c r="AA34" s="7"/>
      <c r="AB34" s="7"/>
      <c r="AC34" s="7"/>
      <c r="AD34" s="7"/>
      <c r="AE34" s="7">
        <v>1</v>
      </c>
      <c r="AF34" s="7"/>
      <c r="AG34" s="7"/>
      <c r="AH34" s="7"/>
      <c r="AI34" s="7"/>
      <c r="AJ34" s="7"/>
      <c r="AK34" s="7">
        <v>1</v>
      </c>
      <c r="AL34" s="7"/>
      <c r="AM34" s="16">
        <v>44540</v>
      </c>
      <c r="AN34" s="4"/>
      <c r="AO34" s="4" t="s">
        <v>177</v>
      </c>
      <c r="AP34" s="4"/>
      <c r="AQ34" s="4"/>
      <c r="AR34" s="4"/>
      <c r="AS34" s="11">
        <v>450</v>
      </c>
      <c r="AT34" s="11"/>
      <c r="AU34" s="11"/>
      <c r="AV34" s="11"/>
      <c r="AW34" s="4"/>
      <c r="AX34" s="4">
        <f t="shared" si="3"/>
        <v>2</v>
      </c>
      <c r="AY34" s="93"/>
      <c r="AZ34" s="4">
        <v>3</v>
      </c>
    </row>
    <row r="35" spans="1:52" s="56" customFormat="1" ht="14.25" customHeight="1" x14ac:dyDescent="0.25">
      <c r="B35" s="115" t="s">
        <v>909</v>
      </c>
      <c r="C35" s="199" t="s">
        <v>1056</v>
      </c>
      <c r="D35" s="54" t="s">
        <v>4</v>
      </c>
      <c r="E35" s="8" t="s">
        <v>29</v>
      </c>
      <c r="F35" s="8">
        <v>12</v>
      </c>
      <c r="G35" s="8">
        <v>15</v>
      </c>
      <c r="H35" s="8"/>
      <c r="I35" s="50">
        <v>6</v>
      </c>
      <c r="J35" s="50"/>
      <c r="K35" s="50"/>
      <c r="L35" s="50" t="s">
        <v>14</v>
      </c>
      <c r="M35" s="123"/>
      <c r="N35" s="123"/>
      <c r="O35" s="123"/>
      <c r="P35" s="97"/>
      <c r="Q35" s="55">
        <v>0.3</v>
      </c>
      <c r="R35" s="93">
        <v>16.552595829761422</v>
      </c>
      <c r="S35" s="93">
        <v>218.6711904761903</v>
      </c>
      <c r="T35" s="123" t="s">
        <v>1518</v>
      </c>
      <c r="U35" s="50"/>
      <c r="V35" s="50"/>
      <c r="W35" s="123"/>
      <c r="X35" s="123"/>
      <c r="Y35" s="123" t="s">
        <v>1518</v>
      </c>
      <c r="Z35" s="50"/>
      <c r="AA35" s="50">
        <v>1</v>
      </c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16">
        <v>44169</v>
      </c>
      <c r="AN35" s="51"/>
      <c r="AO35" s="6" t="s">
        <v>999</v>
      </c>
      <c r="AP35" s="4" t="s">
        <v>143</v>
      </c>
      <c r="AQ35" s="53"/>
      <c r="AR35" s="51"/>
      <c r="AS35" s="53">
        <v>200</v>
      </c>
      <c r="AT35" s="53">
        <v>400</v>
      </c>
      <c r="AU35" s="53"/>
      <c r="AV35" s="53"/>
      <c r="AW35" s="203"/>
      <c r="AX35" s="4">
        <f t="shared" si="3"/>
        <v>1</v>
      </c>
      <c r="AY35" s="94"/>
      <c r="AZ35" s="51">
        <v>0.4</v>
      </c>
    </row>
    <row r="36" spans="1:52" s="56" customFormat="1" ht="14.25" customHeight="1" x14ac:dyDescent="0.25">
      <c r="B36" s="115" t="s">
        <v>910</v>
      </c>
      <c r="C36" s="199" t="s">
        <v>1056</v>
      </c>
      <c r="D36" s="54" t="s">
        <v>4</v>
      </c>
      <c r="E36" s="8" t="s">
        <v>29</v>
      </c>
      <c r="F36" s="9">
        <v>12</v>
      </c>
      <c r="G36" s="9">
        <v>15</v>
      </c>
      <c r="H36" s="9"/>
      <c r="I36" s="50">
        <v>6</v>
      </c>
      <c r="J36" s="50"/>
      <c r="K36" s="50"/>
      <c r="L36" s="50" t="s">
        <v>120</v>
      </c>
      <c r="M36" s="123"/>
      <c r="N36" s="123"/>
      <c r="O36" s="123"/>
      <c r="P36" s="97"/>
      <c r="Q36" s="55">
        <v>0.3</v>
      </c>
      <c r="R36" s="93">
        <v>24.82889374464213</v>
      </c>
      <c r="S36" s="93">
        <v>328.00678571428546</v>
      </c>
      <c r="T36" s="123" t="s">
        <v>1518</v>
      </c>
      <c r="U36" s="50"/>
      <c r="V36" s="50"/>
      <c r="W36" s="123"/>
      <c r="X36" s="123"/>
      <c r="Y36" s="123" t="s">
        <v>1518</v>
      </c>
      <c r="Z36" s="50"/>
      <c r="AA36" s="50">
        <v>1</v>
      </c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16">
        <v>44169</v>
      </c>
      <c r="AN36" s="51"/>
      <c r="AO36" s="6" t="s">
        <v>999</v>
      </c>
      <c r="AP36" s="4" t="s">
        <v>143</v>
      </c>
      <c r="AQ36" s="53"/>
      <c r="AR36" s="51"/>
      <c r="AS36" s="53">
        <v>200</v>
      </c>
      <c r="AT36" s="53">
        <v>400</v>
      </c>
      <c r="AU36" s="53"/>
      <c r="AV36" s="53"/>
      <c r="AW36" s="203"/>
      <c r="AX36" s="4">
        <f t="shared" si="3"/>
        <v>1</v>
      </c>
      <c r="AY36" s="94"/>
      <c r="AZ36" s="51">
        <v>0.6</v>
      </c>
    </row>
    <row r="37" spans="1:52" ht="14.25" customHeight="1" x14ac:dyDescent="0.25">
      <c r="B37" s="114" t="s">
        <v>129</v>
      </c>
      <c r="C37" s="6" t="s">
        <v>1057</v>
      </c>
      <c r="D37" s="8" t="s">
        <v>4</v>
      </c>
      <c r="E37" s="8" t="s">
        <v>29</v>
      </c>
      <c r="F37" s="9">
        <v>5</v>
      </c>
      <c r="G37" s="9">
        <v>15</v>
      </c>
      <c r="H37" s="9"/>
      <c r="I37" s="7"/>
      <c r="J37" s="7"/>
      <c r="K37" s="7"/>
      <c r="L37" s="7" t="s">
        <v>14</v>
      </c>
      <c r="M37" s="122"/>
      <c r="N37" s="122"/>
      <c r="O37" s="122"/>
      <c r="P37" s="96"/>
      <c r="Q37" s="14">
        <v>0.3</v>
      </c>
      <c r="R37" s="93">
        <v>10.422378196942493</v>
      </c>
      <c r="S37" s="93">
        <v>450.70480257996991</v>
      </c>
      <c r="T37" s="122" t="s">
        <v>1518</v>
      </c>
      <c r="U37" s="7"/>
      <c r="V37" s="7"/>
      <c r="W37" s="122"/>
      <c r="X37" s="122"/>
      <c r="Y37" s="122" t="s">
        <v>1518</v>
      </c>
      <c r="Z37" s="7"/>
      <c r="AA37" s="7"/>
      <c r="AB37" s="7"/>
      <c r="AC37" s="7">
        <v>1</v>
      </c>
      <c r="AD37" s="7"/>
      <c r="AE37" s="7"/>
      <c r="AF37" s="7"/>
      <c r="AG37" s="7"/>
      <c r="AH37" s="7"/>
      <c r="AI37" s="7"/>
      <c r="AJ37" s="7"/>
      <c r="AK37" s="7"/>
      <c r="AL37" s="7"/>
      <c r="AM37" s="16">
        <v>44169</v>
      </c>
      <c r="AN37" s="4"/>
      <c r="AO37" s="6" t="s">
        <v>1012</v>
      </c>
      <c r="AP37" s="4" t="s">
        <v>131</v>
      </c>
      <c r="AQ37" s="4"/>
      <c r="AR37" s="4"/>
      <c r="AS37" s="11">
        <v>80</v>
      </c>
      <c r="AT37" s="11">
        <v>800</v>
      </c>
      <c r="AU37" s="11"/>
      <c r="AV37" s="11"/>
      <c r="AW37" s="4"/>
      <c r="AX37" s="4">
        <f t="shared" si="3"/>
        <v>1</v>
      </c>
      <c r="AY37" s="93">
        <v>1</v>
      </c>
      <c r="AZ37" s="4">
        <v>4.5</v>
      </c>
    </row>
    <row r="38" spans="1:52" s="2" customFormat="1" ht="14.25" customHeight="1" x14ac:dyDescent="0.25">
      <c r="A38" s="2">
        <v>1</v>
      </c>
      <c r="B38" s="114" t="s">
        <v>132</v>
      </c>
      <c r="C38" s="6" t="s">
        <v>1058</v>
      </c>
      <c r="D38" s="8" t="s">
        <v>4</v>
      </c>
      <c r="E38" s="8" t="s">
        <v>29</v>
      </c>
      <c r="F38" s="9">
        <v>2</v>
      </c>
      <c r="G38" s="9">
        <v>2</v>
      </c>
      <c r="H38" s="9"/>
      <c r="I38" s="7"/>
      <c r="J38" s="7">
        <v>6</v>
      </c>
      <c r="K38" s="7"/>
      <c r="L38" s="7"/>
      <c r="M38" s="122"/>
      <c r="N38" s="122"/>
      <c r="O38" s="122"/>
      <c r="P38" s="96"/>
      <c r="Q38" s="7"/>
      <c r="R38" s="93">
        <v>1.5964961622092819</v>
      </c>
      <c r="S38" s="93">
        <v>1440.3256100199992</v>
      </c>
      <c r="T38" s="122" t="s">
        <v>1518</v>
      </c>
      <c r="U38" s="7"/>
      <c r="V38" s="7"/>
      <c r="W38" s="122" t="s">
        <v>1518</v>
      </c>
      <c r="X38" s="122"/>
      <c r="Y38" s="122"/>
      <c r="Z38" s="7"/>
      <c r="AA38" s="7">
        <v>1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2"/>
      <c r="AM38" s="16">
        <v>45232</v>
      </c>
      <c r="AN38" s="5"/>
      <c r="AO38" s="11" t="s">
        <v>133</v>
      </c>
      <c r="AP38" s="6" t="s">
        <v>1006</v>
      </c>
      <c r="AQ38" s="6" t="s">
        <v>1007</v>
      </c>
      <c r="AR38" s="4"/>
      <c r="AS38" s="11">
        <v>7.5</v>
      </c>
      <c r="AT38" s="11">
        <v>7.5</v>
      </c>
      <c r="AU38" s="11">
        <v>22.5</v>
      </c>
      <c r="AV38" s="11"/>
      <c r="AW38" s="5"/>
      <c r="AX38" s="4">
        <f t="shared" si="3"/>
        <v>1</v>
      </c>
      <c r="AY38" s="93"/>
      <c r="AZ38" s="5">
        <v>1.2</v>
      </c>
    </row>
    <row r="39" spans="1:52" ht="14.25" customHeight="1" x14ac:dyDescent="0.25">
      <c r="B39" s="114" t="s">
        <v>134</v>
      </c>
      <c r="C39" s="6" t="s">
        <v>1661</v>
      </c>
      <c r="D39" s="8" t="s">
        <v>4</v>
      </c>
      <c r="E39" s="8" t="s">
        <v>17</v>
      </c>
      <c r="F39" s="9">
        <v>2</v>
      </c>
      <c r="G39" s="9">
        <v>4</v>
      </c>
      <c r="H39" s="9">
        <v>4</v>
      </c>
      <c r="I39" s="7"/>
      <c r="J39" s="7">
        <v>6</v>
      </c>
      <c r="K39" s="7"/>
      <c r="L39" s="7"/>
      <c r="M39" s="122"/>
      <c r="N39" s="122"/>
      <c r="O39" s="122"/>
      <c r="P39" s="96"/>
      <c r="Q39" s="7"/>
      <c r="R39" s="93">
        <v>0.69181470805443745</v>
      </c>
      <c r="S39" s="93">
        <v>338.92420603333812</v>
      </c>
      <c r="T39" s="122" t="s">
        <v>1518</v>
      </c>
      <c r="U39" s="7"/>
      <c r="V39" s="7"/>
      <c r="W39" s="122" t="s">
        <v>1518</v>
      </c>
      <c r="X39" s="122"/>
      <c r="Y39" s="122"/>
      <c r="Z39" s="7"/>
      <c r="AA39" s="7">
        <v>1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6">
        <v>44169</v>
      </c>
      <c r="AN39" s="4"/>
      <c r="AO39" s="6" t="s">
        <v>1010</v>
      </c>
      <c r="AP39" s="11" t="s">
        <v>215</v>
      </c>
      <c r="AQ39" s="6" t="s">
        <v>126</v>
      </c>
      <c r="AR39" s="4"/>
      <c r="AS39" s="79">
        <v>2.5</v>
      </c>
      <c r="AT39" s="11">
        <v>144</v>
      </c>
      <c r="AU39" s="11">
        <v>80</v>
      </c>
      <c r="AV39" s="11"/>
      <c r="AW39" s="4"/>
      <c r="AX39" s="4">
        <f t="shared" si="3"/>
        <v>1</v>
      </c>
      <c r="AY39" s="93">
        <v>1</v>
      </c>
      <c r="AZ39" s="4">
        <v>1.5</v>
      </c>
    </row>
    <row r="40" spans="1:52" ht="14.25" customHeight="1" x14ac:dyDescent="0.25">
      <c r="B40" s="114" t="s">
        <v>135</v>
      </c>
      <c r="C40" s="6" t="s">
        <v>1059</v>
      </c>
      <c r="D40" s="8" t="s">
        <v>4</v>
      </c>
      <c r="E40" s="8" t="s">
        <v>13</v>
      </c>
      <c r="F40" s="9">
        <v>2</v>
      </c>
      <c r="G40" s="9">
        <v>2</v>
      </c>
      <c r="H40" s="9">
        <v>27</v>
      </c>
      <c r="I40" s="7"/>
      <c r="J40" s="7">
        <v>6</v>
      </c>
      <c r="K40" s="7"/>
      <c r="L40" s="7"/>
      <c r="M40" s="122" t="s">
        <v>1518</v>
      </c>
      <c r="N40" s="122" t="s">
        <v>1518</v>
      </c>
      <c r="O40" s="122"/>
      <c r="P40" s="96" t="s">
        <v>136</v>
      </c>
      <c r="Q40" s="14">
        <v>0.3</v>
      </c>
      <c r="R40" s="93">
        <v>3.7634448658520583</v>
      </c>
      <c r="S40" s="93">
        <v>4874.2996994359928</v>
      </c>
      <c r="T40" s="122" t="s">
        <v>1518</v>
      </c>
      <c r="U40" s="7"/>
      <c r="V40" s="7"/>
      <c r="W40" s="122"/>
      <c r="X40" s="122"/>
      <c r="Y40" s="122"/>
      <c r="Z40" s="7"/>
      <c r="AA40" s="7"/>
      <c r="AB40" s="7"/>
      <c r="AC40" s="7"/>
      <c r="AD40" s="7">
        <v>3</v>
      </c>
      <c r="AE40" s="7"/>
      <c r="AF40" s="7"/>
      <c r="AG40" s="7"/>
      <c r="AH40" s="7"/>
      <c r="AI40" s="7"/>
      <c r="AJ40" s="7"/>
      <c r="AK40" s="7"/>
      <c r="AL40" s="7"/>
      <c r="AM40" s="16">
        <v>44169</v>
      </c>
      <c r="AN40" s="4"/>
      <c r="AO40" s="4" t="s">
        <v>137</v>
      </c>
      <c r="AP40" s="4" t="s">
        <v>138</v>
      </c>
      <c r="AQ40" s="6" t="s">
        <v>989</v>
      </c>
      <c r="AR40" s="4"/>
      <c r="AS40" s="11">
        <v>120</v>
      </c>
      <c r="AT40" s="11">
        <v>30</v>
      </c>
      <c r="AU40" s="11">
        <v>360</v>
      </c>
      <c r="AV40" s="11"/>
      <c r="AW40" s="4" t="s">
        <v>1824</v>
      </c>
      <c r="AX40" s="4">
        <f t="shared" si="3"/>
        <v>3</v>
      </c>
      <c r="AY40" s="93">
        <v>1</v>
      </c>
      <c r="AZ40" s="4">
        <v>0.33</v>
      </c>
    </row>
    <row r="41" spans="1:52" ht="14.25" customHeight="1" x14ac:dyDescent="0.25">
      <c r="B41" s="114" t="s">
        <v>139</v>
      </c>
      <c r="C41" s="6" t="s">
        <v>1662</v>
      </c>
      <c r="D41" s="9" t="s">
        <v>4</v>
      </c>
      <c r="E41" s="9" t="s">
        <v>26</v>
      </c>
      <c r="F41" s="9">
        <v>5</v>
      </c>
      <c r="G41" s="9"/>
      <c r="H41" s="9"/>
      <c r="I41" s="7">
        <v>6</v>
      </c>
      <c r="J41" s="7"/>
      <c r="K41" s="7"/>
      <c r="L41" s="7"/>
      <c r="M41" s="122"/>
      <c r="N41" s="122"/>
      <c r="O41" s="122"/>
      <c r="P41" s="96"/>
      <c r="Q41" s="14">
        <v>0.3</v>
      </c>
      <c r="R41" s="93">
        <v>6.5353438798201555</v>
      </c>
      <c r="S41" s="93">
        <v>266.88375000000008</v>
      </c>
      <c r="T41" s="122" t="s">
        <v>1518</v>
      </c>
      <c r="U41" s="7"/>
      <c r="V41" s="7"/>
      <c r="W41" s="124"/>
      <c r="X41" s="124"/>
      <c r="Y41" s="124"/>
      <c r="Z41" s="12"/>
      <c r="AA41" s="7">
        <v>1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6">
        <v>44169</v>
      </c>
      <c r="AN41" s="4"/>
      <c r="AO41" s="6" t="s">
        <v>1037</v>
      </c>
      <c r="AP41" s="4"/>
      <c r="AQ41" s="4"/>
      <c r="AR41" s="4"/>
      <c r="AS41" s="11">
        <v>700</v>
      </c>
      <c r="AT41" s="11"/>
      <c r="AU41" s="11"/>
      <c r="AV41" s="11"/>
      <c r="AW41" s="4"/>
      <c r="AX41" s="4">
        <f t="shared" si="3"/>
        <v>1</v>
      </c>
      <c r="AY41" s="93"/>
      <c r="AZ41" s="4">
        <v>3</v>
      </c>
    </row>
    <row r="42" spans="1:52" ht="14.25" customHeight="1" x14ac:dyDescent="0.25">
      <c r="B42" s="114" t="s">
        <v>140</v>
      </c>
      <c r="C42" s="6" t="s">
        <v>1060</v>
      </c>
      <c r="D42" s="8" t="s">
        <v>4</v>
      </c>
      <c r="E42" s="7" t="s">
        <v>19</v>
      </c>
      <c r="F42" s="9">
        <v>2</v>
      </c>
      <c r="G42" s="9">
        <v>4</v>
      </c>
      <c r="H42" s="9" t="s">
        <v>962</v>
      </c>
      <c r="I42" s="7"/>
      <c r="J42" s="7"/>
      <c r="K42" s="7"/>
      <c r="L42" s="7"/>
      <c r="M42" s="122" t="s">
        <v>1518</v>
      </c>
      <c r="N42" s="122" t="s">
        <v>1518</v>
      </c>
      <c r="O42" s="122"/>
      <c r="P42" s="96"/>
      <c r="Q42" s="7"/>
      <c r="R42" s="93">
        <v>0.10176016834537827</v>
      </c>
      <c r="S42" s="93">
        <v>83.632109950859942</v>
      </c>
      <c r="T42" s="122" t="s">
        <v>1518</v>
      </c>
      <c r="U42" s="7"/>
      <c r="V42" s="7"/>
      <c r="W42" s="122" t="s">
        <v>1518</v>
      </c>
      <c r="X42" s="122"/>
      <c r="Y42" s="122"/>
      <c r="Z42" s="7"/>
      <c r="AA42" s="7"/>
      <c r="AB42" s="7"/>
      <c r="AC42" s="7"/>
      <c r="AD42" s="7">
        <v>1</v>
      </c>
      <c r="AE42" s="7"/>
      <c r="AF42" s="7"/>
      <c r="AG42" s="7"/>
      <c r="AH42" s="7"/>
      <c r="AI42" s="7"/>
      <c r="AJ42" s="7"/>
      <c r="AK42" s="7"/>
      <c r="AL42" s="7"/>
      <c r="AM42" s="16">
        <v>44169</v>
      </c>
      <c r="AN42" s="4"/>
      <c r="AO42" s="4" t="s">
        <v>141</v>
      </c>
      <c r="AP42" s="4" t="s">
        <v>142</v>
      </c>
      <c r="AQ42" s="4"/>
      <c r="AR42" s="4"/>
      <c r="AS42" s="11">
        <v>250</v>
      </c>
      <c r="AT42" s="11">
        <v>500</v>
      </c>
      <c r="AU42" s="11"/>
      <c r="AV42" s="11"/>
      <c r="AW42" s="4"/>
      <c r="AX42" s="4">
        <f t="shared" si="3"/>
        <v>1</v>
      </c>
      <c r="AY42" s="93">
        <v>1</v>
      </c>
      <c r="AZ42" s="4">
        <v>0.2</v>
      </c>
    </row>
    <row r="43" spans="1:52" ht="14.25" customHeight="1" x14ac:dyDescent="0.25">
      <c r="B43" s="114" t="s">
        <v>928</v>
      </c>
      <c r="C43" s="6" t="s">
        <v>1061</v>
      </c>
      <c r="D43" s="7" t="s">
        <v>4</v>
      </c>
      <c r="E43" s="8" t="s">
        <v>21</v>
      </c>
      <c r="F43" s="9">
        <v>5</v>
      </c>
      <c r="G43" s="9">
        <v>15</v>
      </c>
      <c r="H43" s="9"/>
      <c r="I43" s="7"/>
      <c r="J43" s="7"/>
      <c r="K43" s="7"/>
      <c r="L43" s="7" t="s">
        <v>14</v>
      </c>
      <c r="M43" s="122"/>
      <c r="N43" s="122"/>
      <c r="O43" s="122"/>
      <c r="P43" s="96"/>
      <c r="Q43" s="14">
        <v>0.3</v>
      </c>
      <c r="R43" s="93">
        <v>8.1398986909016156</v>
      </c>
      <c r="S43" s="93">
        <v>247.0008831168829</v>
      </c>
      <c r="T43" s="122" t="s">
        <v>1518</v>
      </c>
      <c r="U43" s="7"/>
      <c r="V43" s="7"/>
      <c r="W43" s="122"/>
      <c r="X43" s="122"/>
      <c r="Y43" s="122" t="s">
        <v>1518</v>
      </c>
      <c r="Z43" s="7"/>
      <c r="AA43" s="7">
        <v>1</v>
      </c>
      <c r="AB43" s="7"/>
      <c r="AC43" s="7"/>
      <c r="AD43" s="7"/>
      <c r="AE43" s="7"/>
      <c r="AF43" s="7"/>
      <c r="AG43" s="7"/>
      <c r="AH43" s="7">
        <v>1</v>
      </c>
      <c r="AI43" s="7"/>
      <c r="AJ43" s="7"/>
      <c r="AK43" s="7"/>
      <c r="AL43" s="7"/>
      <c r="AM43" s="16">
        <v>44169</v>
      </c>
      <c r="AN43" s="4"/>
      <c r="AO43" s="6" t="s">
        <v>1012</v>
      </c>
      <c r="AP43" s="4" t="s">
        <v>143</v>
      </c>
      <c r="AQ43" s="4"/>
      <c r="AR43" s="4"/>
      <c r="AS43" s="11">
        <v>175</v>
      </c>
      <c r="AT43" s="11">
        <v>240</v>
      </c>
      <c r="AU43" s="11"/>
      <c r="AV43" s="11"/>
      <c r="AW43" s="4"/>
      <c r="AX43" s="4">
        <f t="shared" si="3"/>
        <v>2</v>
      </c>
      <c r="AY43" s="93"/>
      <c r="AZ43" s="4">
        <v>0.8</v>
      </c>
    </row>
    <row r="44" spans="1:52" ht="14.25" customHeight="1" x14ac:dyDescent="0.25">
      <c r="B44" s="114" t="s">
        <v>929</v>
      </c>
      <c r="C44" s="6" t="s">
        <v>1061</v>
      </c>
      <c r="D44" s="9" t="s">
        <v>4</v>
      </c>
      <c r="E44" s="8" t="s">
        <v>21</v>
      </c>
      <c r="F44" s="9">
        <v>5</v>
      </c>
      <c r="G44" s="9">
        <v>15</v>
      </c>
      <c r="H44" s="9"/>
      <c r="I44" s="7">
        <v>20</v>
      </c>
      <c r="J44" s="7"/>
      <c r="K44" s="7"/>
      <c r="L44" s="7" t="s">
        <v>120</v>
      </c>
      <c r="M44" s="122"/>
      <c r="N44" s="122"/>
      <c r="O44" s="122"/>
      <c r="P44" s="96"/>
      <c r="Q44" s="14">
        <v>0.3</v>
      </c>
      <c r="R44" s="93">
        <v>10.17487336362702</v>
      </c>
      <c r="S44" s="93">
        <v>308.75110389610359</v>
      </c>
      <c r="T44" s="122" t="s">
        <v>1518</v>
      </c>
      <c r="U44" s="7"/>
      <c r="V44" s="7"/>
      <c r="W44" s="122"/>
      <c r="X44" s="122"/>
      <c r="Y44" s="122" t="s">
        <v>1518</v>
      </c>
      <c r="Z44" s="7"/>
      <c r="AA44" s="7"/>
      <c r="AB44" s="7"/>
      <c r="AC44" s="7">
        <v>1</v>
      </c>
      <c r="AD44" s="7"/>
      <c r="AE44" s="7"/>
      <c r="AF44" s="7"/>
      <c r="AG44" s="7"/>
      <c r="AH44" s="7">
        <v>1</v>
      </c>
      <c r="AI44" s="7"/>
      <c r="AJ44" s="7"/>
      <c r="AK44" s="7"/>
      <c r="AL44" s="7"/>
      <c r="AM44" s="16">
        <v>44169</v>
      </c>
      <c r="AN44" s="4"/>
      <c r="AO44" s="6" t="s">
        <v>1012</v>
      </c>
      <c r="AP44" s="4" t="s">
        <v>143</v>
      </c>
      <c r="AQ44" s="4"/>
      <c r="AR44" s="4"/>
      <c r="AS44" s="11">
        <v>175</v>
      </c>
      <c r="AT44" s="11">
        <v>240</v>
      </c>
      <c r="AU44" s="11"/>
      <c r="AV44" s="11"/>
      <c r="AW44" s="4"/>
      <c r="AX44" s="4">
        <f t="shared" si="3"/>
        <v>2</v>
      </c>
      <c r="AY44" s="93"/>
      <c r="AZ44" s="4">
        <v>1</v>
      </c>
    </row>
    <row r="45" spans="1:52" ht="14.25" customHeight="1" x14ac:dyDescent="0.25">
      <c r="B45" s="114" t="s">
        <v>930</v>
      </c>
      <c r="C45" s="6" t="s">
        <v>1061</v>
      </c>
      <c r="D45" s="9" t="s">
        <v>4</v>
      </c>
      <c r="E45" s="8" t="s">
        <v>21</v>
      </c>
      <c r="F45" s="9">
        <v>5</v>
      </c>
      <c r="G45" s="9">
        <v>15</v>
      </c>
      <c r="H45" s="9"/>
      <c r="I45" s="7">
        <v>20</v>
      </c>
      <c r="J45" s="7"/>
      <c r="K45" s="7"/>
      <c r="L45" s="7" t="s">
        <v>80</v>
      </c>
      <c r="M45" s="122"/>
      <c r="N45" s="122"/>
      <c r="O45" s="122"/>
      <c r="P45" s="96"/>
      <c r="Q45" s="14">
        <v>0.3</v>
      </c>
      <c r="R45" s="93">
        <v>25.437183409067551</v>
      </c>
      <c r="S45" s="93">
        <v>771.87775974025908</v>
      </c>
      <c r="T45" s="122" t="s">
        <v>1518</v>
      </c>
      <c r="U45" s="7"/>
      <c r="V45" s="7"/>
      <c r="W45" s="122"/>
      <c r="X45" s="122"/>
      <c r="Y45" s="122" t="s">
        <v>1518</v>
      </c>
      <c r="Z45" s="7"/>
      <c r="AA45" s="7"/>
      <c r="AB45" s="7"/>
      <c r="AC45" s="7">
        <v>1</v>
      </c>
      <c r="AD45" s="7"/>
      <c r="AE45" s="7"/>
      <c r="AF45" s="7"/>
      <c r="AG45" s="7"/>
      <c r="AH45" s="7">
        <v>1</v>
      </c>
      <c r="AI45" s="7"/>
      <c r="AJ45" s="7"/>
      <c r="AK45" s="7"/>
      <c r="AL45" s="7"/>
      <c r="AM45" s="16">
        <v>44169</v>
      </c>
      <c r="AN45" s="4"/>
      <c r="AO45" s="6" t="s">
        <v>1012</v>
      </c>
      <c r="AP45" s="4" t="s">
        <v>143</v>
      </c>
      <c r="AQ45" s="4"/>
      <c r="AR45" s="4"/>
      <c r="AS45" s="11">
        <v>175</v>
      </c>
      <c r="AT45" s="11">
        <v>240</v>
      </c>
      <c r="AU45" s="11"/>
      <c r="AV45" s="11"/>
      <c r="AW45" s="4"/>
      <c r="AX45" s="4">
        <f t="shared" si="3"/>
        <v>2</v>
      </c>
      <c r="AY45" s="93"/>
      <c r="AZ45" s="4">
        <v>2.5</v>
      </c>
    </row>
    <row r="46" spans="1:52" ht="24" customHeight="1" x14ac:dyDescent="0.25">
      <c r="B46" s="114" t="s">
        <v>144</v>
      </c>
      <c r="C46" s="6" t="s">
        <v>1062</v>
      </c>
      <c r="D46" s="8" t="s">
        <v>4</v>
      </c>
      <c r="E46" s="8" t="s">
        <v>21</v>
      </c>
      <c r="F46" s="9">
        <v>5</v>
      </c>
      <c r="G46" s="9">
        <v>15</v>
      </c>
      <c r="H46" s="9"/>
      <c r="I46" s="7">
        <v>6</v>
      </c>
      <c r="J46" s="7"/>
      <c r="K46" s="7"/>
      <c r="L46" s="7" t="s">
        <v>14</v>
      </c>
      <c r="M46" s="122" t="s">
        <v>1518</v>
      </c>
      <c r="N46" s="122" t="s">
        <v>1518</v>
      </c>
      <c r="O46" s="122" t="s">
        <v>1518</v>
      </c>
      <c r="P46" s="96" t="s">
        <v>1500</v>
      </c>
      <c r="Q46" s="14">
        <v>0.3</v>
      </c>
      <c r="R46" s="93">
        <v>8.3049538945833827</v>
      </c>
      <c r="S46" s="93">
        <v>307.77006675567441</v>
      </c>
      <c r="T46" s="122" t="s">
        <v>1518</v>
      </c>
      <c r="U46" s="7"/>
      <c r="V46" s="7"/>
      <c r="W46" s="122"/>
      <c r="X46" s="122"/>
      <c r="Y46" s="122" t="s">
        <v>1518</v>
      </c>
      <c r="Z46" s="7"/>
      <c r="AA46" s="7"/>
      <c r="AB46" s="7"/>
      <c r="AC46" s="7"/>
      <c r="AD46" s="7">
        <v>3</v>
      </c>
      <c r="AE46" s="7"/>
      <c r="AF46" s="7"/>
      <c r="AG46" s="7"/>
      <c r="AH46" s="7"/>
      <c r="AI46" s="7"/>
      <c r="AJ46" s="7"/>
      <c r="AK46" s="7"/>
      <c r="AL46" s="7"/>
      <c r="AM46" s="16">
        <v>44169</v>
      </c>
      <c r="AN46" s="4"/>
      <c r="AO46" s="4" t="s">
        <v>121</v>
      </c>
      <c r="AP46" s="4" t="s">
        <v>143</v>
      </c>
      <c r="AQ46" s="4"/>
      <c r="AR46" s="4"/>
      <c r="AS46" s="11">
        <v>333</v>
      </c>
      <c r="AT46" s="11">
        <v>200</v>
      </c>
      <c r="AU46" s="11"/>
      <c r="AV46" s="11"/>
      <c r="AW46" s="4" t="s">
        <v>1824</v>
      </c>
      <c r="AX46" s="4">
        <f t="shared" si="3"/>
        <v>3</v>
      </c>
      <c r="AY46" s="93"/>
      <c r="AZ46" s="4">
        <v>1</v>
      </c>
    </row>
    <row r="47" spans="1:52" ht="24" customHeight="1" x14ac:dyDescent="0.25">
      <c r="B47" s="114" t="s">
        <v>145</v>
      </c>
      <c r="C47" s="6" t="s">
        <v>1062</v>
      </c>
      <c r="D47" s="8" t="s">
        <v>4</v>
      </c>
      <c r="E47" s="8" t="s">
        <v>21</v>
      </c>
      <c r="F47" s="9">
        <v>5</v>
      </c>
      <c r="G47" s="9">
        <v>15</v>
      </c>
      <c r="H47" s="9"/>
      <c r="I47" s="7">
        <v>6</v>
      </c>
      <c r="J47" s="7"/>
      <c r="K47" s="7"/>
      <c r="L47" s="7" t="s">
        <v>120</v>
      </c>
      <c r="M47" s="122" t="s">
        <v>1518</v>
      </c>
      <c r="N47" s="122" t="s">
        <v>1518</v>
      </c>
      <c r="O47" s="122" t="s">
        <v>1518</v>
      </c>
      <c r="P47" s="96" t="s">
        <v>1500</v>
      </c>
      <c r="Q47" s="14">
        <v>0.3</v>
      </c>
      <c r="R47" s="93">
        <v>12.457430841875073</v>
      </c>
      <c r="S47" s="93">
        <v>461.65510013351161</v>
      </c>
      <c r="T47" s="122" t="s">
        <v>1518</v>
      </c>
      <c r="U47" s="7"/>
      <c r="V47" s="7"/>
      <c r="W47" s="122"/>
      <c r="X47" s="122"/>
      <c r="Y47" s="122" t="s">
        <v>1518</v>
      </c>
      <c r="Z47" s="7"/>
      <c r="AA47" s="7"/>
      <c r="AB47" s="7"/>
      <c r="AC47" s="7"/>
      <c r="AD47" s="7">
        <v>3</v>
      </c>
      <c r="AE47" s="7"/>
      <c r="AF47" s="7"/>
      <c r="AG47" s="7"/>
      <c r="AH47" s="7"/>
      <c r="AI47" s="7"/>
      <c r="AJ47" s="7"/>
      <c r="AK47" s="7"/>
      <c r="AL47" s="7"/>
      <c r="AM47" s="16">
        <v>44169</v>
      </c>
      <c r="AN47" s="4"/>
      <c r="AO47" s="4" t="s">
        <v>121</v>
      </c>
      <c r="AP47" s="4" t="s">
        <v>143</v>
      </c>
      <c r="AQ47" s="4"/>
      <c r="AR47" s="4"/>
      <c r="AS47" s="11">
        <v>333</v>
      </c>
      <c r="AT47" s="11">
        <v>200</v>
      </c>
      <c r="AU47" s="11"/>
      <c r="AV47" s="11"/>
      <c r="AW47" s="4" t="s">
        <v>1824</v>
      </c>
      <c r="AX47" s="4">
        <f t="shared" si="3"/>
        <v>3</v>
      </c>
      <c r="AY47" s="93"/>
      <c r="AZ47" s="4">
        <v>1.5</v>
      </c>
    </row>
    <row r="48" spans="1:52" ht="24" customHeight="1" x14ac:dyDescent="0.25">
      <c r="B48" s="114" t="s">
        <v>146</v>
      </c>
      <c r="C48" s="6" t="s">
        <v>1062</v>
      </c>
      <c r="D48" s="8" t="s">
        <v>4</v>
      </c>
      <c r="E48" s="8" t="s">
        <v>21</v>
      </c>
      <c r="F48" s="9">
        <v>5</v>
      </c>
      <c r="G48" s="9">
        <v>15</v>
      </c>
      <c r="H48" s="9"/>
      <c r="I48" s="7">
        <v>6</v>
      </c>
      <c r="J48" s="7"/>
      <c r="K48" s="7"/>
      <c r="L48" s="7" t="s">
        <v>80</v>
      </c>
      <c r="M48" s="122" t="s">
        <v>1518</v>
      </c>
      <c r="N48" s="122" t="s">
        <v>1518</v>
      </c>
      <c r="O48" s="122" t="s">
        <v>1518</v>
      </c>
      <c r="P48" s="96" t="s">
        <v>1500</v>
      </c>
      <c r="Q48" s="14">
        <v>0.3</v>
      </c>
      <c r="R48" s="93">
        <v>16.609907789166765</v>
      </c>
      <c r="S48" s="93">
        <v>615.54013351134881</v>
      </c>
      <c r="T48" s="122" t="s">
        <v>1518</v>
      </c>
      <c r="U48" s="7"/>
      <c r="V48" s="7"/>
      <c r="W48" s="122"/>
      <c r="X48" s="122"/>
      <c r="Y48" s="122" t="s">
        <v>1518</v>
      </c>
      <c r="Z48" s="7"/>
      <c r="AA48" s="7"/>
      <c r="AB48" s="7"/>
      <c r="AC48" s="7"/>
      <c r="AD48" s="7">
        <v>3</v>
      </c>
      <c r="AE48" s="7"/>
      <c r="AF48" s="7"/>
      <c r="AG48" s="7"/>
      <c r="AH48" s="7"/>
      <c r="AI48" s="7"/>
      <c r="AJ48" s="7"/>
      <c r="AK48" s="7"/>
      <c r="AL48" s="7"/>
      <c r="AM48" s="16">
        <v>44169</v>
      </c>
      <c r="AN48" s="4"/>
      <c r="AO48" s="4" t="s">
        <v>121</v>
      </c>
      <c r="AP48" s="4" t="s">
        <v>143</v>
      </c>
      <c r="AQ48" s="4"/>
      <c r="AR48" s="4"/>
      <c r="AS48" s="11">
        <v>333</v>
      </c>
      <c r="AT48" s="11">
        <v>200</v>
      </c>
      <c r="AU48" s="11"/>
      <c r="AV48" s="11"/>
      <c r="AW48" s="4" t="s">
        <v>1824</v>
      </c>
      <c r="AX48" s="4">
        <f t="shared" si="3"/>
        <v>3</v>
      </c>
      <c r="AY48" s="93"/>
      <c r="AZ48" s="4">
        <v>2</v>
      </c>
    </row>
    <row r="49" spans="1:52" ht="14.25" customHeight="1" x14ac:dyDescent="0.25">
      <c r="B49" s="114" t="s">
        <v>32</v>
      </c>
      <c r="C49" s="6" t="s">
        <v>1063</v>
      </c>
      <c r="D49" s="9" t="s">
        <v>3</v>
      </c>
      <c r="E49" s="8" t="s">
        <v>29</v>
      </c>
      <c r="F49" s="7">
        <v>5</v>
      </c>
      <c r="G49" s="7"/>
      <c r="H49" s="7"/>
      <c r="I49" s="7">
        <v>50</v>
      </c>
      <c r="J49" s="7"/>
      <c r="K49" s="7"/>
      <c r="L49" s="7" t="s">
        <v>14</v>
      </c>
      <c r="M49" s="122"/>
      <c r="N49" s="122"/>
      <c r="O49" s="122"/>
      <c r="P49" s="96"/>
      <c r="Q49" s="7"/>
      <c r="R49" s="93">
        <v>53.554505210370507</v>
      </c>
      <c r="S49" s="93">
        <v>0.27217663043478268</v>
      </c>
      <c r="T49" s="122" t="s">
        <v>1518</v>
      </c>
      <c r="U49" s="7"/>
      <c r="V49" s="7"/>
      <c r="W49" s="122"/>
      <c r="X49" s="122" t="s">
        <v>1518</v>
      </c>
      <c r="Y49" s="122" t="s">
        <v>1518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6">
        <v>44169</v>
      </c>
      <c r="AN49" s="4"/>
      <c r="AO49" s="6" t="s">
        <v>1013</v>
      </c>
      <c r="AP49" s="4"/>
      <c r="AQ49" s="4"/>
      <c r="AR49" s="4"/>
      <c r="AS49" s="11">
        <v>750</v>
      </c>
      <c r="AT49" s="11"/>
      <c r="AU49" s="11"/>
      <c r="AV49" s="11"/>
      <c r="AW49" s="4"/>
      <c r="AX49" s="4">
        <f t="shared" si="3"/>
        <v>0</v>
      </c>
      <c r="AY49" s="93">
        <v>1</v>
      </c>
      <c r="AZ49" s="4">
        <v>0.75</v>
      </c>
    </row>
    <row r="50" spans="1:52" ht="14.25" customHeight="1" x14ac:dyDescent="0.25">
      <c r="B50" s="114" t="s">
        <v>147</v>
      </c>
      <c r="C50" s="6" t="s">
        <v>1451</v>
      </c>
      <c r="D50" s="9" t="s">
        <v>4</v>
      </c>
      <c r="E50" s="9" t="s">
        <v>64</v>
      </c>
      <c r="F50" s="9">
        <v>18</v>
      </c>
      <c r="G50" s="9"/>
      <c r="H50" s="9"/>
      <c r="I50" s="7"/>
      <c r="J50" s="7"/>
      <c r="K50" s="7"/>
      <c r="L50" s="7"/>
      <c r="M50" s="122"/>
      <c r="N50" s="122"/>
      <c r="O50" s="122"/>
      <c r="P50" s="96"/>
      <c r="Q50" s="7"/>
      <c r="R50" s="93">
        <v>0.69129891228763585</v>
      </c>
      <c r="S50" s="93">
        <v>739.41818181818405</v>
      </c>
      <c r="T50" s="122" t="s">
        <v>1518</v>
      </c>
      <c r="U50" s="7"/>
      <c r="V50" s="7"/>
      <c r="W50" s="122"/>
      <c r="X50" s="122"/>
      <c r="Y50" s="122" t="s">
        <v>1518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>
        <v>1</v>
      </c>
      <c r="AM50" s="16">
        <v>44169</v>
      </c>
      <c r="AN50" s="4"/>
      <c r="AO50" s="6" t="s">
        <v>994</v>
      </c>
      <c r="AP50" s="4"/>
      <c r="AQ50" s="4"/>
      <c r="AR50" s="4"/>
      <c r="AS50" s="11">
        <v>400</v>
      </c>
      <c r="AT50" s="11"/>
      <c r="AU50" s="11"/>
      <c r="AV50" s="11"/>
      <c r="AW50" s="4"/>
      <c r="AX50" s="4">
        <f t="shared" si="3"/>
        <v>1</v>
      </c>
      <c r="AY50" s="93"/>
      <c r="AZ50" s="4">
        <v>4</v>
      </c>
    </row>
    <row r="51" spans="1:52" ht="14.25" customHeight="1" x14ac:dyDescent="0.25">
      <c r="B51" s="114" t="s">
        <v>1064</v>
      </c>
      <c r="C51" s="6" t="s">
        <v>1065</v>
      </c>
      <c r="D51" s="9" t="s">
        <v>4</v>
      </c>
      <c r="E51" s="8" t="s">
        <v>13</v>
      </c>
      <c r="F51" s="9">
        <v>18</v>
      </c>
      <c r="G51" s="9"/>
      <c r="H51" s="9"/>
      <c r="I51" s="7"/>
      <c r="J51" s="7"/>
      <c r="K51" s="7"/>
      <c r="L51" s="7"/>
      <c r="M51" s="122"/>
      <c r="N51" s="122"/>
      <c r="O51" s="122"/>
      <c r="P51" s="96"/>
      <c r="Q51" s="7"/>
      <c r="R51" s="93">
        <v>0.69129891228763585</v>
      </c>
      <c r="S51" s="93">
        <v>739.41818181818405</v>
      </c>
      <c r="T51" s="122" t="s">
        <v>1518</v>
      </c>
      <c r="U51" s="7"/>
      <c r="V51" s="7"/>
      <c r="W51" s="122"/>
      <c r="X51" s="122"/>
      <c r="Y51" s="122" t="s">
        <v>1518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>
        <v>1</v>
      </c>
      <c r="AM51" s="16">
        <v>44169</v>
      </c>
      <c r="AN51" s="4"/>
      <c r="AO51" s="6" t="s">
        <v>994</v>
      </c>
      <c r="AP51" s="4"/>
      <c r="AQ51" s="4"/>
      <c r="AR51" s="4"/>
      <c r="AS51" s="11">
        <v>400</v>
      </c>
      <c r="AT51" s="11"/>
      <c r="AU51" s="11"/>
      <c r="AV51" s="11"/>
      <c r="AW51" s="4"/>
      <c r="AX51" s="4">
        <f t="shared" si="3"/>
        <v>1</v>
      </c>
      <c r="AY51" s="93"/>
      <c r="AZ51" s="4">
        <v>4</v>
      </c>
    </row>
    <row r="52" spans="1:52" ht="14.25" customHeight="1" x14ac:dyDescent="0.25">
      <c r="B52" s="114" t="s">
        <v>1066</v>
      </c>
      <c r="C52" s="6" t="s">
        <v>1067</v>
      </c>
      <c r="D52" s="9" t="s">
        <v>4</v>
      </c>
      <c r="E52" s="9" t="s">
        <v>54</v>
      </c>
      <c r="F52" s="9">
        <v>18</v>
      </c>
      <c r="G52" s="9"/>
      <c r="H52" s="9"/>
      <c r="I52" s="7"/>
      <c r="J52" s="7"/>
      <c r="K52" s="7"/>
      <c r="L52" s="7"/>
      <c r="M52" s="122"/>
      <c r="N52" s="122"/>
      <c r="O52" s="122"/>
      <c r="P52" s="96"/>
      <c r="Q52" s="7"/>
      <c r="R52" s="93">
        <v>0.69129891228763585</v>
      </c>
      <c r="S52" s="93">
        <v>739.41818181818405</v>
      </c>
      <c r="T52" s="122" t="s">
        <v>1518</v>
      </c>
      <c r="U52" s="7"/>
      <c r="V52" s="7"/>
      <c r="W52" s="122"/>
      <c r="X52" s="122"/>
      <c r="Y52" s="122" t="s">
        <v>1518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>
        <v>1</v>
      </c>
      <c r="AM52" s="16">
        <v>44169</v>
      </c>
      <c r="AN52" s="4"/>
      <c r="AO52" s="6" t="s">
        <v>994</v>
      </c>
      <c r="AP52" s="4"/>
      <c r="AQ52" s="4"/>
      <c r="AR52" s="4"/>
      <c r="AS52" s="11">
        <v>400</v>
      </c>
      <c r="AT52" s="11"/>
      <c r="AU52" s="11"/>
      <c r="AV52" s="11"/>
      <c r="AW52" s="4"/>
      <c r="AX52" s="4">
        <f t="shared" si="3"/>
        <v>1</v>
      </c>
      <c r="AY52" s="93"/>
      <c r="AZ52" s="4">
        <v>4</v>
      </c>
    </row>
    <row r="53" spans="1:52" ht="14.25" customHeight="1" x14ac:dyDescent="0.25">
      <c r="B53" s="114" t="s">
        <v>148</v>
      </c>
      <c r="C53" s="6" t="s">
        <v>1068</v>
      </c>
      <c r="D53" s="9" t="s">
        <v>4</v>
      </c>
      <c r="E53" s="8" t="s">
        <v>29</v>
      </c>
      <c r="F53" s="9">
        <v>18</v>
      </c>
      <c r="G53" s="9"/>
      <c r="H53" s="9"/>
      <c r="I53" s="7"/>
      <c r="J53" s="7"/>
      <c r="K53" s="7"/>
      <c r="L53" s="7"/>
      <c r="M53" s="122"/>
      <c r="N53" s="122"/>
      <c r="O53" s="122"/>
      <c r="P53" s="96"/>
      <c r="Q53" s="7"/>
      <c r="R53" s="93">
        <v>0.69129891228763585</v>
      </c>
      <c r="S53" s="93">
        <v>739.41818181818405</v>
      </c>
      <c r="T53" s="122" t="s">
        <v>1518</v>
      </c>
      <c r="U53" s="7"/>
      <c r="V53" s="7"/>
      <c r="W53" s="122"/>
      <c r="X53" s="122"/>
      <c r="Y53" s="122" t="s">
        <v>1518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v>1</v>
      </c>
      <c r="AM53" s="16">
        <v>44169</v>
      </c>
      <c r="AN53" s="4"/>
      <c r="AO53" s="6" t="s">
        <v>994</v>
      </c>
      <c r="AP53" s="4"/>
      <c r="AQ53" s="4"/>
      <c r="AR53" s="4"/>
      <c r="AS53" s="11">
        <v>400</v>
      </c>
      <c r="AT53" s="11"/>
      <c r="AU53" s="11"/>
      <c r="AV53" s="11"/>
      <c r="AW53" s="4"/>
      <c r="AX53" s="4">
        <f t="shared" si="3"/>
        <v>1</v>
      </c>
      <c r="AY53" s="93"/>
      <c r="AZ53" s="4">
        <v>4</v>
      </c>
    </row>
    <row r="54" spans="1:52" ht="14.25" customHeight="1" x14ac:dyDescent="0.25">
      <c r="B54" s="113" t="s">
        <v>1604</v>
      </c>
      <c r="C54" s="6" t="s">
        <v>1605</v>
      </c>
      <c r="D54" s="8" t="s">
        <v>5</v>
      </c>
      <c r="E54" s="8" t="s">
        <v>17</v>
      </c>
      <c r="F54" s="8">
        <v>6</v>
      </c>
      <c r="G54" s="8"/>
      <c r="H54" s="8"/>
      <c r="I54" s="7">
        <v>6</v>
      </c>
      <c r="J54" s="7">
        <v>20</v>
      </c>
      <c r="K54" s="7"/>
      <c r="L54" s="7" t="s">
        <v>14</v>
      </c>
      <c r="M54" s="122"/>
      <c r="N54" s="122"/>
      <c r="O54" s="122"/>
      <c r="P54" s="96"/>
      <c r="Q54" s="14">
        <v>0.3</v>
      </c>
      <c r="R54" s="93">
        <v>1936.3315145548024</v>
      </c>
      <c r="S54" s="93">
        <v>29698.174157303321</v>
      </c>
      <c r="T54" s="122" t="s">
        <v>1518</v>
      </c>
      <c r="U54" s="7">
        <v>1</v>
      </c>
      <c r="V54" s="7"/>
      <c r="W54" s="122"/>
      <c r="X54" s="122"/>
      <c r="Y54" s="122"/>
      <c r="Z54" s="7"/>
      <c r="AA54" s="7"/>
      <c r="AB54" s="7"/>
      <c r="AC54" s="7"/>
      <c r="AD54" s="7"/>
      <c r="AE54" s="7"/>
      <c r="AF54" s="7"/>
      <c r="AG54" s="7">
        <v>3</v>
      </c>
      <c r="AH54" s="7"/>
      <c r="AI54" s="7"/>
      <c r="AJ54" s="7"/>
      <c r="AK54" s="7"/>
      <c r="AL54" s="7"/>
      <c r="AM54" s="16">
        <v>44169</v>
      </c>
      <c r="AN54" s="4"/>
      <c r="AO54" s="6" t="s">
        <v>1002</v>
      </c>
      <c r="AP54" s="4"/>
      <c r="AQ54" s="4"/>
      <c r="AR54" s="4"/>
      <c r="AS54" s="11">
        <v>950</v>
      </c>
      <c r="AT54" s="11"/>
      <c r="AU54" s="11"/>
      <c r="AV54" s="11"/>
      <c r="AW54" s="4"/>
      <c r="AX54" s="4">
        <f t="shared" si="3"/>
        <v>3</v>
      </c>
      <c r="AY54" s="93">
        <v>2</v>
      </c>
      <c r="AZ54" s="4">
        <v>1.5</v>
      </c>
    </row>
    <row r="55" spans="1:52" ht="14.25" customHeight="1" x14ac:dyDescent="0.25">
      <c r="A55" s="1">
        <v>11</v>
      </c>
      <c r="B55" s="114" t="s">
        <v>149</v>
      </c>
      <c r="C55" s="6" t="s">
        <v>1069</v>
      </c>
      <c r="D55" s="8" t="s">
        <v>4</v>
      </c>
      <c r="E55" s="8" t="s">
        <v>21</v>
      </c>
      <c r="F55" s="9">
        <v>2</v>
      </c>
      <c r="G55" s="9">
        <v>2</v>
      </c>
      <c r="H55" s="9"/>
      <c r="I55" s="7"/>
      <c r="J55" s="7">
        <v>3</v>
      </c>
      <c r="K55" s="7"/>
      <c r="L55" s="7"/>
      <c r="M55" s="122"/>
      <c r="N55" s="122"/>
      <c r="O55" s="122"/>
      <c r="P55" s="96"/>
      <c r="Q55" s="7"/>
      <c r="R55" s="93">
        <v>1.4387627117714321</v>
      </c>
      <c r="S55" s="93">
        <v>320.58907776193519</v>
      </c>
      <c r="T55" s="122" t="s">
        <v>1518</v>
      </c>
      <c r="U55" s="7"/>
      <c r="V55" s="7"/>
      <c r="W55" s="122" t="s">
        <v>1518</v>
      </c>
      <c r="X55" s="122"/>
      <c r="Y55" s="122"/>
      <c r="Z55" s="7"/>
      <c r="AA55" s="7">
        <v>1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6">
        <v>45232</v>
      </c>
      <c r="AN55" s="4"/>
      <c r="AO55" s="6" t="s">
        <v>1003</v>
      </c>
      <c r="AP55" s="6" t="s">
        <v>1006</v>
      </c>
      <c r="AQ55" s="6" t="s">
        <v>1007</v>
      </c>
      <c r="AR55" s="4"/>
      <c r="AS55" s="11">
        <v>67.5</v>
      </c>
      <c r="AT55" s="11">
        <v>45</v>
      </c>
      <c r="AU55" s="11">
        <v>90</v>
      </c>
      <c r="AV55" s="11"/>
      <c r="AW55" s="4"/>
      <c r="AX55" s="4">
        <f t="shared" si="3"/>
        <v>1</v>
      </c>
      <c r="AY55" s="93">
        <v>1</v>
      </c>
      <c r="AZ55" s="4">
        <v>0.3</v>
      </c>
    </row>
    <row r="56" spans="1:52" ht="14.25" customHeight="1" x14ac:dyDescent="0.25">
      <c r="A56" s="1">
        <v>11</v>
      </c>
      <c r="B56" s="114" t="s">
        <v>1070</v>
      </c>
      <c r="C56" s="6" t="s">
        <v>1071</v>
      </c>
      <c r="D56" s="8" t="s">
        <v>4</v>
      </c>
      <c r="E56" s="8" t="s">
        <v>13</v>
      </c>
      <c r="F56" s="9">
        <v>2</v>
      </c>
      <c r="G56" s="9">
        <v>2</v>
      </c>
      <c r="H56" s="9">
        <v>2</v>
      </c>
      <c r="I56" s="7"/>
      <c r="J56" s="7">
        <v>6</v>
      </c>
      <c r="K56" s="7"/>
      <c r="L56" s="7"/>
      <c r="M56" s="122"/>
      <c r="N56" s="122"/>
      <c r="O56" s="122"/>
      <c r="P56" s="96"/>
      <c r="Q56" s="7"/>
      <c r="R56" s="93">
        <v>2.0575380989757379</v>
      </c>
      <c r="S56" s="93">
        <v>661.73238054724072</v>
      </c>
      <c r="T56" s="122" t="s">
        <v>1518</v>
      </c>
      <c r="U56" s="7"/>
      <c r="V56" s="7"/>
      <c r="W56" s="122" t="s">
        <v>1518</v>
      </c>
      <c r="X56" s="122"/>
      <c r="Y56" s="122"/>
      <c r="Z56" s="7"/>
      <c r="AA56" s="7">
        <v>1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6">
        <v>45232</v>
      </c>
      <c r="AN56" s="4"/>
      <c r="AO56" s="11" t="s">
        <v>133</v>
      </c>
      <c r="AP56" s="6" t="s">
        <v>1006</v>
      </c>
      <c r="AQ56" s="11" t="s">
        <v>116</v>
      </c>
      <c r="AR56" s="6" t="s">
        <v>1007</v>
      </c>
      <c r="AS56" s="11">
        <v>9</v>
      </c>
      <c r="AT56" s="11">
        <v>45</v>
      </c>
      <c r="AU56" s="11">
        <v>22.5</v>
      </c>
      <c r="AV56" s="11">
        <v>135</v>
      </c>
      <c r="AW56" s="4"/>
      <c r="AX56" s="4">
        <f t="shared" si="3"/>
        <v>1</v>
      </c>
      <c r="AY56" s="93"/>
      <c r="AZ56" s="4">
        <v>0.3</v>
      </c>
    </row>
    <row r="57" spans="1:52" ht="14.25" customHeight="1" x14ac:dyDescent="0.25">
      <c r="B57" s="114" t="s">
        <v>1509</v>
      </c>
      <c r="C57" s="6"/>
      <c r="D57" s="8" t="s">
        <v>5</v>
      </c>
      <c r="E57" s="9" t="s">
        <v>26</v>
      </c>
      <c r="F57" s="8"/>
      <c r="G57" s="8"/>
      <c r="H57" s="8"/>
      <c r="I57" s="7"/>
      <c r="J57" s="7"/>
      <c r="K57" s="7"/>
      <c r="L57" s="7"/>
      <c r="M57" s="122"/>
      <c r="N57" s="122"/>
      <c r="O57" s="122"/>
      <c r="P57" s="96"/>
      <c r="Q57" s="7"/>
      <c r="R57" s="93">
        <v>0</v>
      </c>
      <c r="S57" s="93">
        <v>0</v>
      </c>
      <c r="T57" s="122"/>
      <c r="U57" s="7"/>
      <c r="V57" s="7"/>
      <c r="W57" s="122"/>
      <c r="X57" s="122" t="s">
        <v>1518</v>
      </c>
      <c r="Y57" s="122"/>
      <c r="Z57" s="7"/>
      <c r="AA57" s="7"/>
      <c r="AB57" s="7"/>
      <c r="AC57" s="7">
        <v>1</v>
      </c>
      <c r="AD57" s="7"/>
      <c r="AE57" s="7"/>
      <c r="AF57" s="7"/>
      <c r="AG57" s="7"/>
      <c r="AH57" s="7"/>
      <c r="AI57" s="7"/>
      <c r="AJ57" s="7"/>
      <c r="AK57" s="7"/>
      <c r="AL57" s="7"/>
      <c r="AM57" s="16">
        <v>44169</v>
      </c>
      <c r="AN57" s="4"/>
      <c r="AO57" s="6" t="s">
        <v>1510</v>
      </c>
      <c r="AP57" s="6"/>
      <c r="AQ57" s="6"/>
      <c r="AR57" s="4"/>
      <c r="AS57" s="11"/>
      <c r="AT57" s="11"/>
      <c r="AU57" s="11"/>
      <c r="AV57" s="11"/>
      <c r="AW57" s="4"/>
      <c r="AX57" s="4">
        <f t="shared" si="3"/>
        <v>1</v>
      </c>
      <c r="AY57" s="93"/>
      <c r="AZ57" s="4">
        <v>30</v>
      </c>
    </row>
    <row r="58" spans="1:52" ht="14.25" customHeight="1" x14ac:dyDescent="0.25">
      <c r="B58" s="114" t="s">
        <v>317</v>
      </c>
      <c r="C58" s="6" t="s">
        <v>1072</v>
      </c>
      <c r="D58" s="8" t="s">
        <v>5</v>
      </c>
      <c r="E58" s="9" t="s">
        <v>1652</v>
      </c>
      <c r="F58" s="8">
        <v>5</v>
      </c>
      <c r="G58" s="8"/>
      <c r="H58" s="8"/>
      <c r="I58" s="7"/>
      <c r="J58" s="7"/>
      <c r="K58" s="7"/>
      <c r="L58" s="7"/>
      <c r="M58" s="122"/>
      <c r="N58" s="122"/>
      <c r="O58" s="122"/>
      <c r="P58" s="96"/>
      <c r="Q58" s="7"/>
      <c r="R58" s="93">
        <v>11.141451527874835</v>
      </c>
      <c r="S58" s="93">
        <v>593.54666666666719</v>
      </c>
      <c r="T58" s="122" t="s">
        <v>1518</v>
      </c>
      <c r="U58" s="7">
        <v>1</v>
      </c>
      <c r="V58" s="7"/>
      <c r="W58" s="122"/>
      <c r="X58" s="122"/>
      <c r="Y58" s="122"/>
      <c r="Z58" s="7"/>
      <c r="AA58" s="7">
        <v>1</v>
      </c>
      <c r="AB58" s="7"/>
      <c r="AC58" s="7">
        <v>1</v>
      </c>
      <c r="AD58" s="7">
        <v>3</v>
      </c>
      <c r="AE58" s="7">
        <v>1</v>
      </c>
      <c r="AF58" s="7"/>
      <c r="AG58" s="7"/>
      <c r="AH58" s="7"/>
      <c r="AI58" s="7"/>
      <c r="AJ58" s="7"/>
      <c r="AK58" s="7"/>
      <c r="AL58" s="7"/>
      <c r="AM58" s="16">
        <v>44169</v>
      </c>
      <c r="AN58" s="4"/>
      <c r="AO58" s="11" t="s">
        <v>318</v>
      </c>
      <c r="AP58" s="4"/>
      <c r="AQ58" s="4"/>
      <c r="AR58" s="4"/>
      <c r="AS58" s="11">
        <v>480</v>
      </c>
      <c r="AT58" s="11"/>
      <c r="AU58" s="11"/>
      <c r="AV58" s="11"/>
      <c r="AW58" s="4"/>
      <c r="AX58" s="4">
        <f t="shared" si="3"/>
        <v>6</v>
      </c>
      <c r="AY58" s="93" t="s">
        <v>936</v>
      </c>
      <c r="AZ58" s="4">
        <v>0.2</v>
      </c>
    </row>
    <row r="59" spans="1:52" ht="14.25" customHeight="1" x14ac:dyDescent="0.25">
      <c r="B59" s="114" t="s">
        <v>912</v>
      </c>
      <c r="C59" s="6" t="s">
        <v>1073</v>
      </c>
      <c r="D59" s="8" t="s">
        <v>4</v>
      </c>
      <c r="E59" s="7" t="s">
        <v>19</v>
      </c>
      <c r="F59" s="9">
        <v>1</v>
      </c>
      <c r="G59" s="9"/>
      <c r="H59" s="9"/>
      <c r="I59" s="7"/>
      <c r="J59" s="7"/>
      <c r="K59" s="7"/>
      <c r="L59" s="7"/>
      <c r="M59" s="122" t="s">
        <v>1518</v>
      </c>
      <c r="N59" s="122" t="s">
        <v>1518</v>
      </c>
      <c r="O59" s="122"/>
      <c r="P59" s="96"/>
      <c r="Q59" s="7"/>
      <c r="R59" s="93">
        <v>1.2413294051170814E-2</v>
      </c>
      <c r="S59" s="93">
        <v>33.331421934497818</v>
      </c>
      <c r="T59" s="122" t="s">
        <v>1518</v>
      </c>
      <c r="U59" s="7"/>
      <c r="V59" s="7"/>
      <c r="W59" s="122" t="s">
        <v>1518</v>
      </c>
      <c r="X59" s="122"/>
      <c r="Y59" s="122" t="s">
        <v>1518</v>
      </c>
      <c r="Z59" s="7"/>
      <c r="AA59" s="7">
        <v>1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6">
        <v>44169</v>
      </c>
      <c r="AN59" s="4"/>
      <c r="AO59" s="4" t="s">
        <v>151</v>
      </c>
      <c r="AP59" s="6" t="s">
        <v>300</v>
      </c>
      <c r="AQ59" s="4"/>
      <c r="AR59" s="4"/>
      <c r="AS59" s="11">
        <v>50</v>
      </c>
      <c r="AT59" s="11">
        <v>125</v>
      </c>
      <c r="AU59" s="11"/>
      <c r="AV59" s="11"/>
      <c r="AW59" s="4"/>
      <c r="AX59" s="4">
        <f t="shared" si="3"/>
        <v>1</v>
      </c>
      <c r="AY59" s="93">
        <v>1</v>
      </c>
      <c r="AZ59" s="4">
        <v>1.2</v>
      </c>
    </row>
    <row r="60" spans="1:52" ht="14.25" customHeight="1" x14ac:dyDescent="0.25">
      <c r="B60" s="114" t="s">
        <v>150</v>
      </c>
      <c r="C60" s="6" t="s">
        <v>1074</v>
      </c>
      <c r="D60" s="8" t="s">
        <v>4</v>
      </c>
      <c r="E60" s="8" t="s">
        <v>13</v>
      </c>
      <c r="F60" s="9">
        <v>1</v>
      </c>
      <c r="G60" s="9"/>
      <c r="H60" s="9"/>
      <c r="I60" s="7"/>
      <c r="J60" s="7"/>
      <c r="K60" s="7"/>
      <c r="L60" s="7"/>
      <c r="M60" s="122" t="s">
        <v>1518</v>
      </c>
      <c r="N60" s="122" t="s">
        <v>1518</v>
      </c>
      <c r="O60" s="122"/>
      <c r="P60" s="96"/>
      <c r="Q60" s="7"/>
      <c r="R60" s="93">
        <v>1.2413294051170814E-2</v>
      </c>
      <c r="S60" s="93">
        <v>33.331421934497818</v>
      </c>
      <c r="T60" s="122" t="s">
        <v>1518</v>
      </c>
      <c r="U60" s="7"/>
      <c r="V60" s="7"/>
      <c r="W60" s="122" t="s">
        <v>1518</v>
      </c>
      <c r="X60" s="122"/>
      <c r="Y60" s="122" t="s">
        <v>1518</v>
      </c>
      <c r="Z60" s="7"/>
      <c r="AA60" s="7">
        <v>1</v>
      </c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6">
        <v>44169</v>
      </c>
      <c r="AN60" s="4"/>
      <c r="AO60" s="4" t="s">
        <v>151</v>
      </c>
      <c r="AP60" s="6" t="s">
        <v>300</v>
      </c>
      <c r="AQ60" s="4"/>
      <c r="AR60" s="4"/>
      <c r="AS60" s="11">
        <v>50</v>
      </c>
      <c r="AT60" s="11">
        <v>125</v>
      </c>
      <c r="AU60" s="11"/>
      <c r="AV60" s="11"/>
      <c r="AW60" s="4"/>
      <c r="AX60" s="4">
        <f t="shared" si="3"/>
        <v>1</v>
      </c>
      <c r="AY60" s="93">
        <v>1</v>
      </c>
      <c r="AZ60" s="4">
        <v>1.2</v>
      </c>
    </row>
    <row r="61" spans="1:52" ht="14.25" customHeight="1" x14ac:dyDescent="0.25">
      <c r="B61" s="114" t="s">
        <v>33</v>
      </c>
      <c r="C61" s="6" t="s">
        <v>1075</v>
      </c>
      <c r="D61" s="9" t="s">
        <v>3</v>
      </c>
      <c r="E61" s="8" t="s">
        <v>21</v>
      </c>
      <c r="F61" s="9">
        <v>3</v>
      </c>
      <c r="G61" s="9">
        <v>7</v>
      </c>
      <c r="H61" s="9"/>
      <c r="I61" s="7"/>
      <c r="J61" s="7"/>
      <c r="K61" s="7"/>
      <c r="L61" s="7" t="s">
        <v>14</v>
      </c>
      <c r="M61" s="122"/>
      <c r="N61" s="122"/>
      <c r="O61" s="122"/>
      <c r="P61" s="96"/>
      <c r="Q61" s="14">
        <v>0.5</v>
      </c>
      <c r="R61" s="93">
        <v>2.0055826710278026</v>
      </c>
      <c r="S61" s="93">
        <v>4.6370833333333321</v>
      </c>
      <c r="T61" s="122" t="s">
        <v>1518</v>
      </c>
      <c r="U61" s="7"/>
      <c r="V61" s="7"/>
      <c r="W61" s="122" t="s">
        <v>1518</v>
      </c>
      <c r="X61" s="122" t="s">
        <v>1518</v>
      </c>
      <c r="Y61" s="122"/>
      <c r="Z61" s="7"/>
      <c r="AA61" s="7">
        <v>1</v>
      </c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6">
        <v>45262</v>
      </c>
      <c r="AN61" s="4"/>
      <c r="AO61" s="11" t="s">
        <v>15</v>
      </c>
      <c r="AP61" s="11" t="s">
        <v>16</v>
      </c>
      <c r="AQ61" s="4"/>
      <c r="AR61" s="4"/>
      <c r="AS61" s="11">
        <v>150</v>
      </c>
      <c r="AT61" s="11">
        <v>75</v>
      </c>
      <c r="AU61" s="11"/>
      <c r="AV61" s="11"/>
      <c r="AW61" s="4"/>
      <c r="AX61" s="4">
        <f t="shared" si="3"/>
        <v>1</v>
      </c>
      <c r="AY61" s="93" t="s">
        <v>935</v>
      </c>
      <c r="AZ61" s="4">
        <v>1.25</v>
      </c>
    </row>
    <row r="62" spans="1:52" ht="14.25" customHeight="1" x14ac:dyDescent="0.25">
      <c r="B62" s="112" t="s">
        <v>1622</v>
      </c>
      <c r="C62" s="6" t="s">
        <v>1663</v>
      </c>
      <c r="D62" s="9" t="s">
        <v>3</v>
      </c>
      <c r="E62" s="7" t="s">
        <v>13</v>
      </c>
      <c r="F62" s="9" t="s">
        <v>20</v>
      </c>
      <c r="G62" s="9"/>
      <c r="H62" s="9"/>
      <c r="I62" s="7"/>
      <c r="J62" s="7"/>
      <c r="K62" s="7"/>
      <c r="L62" s="7"/>
      <c r="M62" s="122"/>
      <c r="N62" s="122"/>
      <c r="O62" s="122"/>
      <c r="P62" s="96"/>
      <c r="Q62" s="7"/>
      <c r="R62" s="93">
        <v>64.61058916832306</v>
      </c>
      <c r="S62" s="93">
        <v>14.885923566878985</v>
      </c>
      <c r="T62" s="122" t="s">
        <v>1518</v>
      </c>
      <c r="U62" s="7"/>
      <c r="V62" s="7"/>
      <c r="W62" s="124"/>
      <c r="X62" s="124"/>
      <c r="Y62" s="122" t="s">
        <v>1518</v>
      </c>
      <c r="Z62" s="12"/>
      <c r="AA62" s="7"/>
      <c r="AB62" s="7"/>
      <c r="AC62" s="7">
        <v>1</v>
      </c>
      <c r="AD62" s="7"/>
      <c r="AE62" s="7"/>
      <c r="AF62" s="7"/>
      <c r="AG62" s="7"/>
      <c r="AH62" s="7"/>
      <c r="AI62" s="7"/>
      <c r="AJ62" s="7"/>
      <c r="AK62" s="7"/>
      <c r="AL62" s="7"/>
      <c r="AM62" s="16">
        <v>44540</v>
      </c>
      <c r="AN62" s="4"/>
      <c r="AO62" s="6" t="s">
        <v>1332</v>
      </c>
      <c r="AP62" s="4"/>
      <c r="AQ62" s="4"/>
      <c r="AR62" s="4"/>
      <c r="AS62" s="11">
        <v>700</v>
      </c>
      <c r="AT62" s="11"/>
      <c r="AU62" s="11"/>
      <c r="AV62" s="11"/>
      <c r="AW62" s="4"/>
      <c r="AX62" s="4">
        <f t="shared" si="3"/>
        <v>1</v>
      </c>
      <c r="AY62" s="93"/>
      <c r="AZ62" s="4">
        <v>3</v>
      </c>
    </row>
    <row r="63" spans="1:52" ht="14.25" customHeight="1" x14ac:dyDescent="0.25">
      <c r="A63" s="1">
        <v>1</v>
      </c>
      <c r="B63" s="114" t="s">
        <v>152</v>
      </c>
      <c r="C63" s="6" t="s">
        <v>1076</v>
      </c>
      <c r="D63" s="8" t="s">
        <v>4</v>
      </c>
      <c r="E63" s="8" t="s">
        <v>29</v>
      </c>
      <c r="F63" s="9">
        <v>1</v>
      </c>
      <c r="G63" s="9">
        <v>2</v>
      </c>
      <c r="H63" s="9"/>
      <c r="I63" s="7"/>
      <c r="J63" s="7"/>
      <c r="K63" s="7"/>
      <c r="L63" s="7"/>
      <c r="M63" s="122" t="s">
        <v>1518</v>
      </c>
      <c r="N63" s="122" t="s">
        <v>1518</v>
      </c>
      <c r="O63" s="122"/>
      <c r="P63" s="96"/>
      <c r="Q63" s="7"/>
      <c r="R63" s="93">
        <v>0.46931884986086692</v>
      </c>
      <c r="S63" s="93">
        <v>101.93654183165089</v>
      </c>
      <c r="T63" s="122" t="s">
        <v>1518</v>
      </c>
      <c r="U63" s="7"/>
      <c r="V63" s="7"/>
      <c r="W63" s="122" t="s">
        <v>1518</v>
      </c>
      <c r="X63" s="122"/>
      <c r="Y63" s="122"/>
      <c r="Z63" s="7"/>
      <c r="AA63" s="7">
        <v>1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16">
        <v>44169</v>
      </c>
      <c r="AN63" s="4"/>
      <c r="AO63" s="4" t="s">
        <v>151</v>
      </c>
      <c r="AP63" s="4" t="s">
        <v>153</v>
      </c>
      <c r="AQ63" s="6" t="s">
        <v>300</v>
      </c>
      <c r="AR63" s="4"/>
      <c r="AS63" s="11">
        <v>33.299999999999997</v>
      </c>
      <c r="AT63" s="11">
        <v>8.33</v>
      </c>
      <c r="AU63" s="11">
        <v>8.33</v>
      </c>
      <c r="AV63" s="11"/>
      <c r="AW63" s="4"/>
      <c r="AX63" s="4">
        <f t="shared" si="3"/>
        <v>1</v>
      </c>
      <c r="AY63" s="93">
        <v>1</v>
      </c>
      <c r="AZ63" s="4">
        <v>1.8</v>
      </c>
    </row>
    <row r="64" spans="1:52" ht="14.25" customHeight="1" x14ac:dyDescent="0.25">
      <c r="B64" s="114" t="s">
        <v>353</v>
      </c>
      <c r="C64" s="6" t="s">
        <v>1077</v>
      </c>
      <c r="D64" s="8" t="s">
        <v>6</v>
      </c>
      <c r="E64" s="8" t="s">
        <v>1556</v>
      </c>
      <c r="F64" s="8"/>
      <c r="G64" s="8"/>
      <c r="H64" s="8"/>
      <c r="I64" s="7"/>
      <c r="J64" s="7"/>
      <c r="K64" s="7"/>
      <c r="L64" s="7"/>
      <c r="M64" s="122"/>
      <c r="N64" s="122"/>
      <c r="O64" s="122"/>
      <c r="P64" s="96" t="s">
        <v>352</v>
      </c>
      <c r="Q64" s="7"/>
      <c r="R64" s="93">
        <v>2.3310307349521551E-3</v>
      </c>
      <c r="S64" s="93">
        <v>4.1364424778761108E-2</v>
      </c>
      <c r="T64" s="122"/>
      <c r="U64" s="7"/>
      <c r="V64" s="7"/>
      <c r="W64" s="122"/>
      <c r="X64" s="122"/>
      <c r="Y64" s="122" t="s">
        <v>1518</v>
      </c>
      <c r="Z64" s="7"/>
      <c r="AA64" s="7">
        <v>2</v>
      </c>
      <c r="AB64" s="7">
        <v>2</v>
      </c>
      <c r="AC64" s="7">
        <v>2</v>
      </c>
      <c r="AD64" s="7">
        <v>2</v>
      </c>
      <c r="AE64" s="7">
        <v>2</v>
      </c>
      <c r="AF64" s="7">
        <v>2</v>
      </c>
      <c r="AG64" s="7">
        <v>2</v>
      </c>
      <c r="AH64" s="7">
        <v>2</v>
      </c>
      <c r="AI64" s="7">
        <v>2</v>
      </c>
      <c r="AJ64" s="7">
        <v>2</v>
      </c>
      <c r="AK64" s="7">
        <v>2</v>
      </c>
      <c r="AL64" s="7">
        <v>2</v>
      </c>
      <c r="AM64" s="16">
        <v>44169</v>
      </c>
      <c r="AN64" s="4"/>
      <c r="AO64" s="4" t="s">
        <v>356</v>
      </c>
      <c r="AP64" s="4"/>
      <c r="AQ64" s="4"/>
      <c r="AR64" s="4"/>
      <c r="AS64" s="11">
        <v>30</v>
      </c>
      <c r="AT64" s="11"/>
      <c r="AU64" s="11"/>
      <c r="AV64" s="11"/>
      <c r="AW64" s="4"/>
      <c r="AX64" s="4">
        <f t="shared" si="3"/>
        <v>24</v>
      </c>
      <c r="AY64" s="93"/>
      <c r="AZ64" s="4">
        <v>7</v>
      </c>
    </row>
    <row r="65" spans="1:52" ht="14.25" customHeight="1" x14ac:dyDescent="0.25">
      <c r="A65" s="1">
        <v>1</v>
      </c>
      <c r="B65" s="112" t="s">
        <v>154</v>
      </c>
      <c r="C65" s="6" t="s">
        <v>1078</v>
      </c>
      <c r="D65" s="8" t="s">
        <v>4</v>
      </c>
      <c r="E65" s="8" t="s">
        <v>29</v>
      </c>
      <c r="F65" s="9">
        <v>1</v>
      </c>
      <c r="G65" s="9">
        <v>2</v>
      </c>
      <c r="H65" s="9"/>
      <c r="I65" s="7"/>
      <c r="J65" s="7">
        <v>6</v>
      </c>
      <c r="K65" s="7"/>
      <c r="L65" s="7"/>
      <c r="M65" s="122" t="s">
        <v>1518</v>
      </c>
      <c r="N65" s="122" t="s">
        <v>1518</v>
      </c>
      <c r="O65" s="122"/>
      <c r="P65" s="96"/>
      <c r="Q65" s="7"/>
      <c r="R65" s="93">
        <v>0.31222645849546959</v>
      </c>
      <c r="S65" s="93">
        <v>181.31005550985151</v>
      </c>
      <c r="T65" s="122" t="s">
        <v>1518</v>
      </c>
      <c r="U65" s="7"/>
      <c r="V65" s="7"/>
      <c r="W65" s="122"/>
      <c r="X65" s="122"/>
      <c r="Y65" s="122" t="s">
        <v>1518</v>
      </c>
      <c r="Z65" s="7"/>
      <c r="AA65" s="7">
        <v>1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16">
        <v>44169</v>
      </c>
      <c r="AN65" s="4"/>
      <c r="AO65" s="4" t="s">
        <v>151</v>
      </c>
      <c r="AP65" s="6" t="s">
        <v>1010</v>
      </c>
      <c r="AQ65" s="6" t="s">
        <v>300</v>
      </c>
      <c r="AR65" s="4"/>
      <c r="AS65" s="11">
        <v>45</v>
      </c>
      <c r="AT65" s="11">
        <v>5</v>
      </c>
      <c r="AU65" s="11">
        <v>11.25</v>
      </c>
      <c r="AV65" s="11"/>
      <c r="AW65" s="4"/>
      <c r="AX65" s="4">
        <f t="shared" si="3"/>
        <v>1</v>
      </c>
      <c r="AY65" s="93">
        <v>1</v>
      </c>
      <c r="AZ65" s="4">
        <v>1.3</v>
      </c>
    </row>
    <row r="66" spans="1:52" ht="14.25" customHeight="1" x14ac:dyDescent="0.25">
      <c r="B66" s="112" t="s">
        <v>1835</v>
      </c>
      <c r="C66" s="6" t="s">
        <v>1837</v>
      </c>
      <c r="D66" s="8" t="s">
        <v>4</v>
      </c>
      <c r="E66" s="8" t="s">
        <v>26</v>
      </c>
      <c r="F66" s="9">
        <v>2</v>
      </c>
      <c r="G66" s="9"/>
      <c r="H66" s="9"/>
      <c r="I66" s="7">
        <v>6</v>
      </c>
      <c r="J66" s="7"/>
      <c r="K66" s="7"/>
      <c r="L66" s="7" t="s">
        <v>14</v>
      </c>
      <c r="M66" s="122"/>
      <c r="N66" s="122"/>
      <c r="O66" s="122"/>
      <c r="P66" s="96"/>
      <c r="Q66" s="7"/>
      <c r="R66" s="93">
        <v>3.495152312259183</v>
      </c>
      <c r="S66" s="93">
        <v>182.93661941489336</v>
      </c>
      <c r="T66" s="122" t="s">
        <v>1518</v>
      </c>
      <c r="U66" s="7"/>
      <c r="V66" s="7"/>
      <c r="W66" s="122"/>
      <c r="X66" s="122"/>
      <c r="Y66" s="122" t="s">
        <v>1518</v>
      </c>
      <c r="Z66" s="7"/>
      <c r="AA66" s="7"/>
      <c r="AB66" s="7"/>
      <c r="AC66" s="7"/>
      <c r="AD66" s="7">
        <v>1</v>
      </c>
      <c r="AE66" s="7"/>
      <c r="AF66" s="7"/>
      <c r="AG66" s="7"/>
      <c r="AH66" s="7"/>
      <c r="AI66" s="7"/>
      <c r="AJ66" s="7"/>
      <c r="AK66" s="7"/>
      <c r="AL66" s="7"/>
      <c r="AM66" s="16">
        <v>44889</v>
      </c>
      <c r="AN66" s="4"/>
      <c r="AO66" s="11" t="s">
        <v>195</v>
      </c>
      <c r="AP66" s="11" t="s">
        <v>211</v>
      </c>
      <c r="AQ66" s="4"/>
      <c r="AR66" s="4"/>
      <c r="AS66" s="11">
        <v>22.5</v>
      </c>
      <c r="AT66" s="11">
        <v>22.5</v>
      </c>
      <c r="AU66" s="11"/>
      <c r="AV66" s="11"/>
      <c r="AW66" s="4"/>
      <c r="AX66" s="4">
        <f t="shared" si="3"/>
        <v>1</v>
      </c>
      <c r="AY66" s="93">
        <v>1</v>
      </c>
      <c r="AZ66" s="4">
        <v>1.5</v>
      </c>
    </row>
    <row r="67" spans="1:52" ht="14.25" customHeight="1" x14ac:dyDescent="0.25">
      <c r="B67" s="112" t="s">
        <v>1836</v>
      </c>
      <c r="C67" s="6" t="s">
        <v>1837</v>
      </c>
      <c r="D67" s="8" t="s">
        <v>4</v>
      </c>
      <c r="E67" s="8" t="s">
        <v>26</v>
      </c>
      <c r="F67" s="9">
        <v>2</v>
      </c>
      <c r="G67" s="9"/>
      <c r="H67" s="9"/>
      <c r="I67" s="7">
        <v>6</v>
      </c>
      <c r="J67" s="7"/>
      <c r="K67" s="7"/>
      <c r="L67" s="7" t="s">
        <v>120</v>
      </c>
      <c r="M67" s="122"/>
      <c r="N67" s="122"/>
      <c r="O67" s="122"/>
      <c r="P67" s="96"/>
      <c r="Q67" s="7"/>
      <c r="R67" s="93">
        <v>4.6602030830122443</v>
      </c>
      <c r="S67" s="93">
        <v>243.91549255319114</v>
      </c>
      <c r="T67" s="122" t="s">
        <v>1518</v>
      </c>
      <c r="U67" s="7"/>
      <c r="V67" s="7"/>
      <c r="W67" s="122"/>
      <c r="X67" s="122"/>
      <c r="Y67" s="122" t="s">
        <v>1518</v>
      </c>
      <c r="Z67" s="7"/>
      <c r="AA67" s="7"/>
      <c r="AB67" s="7"/>
      <c r="AC67" s="7"/>
      <c r="AD67" s="7">
        <v>1</v>
      </c>
      <c r="AE67" s="7"/>
      <c r="AF67" s="7"/>
      <c r="AG67" s="7"/>
      <c r="AH67" s="7"/>
      <c r="AI67" s="7"/>
      <c r="AJ67" s="7"/>
      <c r="AK67" s="7"/>
      <c r="AL67" s="7"/>
      <c r="AM67" s="16">
        <v>44889</v>
      </c>
      <c r="AN67" s="4"/>
      <c r="AO67" s="11" t="s">
        <v>195</v>
      </c>
      <c r="AP67" s="11" t="s">
        <v>211</v>
      </c>
      <c r="AQ67" s="4"/>
      <c r="AR67" s="4"/>
      <c r="AS67" s="11">
        <v>22.5</v>
      </c>
      <c r="AT67" s="11">
        <v>22.5</v>
      </c>
      <c r="AU67" s="11"/>
      <c r="AV67" s="11"/>
      <c r="AW67" s="4"/>
      <c r="AX67" s="4">
        <f t="shared" si="3"/>
        <v>1</v>
      </c>
      <c r="AY67" s="93">
        <v>1</v>
      </c>
      <c r="AZ67" s="4">
        <v>2</v>
      </c>
    </row>
    <row r="68" spans="1:52" ht="14.25" customHeight="1" x14ac:dyDescent="0.25">
      <c r="B68" s="112" t="s">
        <v>1454</v>
      </c>
      <c r="C68" s="6" t="s">
        <v>1079</v>
      </c>
      <c r="D68" s="9" t="s">
        <v>4</v>
      </c>
      <c r="E68" s="8" t="s">
        <v>175</v>
      </c>
      <c r="F68" s="9">
        <v>32</v>
      </c>
      <c r="G68" s="9"/>
      <c r="H68" s="9"/>
      <c r="I68" s="7">
        <v>20</v>
      </c>
      <c r="J68" s="7"/>
      <c r="K68" s="7"/>
      <c r="L68" s="7" t="s">
        <v>120</v>
      </c>
      <c r="M68" s="122"/>
      <c r="N68" s="122"/>
      <c r="O68" s="122"/>
      <c r="P68" s="96"/>
      <c r="Q68" s="14">
        <v>0.3</v>
      </c>
      <c r="R68" s="93">
        <v>6.6543406448163935</v>
      </c>
      <c r="S68" s="93">
        <v>369.70909090909174</v>
      </c>
      <c r="T68" s="122" t="s">
        <v>1518</v>
      </c>
      <c r="U68" s="7"/>
      <c r="V68" s="7"/>
      <c r="W68" s="122"/>
      <c r="X68" s="122"/>
      <c r="Y68" s="122" t="s">
        <v>1518</v>
      </c>
      <c r="Z68" s="7"/>
      <c r="AA68" s="7"/>
      <c r="AB68" s="7"/>
      <c r="AC68" s="7">
        <v>1</v>
      </c>
      <c r="AD68" s="7"/>
      <c r="AE68" s="7"/>
      <c r="AF68" s="7"/>
      <c r="AG68" s="7">
        <v>1</v>
      </c>
      <c r="AH68" s="7"/>
      <c r="AI68" s="7"/>
      <c r="AJ68" s="7">
        <v>1</v>
      </c>
      <c r="AK68" s="7"/>
      <c r="AL68" s="7"/>
      <c r="AM68" s="16">
        <v>44169</v>
      </c>
      <c r="AN68" s="4"/>
      <c r="AO68" s="11" t="s">
        <v>155</v>
      </c>
      <c r="AP68" s="4"/>
      <c r="AQ68" s="4"/>
      <c r="AR68" s="4"/>
      <c r="AS68" s="11">
        <v>600</v>
      </c>
      <c r="AT68" s="11"/>
      <c r="AU68" s="11"/>
      <c r="AV68" s="11"/>
      <c r="AW68" s="4"/>
      <c r="AX68" s="4">
        <f t="shared" ref="AX68:AX131" si="4">SUM(AA68:AL68)</f>
        <v>3</v>
      </c>
      <c r="AY68" s="93"/>
      <c r="AZ68" s="4">
        <v>1</v>
      </c>
    </row>
    <row r="69" spans="1:52" ht="14.25" customHeight="1" x14ac:dyDescent="0.25">
      <c r="B69" s="112" t="s">
        <v>1452</v>
      </c>
      <c r="C69" s="6" t="s">
        <v>1079</v>
      </c>
      <c r="D69" s="9" t="s">
        <v>4</v>
      </c>
      <c r="E69" s="8" t="s">
        <v>175</v>
      </c>
      <c r="F69" s="9">
        <v>32</v>
      </c>
      <c r="G69" s="9"/>
      <c r="H69" s="9"/>
      <c r="I69" s="7">
        <v>20</v>
      </c>
      <c r="J69" s="7"/>
      <c r="K69" s="7"/>
      <c r="L69" s="7" t="s">
        <v>80</v>
      </c>
      <c r="M69" s="122"/>
      <c r="N69" s="122"/>
      <c r="O69" s="122"/>
      <c r="P69" s="96"/>
      <c r="Q69" s="14">
        <v>0.3</v>
      </c>
      <c r="R69" s="93">
        <v>13.308681289632787</v>
      </c>
      <c r="S69" s="93">
        <v>739.41818181818348</v>
      </c>
      <c r="T69" s="122" t="s">
        <v>1518</v>
      </c>
      <c r="U69" s="7"/>
      <c r="V69" s="7"/>
      <c r="W69" s="122"/>
      <c r="X69" s="122"/>
      <c r="Y69" s="122" t="s">
        <v>1518</v>
      </c>
      <c r="Z69" s="7"/>
      <c r="AA69" s="7"/>
      <c r="AB69" s="7"/>
      <c r="AC69" s="7">
        <v>1</v>
      </c>
      <c r="AD69" s="7"/>
      <c r="AE69" s="7"/>
      <c r="AF69" s="7">
        <v>1</v>
      </c>
      <c r="AG69" s="7">
        <v>1</v>
      </c>
      <c r="AH69" s="7"/>
      <c r="AI69" s="7">
        <v>1</v>
      </c>
      <c r="AJ69" s="7">
        <v>1</v>
      </c>
      <c r="AK69" s="7"/>
      <c r="AL69" s="7"/>
      <c r="AM69" s="16">
        <v>44169</v>
      </c>
      <c r="AN69" s="4"/>
      <c r="AO69" s="11" t="s">
        <v>155</v>
      </c>
      <c r="AP69" s="4"/>
      <c r="AQ69" s="4"/>
      <c r="AR69" s="4"/>
      <c r="AS69" s="11">
        <v>600</v>
      </c>
      <c r="AT69" s="11"/>
      <c r="AU69" s="11"/>
      <c r="AV69" s="11"/>
      <c r="AW69" s="4"/>
      <c r="AX69" s="4">
        <f t="shared" si="4"/>
        <v>5</v>
      </c>
      <c r="AY69" s="93"/>
      <c r="AZ69" s="4">
        <v>2</v>
      </c>
    </row>
    <row r="70" spans="1:52" ht="14.25" customHeight="1" x14ac:dyDescent="0.25">
      <c r="B70" s="112" t="s">
        <v>1453</v>
      </c>
      <c r="C70" s="6" t="s">
        <v>1079</v>
      </c>
      <c r="D70" s="9" t="s">
        <v>4</v>
      </c>
      <c r="E70" s="8" t="s">
        <v>175</v>
      </c>
      <c r="F70" s="9">
        <v>32</v>
      </c>
      <c r="G70" s="9"/>
      <c r="H70" s="9"/>
      <c r="I70" s="7">
        <v>20</v>
      </c>
      <c r="J70" s="7"/>
      <c r="K70" s="7"/>
      <c r="L70" s="7" t="s">
        <v>59</v>
      </c>
      <c r="M70" s="122"/>
      <c r="N70" s="122"/>
      <c r="O70" s="122"/>
      <c r="P70" s="96"/>
      <c r="Q70" s="14">
        <v>0.3</v>
      </c>
      <c r="R70" s="93">
        <v>19.963021934449181</v>
      </c>
      <c r="S70" s="93">
        <v>1109.1272727272753</v>
      </c>
      <c r="T70" s="122" t="s">
        <v>1518</v>
      </c>
      <c r="U70" s="7"/>
      <c r="V70" s="7"/>
      <c r="W70" s="122"/>
      <c r="X70" s="122"/>
      <c r="Y70" s="122" t="s">
        <v>1518</v>
      </c>
      <c r="Z70" s="7"/>
      <c r="AA70" s="7"/>
      <c r="AB70" s="7"/>
      <c r="AC70" s="7">
        <v>1</v>
      </c>
      <c r="AD70" s="7"/>
      <c r="AE70" s="7"/>
      <c r="AF70" s="7">
        <v>1</v>
      </c>
      <c r="AG70" s="7">
        <v>1</v>
      </c>
      <c r="AH70" s="7"/>
      <c r="AI70" s="7">
        <v>1</v>
      </c>
      <c r="AJ70" s="7"/>
      <c r="AK70" s="7"/>
      <c r="AL70" s="7"/>
      <c r="AM70" s="16">
        <v>44169</v>
      </c>
      <c r="AN70" s="4"/>
      <c r="AO70" s="11" t="s">
        <v>155</v>
      </c>
      <c r="AP70" s="4"/>
      <c r="AQ70" s="4"/>
      <c r="AR70" s="4"/>
      <c r="AS70" s="11">
        <v>600</v>
      </c>
      <c r="AT70" s="11"/>
      <c r="AU70" s="11"/>
      <c r="AV70" s="11"/>
      <c r="AW70" s="4"/>
      <c r="AX70" s="4">
        <f t="shared" si="4"/>
        <v>4</v>
      </c>
      <c r="AY70" s="93"/>
      <c r="AZ70" s="4">
        <v>3</v>
      </c>
    </row>
    <row r="71" spans="1:52" ht="14.25" customHeight="1" x14ac:dyDescent="0.25">
      <c r="B71" s="112" t="s">
        <v>156</v>
      </c>
      <c r="C71" s="6" t="s">
        <v>1467</v>
      </c>
      <c r="D71" s="9" t="s">
        <v>4</v>
      </c>
      <c r="E71" s="9" t="s">
        <v>29</v>
      </c>
      <c r="F71" s="9">
        <v>4</v>
      </c>
      <c r="G71" s="9"/>
      <c r="H71" s="9"/>
      <c r="I71" s="7"/>
      <c r="J71" s="7"/>
      <c r="K71" s="7"/>
      <c r="L71" s="7"/>
      <c r="M71" s="122"/>
      <c r="N71" s="122"/>
      <c r="O71" s="122"/>
      <c r="P71" s="96"/>
      <c r="Q71" s="7"/>
      <c r="R71" s="93">
        <v>4.5893212685087947E-2</v>
      </c>
      <c r="S71" s="93">
        <v>76.252499999999827</v>
      </c>
      <c r="T71" s="122" t="s">
        <v>1518</v>
      </c>
      <c r="U71" s="7"/>
      <c r="V71" s="7"/>
      <c r="W71" s="122" t="s">
        <v>1518</v>
      </c>
      <c r="X71" s="122"/>
      <c r="Y71" s="122"/>
      <c r="Z71" s="7"/>
      <c r="AA71" s="7">
        <v>1</v>
      </c>
      <c r="AB71" s="7"/>
      <c r="AC71" s="7"/>
      <c r="AD71" s="7">
        <v>1</v>
      </c>
      <c r="AE71" s="7"/>
      <c r="AF71" s="7"/>
      <c r="AG71" s="7"/>
      <c r="AH71" s="7"/>
      <c r="AI71" s="7"/>
      <c r="AJ71" s="7"/>
      <c r="AK71" s="7"/>
      <c r="AL71" s="7"/>
      <c r="AM71" s="16">
        <v>44169</v>
      </c>
      <c r="AN71" s="4"/>
      <c r="AO71" s="11" t="s">
        <v>142</v>
      </c>
      <c r="AP71" s="4"/>
      <c r="AQ71" s="4"/>
      <c r="AR71" s="4"/>
      <c r="AS71" s="11">
        <v>480</v>
      </c>
      <c r="AT71" s="11"/>
      <c r="AU71" s="11"/>
      <c r="AV71" s="11"/>
      <c r="AW71" s="4"/>
      <c r="AX71" s="4">
        <f t="shared" si="4"/>
        <v>2</v>
      </c>
      <c r="AY71" s="93"/>
      <c r="AZ71" s="4">
        <v>0.75</v>
      </c>
    </row>
    <row r="72" spans="1:52" ht="14.25" customHeight="1" x14ac:dyDescent="0.25">
      <c r="B72" s="112" t="s">
        <v>1080</v>
      </c>
      <c r="C72" s="6" t="s">
        <v>1081</v>
      </c>
      <c r="D72" s="9" t="s">
        <v>4</v>
      </c>
      <c r="E72" s="9" t="s">
        <v>26</v>
      </c>
      <c r="F72" s="9">
        <v>4</v>
      </c>
      <c r="G72" s="9">
        <v>4</v>
      </c>
      <c r="H72" s="9"/>
      <c r="I72" s="7"/>
      <c r="J72" s="7"/>
      <c r="K72" s="7"/>
      <c r="L72" s="7"/>
      <c r="M72" s="122"/>
      <c r="N72" s="122"/>
      <c r="O72" s="122"/>
      <c r="P72" s="96"/>
      <c r="Q72" s="7"/>
      <c r="R72" s="93">
        <v>2.3327956405098589</v>
      </c>
      <c r="S72" s="93">
        <v>30.657571799999928</v>
      </c>
      <c r="T72" s="122" t="s">
        <v>1518</v>
      </c>
      <c r="U72" s="7"/>
      <c r="V72" s="7"/>
      <c r="W72" s="122" t="s">
        <v>1518</v>
      </c>
      <c r="X72" s="122"/>
      <c r="Y72" s="122" t="s">
        <v>1518</v>
      </c>
      <c r="Z72" s="7"/>
      <c r="AA72" s="7">
        <v>1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>
        <v>1</v>
      </c>
      <c r="AM72" s="16">
        <v>44169</v>
      </c>
      <c r="AN72" s="4"/>
      <c r="AO72" s="4" t="s">
        <v>142</v>
      </c>
      <c r="AP72" s="4" t="s">
        <v>157</v>
      </c>
      <c r="AQ72" s="4"/>
      <c r="AR72" s="4"/>
      <c r="AS72" s="11">
        <v>36</v>
      </c>
      <c r="AT72" s="11">
        <v>385</v>
      </c>
      <c r="AU72" s="11"/>
      <c r="AV72" s="11"/>
      <c r="AW72" s="4"/>
      <c r="AX72" s="4">
        <f t="shared" si="4"/>
        <v>2</v>
      </c>
      <c r="AY72" s="93"/>
      <c r="AZ72" s="4">
        <v>4</v>
      </c>
    </row>
    <row r="73" spans="1:52" ht="14.25" customHeight="1" x14ac:dyDescent="0.25">
      <c r="B73" s="112" t="s">
        <v>158</v>
      </c>
      <c r="C73" s="6" t="s">
        <v>1082</v>
      </c>
      <c r="D73" s="8" t="s">
        <v>4</v>
      </c>
      <c r="E73" s="9" t="s">
        <v>26</v>
      </c>
      <c r="F73" s="9">
        <v>27</v>
      </c>
      <c r="G73" s="9"/>
      <c r="H73" s="9"/>
      <c r="I73" s="7"/>
      <c r="J73" s="7"/>
      <c r="K73" s="7"/>
      <c r="L73" s="7"/>
      <c r="M73" s="122"/>
      <c r="N73" s="122"/>
      <c r="O73" s="122"/>
      <c r="P73" s="96"/>
      <c r="Q73" s="14">
        <v>0.3</v>
      </c>
      <c r="R73" s="93">
        <v>1.13974582830635</v>
      </c>
      <c r="S73" s="93">
        <v>187.50547735294077</v>
      </c>
      <c r="T73" s="122" t="s">
        <v>1518</v>
      </c>
      <c r="U73" s="7"/>
      <c r="V73" s="7"/>
      <c r="W73" s="122" t="s">
        <v>1518</v>
      </c>
      <c r="X73" s="122"/>
      <c r="Y73" s="122" t="s">
        <v>1518</v>
      </c>
      <c r="Z73" s="7"/>
      <c r="AA73" s="7"/>
      <c r="AB73" s="7"/>
      <c r="AC73" s="7"/>
      <c r="AD73" s="7">
        <v>1</v>
      </c>
      <c r="AE73" s="7"/>
      <c r="AF73" s="7"/>
      <c r="AG73" s="7"/>
      <c r="AH73" s="7"/>
      <c r="AI73" s="7"/>
      <c r="AJ73" s="7"/>
      <c r="AK73" s="7"/>
      <c r="AL73" s="7"/>
      <c r="AM73" s="16">
        <v>44169</v>
      </c>
      <c r="AN73" s="4"/>
      <c r="AO73" s="4" t="s">
        <v>159</v>
      </c>
      <c r="AP73" s="4" t="s">
        <v>211</v>
      </c>
      <c r="AQ73" s="4"/>
      <c r="AR73" s="4"/>
      <c r="AS73" s="11">
        <v>44</v>
      </c>
      <c r="AT73" s="11">
        <v>22</v>
      </c>
      <c r="AU73" s="11"/>
      <c r="AV73" s="11"/>
      <c r="AW73" s="4"/>
      <c r="AX73" s="4">
        <f t="shared" si="4"/>
        <v>1</v>
      </c>
      <c r="AY73" s="93"/>
      <c r="AZ73" s="4">
        <v>2.25</v>
      </c>
    </row>
    <row r="74" spans="1:52" ht="14.25" customHeight="1" x14ac:dyDescent="0.25">
      <c r="B74" s="112" t="s">
        <v>160</v>
      </c>
      <c r="C74" s="6" t="s">
        <v>1083</v>
      </c>
      <c r="D74" s="8" t="s">
        <v>4</v>
      </c>
      <c r="E74" s="7" t="s">
        <v>1531</v>
      </c>
      <c r="F74" s="9">
        <v>6</v>
      </c>
      <c r="G74" s="9"/>
      <c r="H74" s="9"/>
      <c r="I74" s="7"/>
      <c r="J74" s="7">
        <v>3</v>
      </c>
      <c r="K74" s="7"/>
      <c r="L74" s="7"/>
      <c r="M74" s="122" t="s">
        <v>1518</v>
      </c>
      <c r="N74" s="122" t="s">
        <v>1518</v>
      </c>
      <c r="O74" s="122" t="s">
        <v>1518</v>
      </c>
      <c r="P74" s="96" t="s">
        <v>1521</v>
      </c>
      <c r="Q74" s="7"/>
      <c r="R74" s="93">
        <v>1.0963567907586515E-2</v>
      </c>
      <c r="S74" s="93">
        <v>74.844761538461754</v>
      </c>
      <c r="T74" s="122" t="s">
        <v>1518</v>
      </c>
      <c r="U74" s="7"/>
      <c r="V74" s="7"/>
      <c r="W74" s="122" t="s">
        <v>1518</v>
      </c>
      <c r="X74" s="122"/>
      <c r="Y74" s="122" t="s">
        <v>1518</v>
      </c>
      <c r="Z74" s="7"/>
      <c r="AA74" s="7">
        <v>1</v>
      </c>
      <c r="AB74" s="7"/>
      <c r="AC74" s="7">
        <v>1</v>
      </c>
      <c r="AD74" s="7">
        <v>1</v>
      </c>
      <c r="AE74" s="7"/>
      <c r="AF74" s="7"/>
      <c r="AG74" s="7">
        <v>1</v>
      </c>
      <c r="AH74" s="7">
        <v>1</v>
      </c>
      <c r="AI74" s="7"/>
      <c r="AJ74" s="7"/>
      <c r="AK74" s="7"/>
      <c r="AL74" s="7">
        <v>1</v>
      </c>
      <c r="AM74" s="16">
        <v>44169</v>
      </c>
      <c r="AN74" s="16"/>
      <c r="AO74" s="4" t="s">
        <v>161</v>
      </c>
      <c r="AP74" s="4"/>
      <c r="AQ74" s="4"/>
      <c r="AR74" s="4"/>
      <c r="AS74" s="11">
        <v>870</v>
      </c>
      <c r="AT74" s="11"/>
      <c r="AU74" s="11"/>
      <c r="AV74" s="11"/>
      <c r="AW74" s="4"/>
      <c r="AX74" s="4">
        <f t="shared" si="4"/>
        <v>6</v>
      </c>
      <c r="AY74" s="93"/>
      <c r="AZ74" s="4">
        <v>1.1000000000000001</v>
      </c>
    </row>
    <row r="75" spans="1:52" ht="14.25" customHeight="1" x14ac:dyDescent="0.25">
      <c r="B75" s="112" t="s">
        <v>1463</v>
      </c>
      <c r="C75" s="6" t="s">
        <v>1084</v>
      </c>
      <c r="D75" s="9" t="s">
        <v>4</v>
      </c>
      <c r="E75" s="9" t="s">
        <v>26</v>
      </c>
      <c r="F75" s="9">
        <v>32</v>
      </c>
      <c r="G75" s="9"/>
      <c r="H75" s="9"/>
      <c r="I75" s="7">
        <v>20</v>
      </c>
      <c r="J75" s="7"/>
      <c r="K75" s="7"/>
      <c r="L75" s="7" t="s">
        <v>120</v>
      </c>
      <c r="M75" s="122"/>
      <c r="N75" s="122"/>
      <c r="O75" s="122"/>
      <c r="P75" s="96"/>
      <c r="Q75" s="14">
        <v>0.3</v>
      </c>
      <c r="R75" s="93">
        <v>6.6543406448163935</v>
      </c>
      <c r="S75" s="93">
        <v>369.70909090909174</v>
      </c>
      <c r="T75" s="122" t="s">
        <v>1518</v>
      </c>
      <c r="U75" s="7"/>
      <c r="V75" s="7"/>
      <c r="W75" s="122"/>
      <c r="X75" s="122"/>
      <c r="Y75" s="122" t="s">
        <v>1518</v>
      </c>
      <c r="Z75" s="7"/>
      <c r="AA75" s="7"/>
      <c r="AB75" s="7"/>
      <c r="AC75" s="7">
        <v>1</v>
      </c>
      <c r="AD75" s="7"/>
      <c r="AE75" s="7"/>
      <c r="AF75" s="7"/>
      <c r="AG75" s="7">
        <v>1</v>
      </c>
      <c r="AH75" s="7"/>
      <c r="AI75" s="7"/>
      <c r="AJ75" s="7"/>
      <c r="AK75" s="7"/>
      <c r="AL75" s="7"/>
      <c r="AM75" s="16">
        <v>44169</v>
      </c>
      <c r="AN75" s="4"/>
      <c r="AO75" s="11" t="s">
        <v>155</v>
      </c>
      <c r="AP75" s="4"/>
      <c r="AQ75" s="4"/>
      <c r="AR75" s="4"/>
      <c r="AS75" s="11">
        <v>600</v>
      </c>
      <c r="AT75" s="11"/>
      <c r="AU75" s="11"/>
      <c r="AV75" s="11"/>
      <c r="AW75" s="4"/>
      <c r="AX75" s="4">
        <f t="shared" si="4"/>
        <v>2</v>
      </c>
      <c r="AY75" s="93"/>
      <c r="AZ75" s="4">
        <v>1</v>
      </c>
    </row>
    <row r="76" spans="1:52" ht="14.25" customHeight="1" x14ac:dyDescent="0.25">
      <c r="B76" s="112" t="s">
        <v>1462</v>
      </c>
      <c r="C76" s="6" t="s">
        <v>1084</v>
      </c>
      <c r="D76" s="9" t="s">
        <v>4</v>
      </c>
      <c r="E76" s="9" t="s">
        <v>26</v>
      </c>
      <c r="F76" s="9">
        <v>32</v>
      </c>
      <c r="G76" s="9"/>
      <c r="H76" s="9"/>
      <c r="I76" s="7">
        <v>20</v>
      </c>
      <c r="J76" s="7"/>
      <c r="K76" s="7"/>
      <c r="L76" s="7" t="s">
        <v>80</v>
      </c>
      <c r="M76" s="122"/>
      <c r="N76" s="122"/>
      <c r="O76" s="122"/>
      <c r="P76" s="96"/>
      <c r="Q76" s="14">
        <v>0.3</v>
      </c>
      <c r="R76" s="93">
        <v>13.308681289632787</v>
      </c>
      <c r="S76" s="93">
        <v>739.41818181818348</v>
      </c>
      <c r="T76" s="122" t="s">
        <v>1518</v>
      </c>
      <c r="U76" s="7"/>
      <c r="V76" s="7"/>
      <c r="W76" s="122"/>
      <c r="X76" s="122"/>
      <c r="Y76" s="122" t="s">
        <v>1518</v>
      </c>
      <c r="Z76" s="7"/>
      <c r="AA76" s="7"/>
      <c r="AB76" s="7"/>
      <c r="AC76" s="7">
        <v>1</v>
      </c>
      <c r="AD76" s="7"/>
      <c r="AE76" s="7"/>
      <c r="AF76" s="7">
        <v>1</v>
      </c>
      <c r="AG76" s="7">
        <v>1</v>
      </c>
      <c r="AH76" s="7"/>
      <c r="AI76" s="7">
        <v>1</v>
      </c>
      <c r="AJ76" s="7"/>
      <c r="AK76" s="7"/>
      <c r="AL76" s="7"/>
      <c r="AM76" s="16">
        <v>44169</v>
      </c>
      <c r="AN76" s="4"/>
      <c r="AO76" s="11" t="s">
        <v>155</v>
      </c>
      <c r="AP76" s="4"/>
      <c r="AQ76" s="4"/>
      <c r="AR76" s="4"/>
      <c r="AS76" s="11">
        <v>600</v>
      </c>
      <c r="AT76" s="11"/>
      <c r="AU76" s="11"/>
      <c r="AV76" s="11"/>
      <c r="AW76" s="4"/>
      <c r="AX76" s="4">
        <f t="shared" si="4"/>
        <v>4</v>
      </c>
      <c r="AY76" s="93"/>
      <c r="AZ76" s="4">
        <v>2</v>
      </c>
    </row>
    <row r="77" spans="1:52" ht="14.25" customHeight="1" x14ac:dyDescent="0.25">
      <c r="B77" s="112" t="s">
        <v>1461</v>
      </c>
      <c r="C77" s="6" t="s">
        <v>1084</v>
      </c>
      <c r="D77" s="9" t="s">
        <v>4</v>
      </c>
      <c r="E77" s="9" t="s">
        <v>26</v>
      </c>
      <c r="F77" s="9">
        <v>32</v>
      </c>
      <c r="G77" s="9"/>
      <c r="H77" s="9"/>
      <c r="I77" s="7">
        <v>20</v>
      </c>
      <c r="J77" s="7"/>
      <c r="K77" s="7"/>
      <c r="L77" s="7" t="s">
        <v>59</v>
      </c>
      <c r="M77" s="122"/>
      <c r="N77" s="122"/>
      <c r="O77" s="122"/>
      <c r="P77" s="96"/>
      <c r="Q77" s="14">
        <v>0.3</v>
      </c>
      <c r="R77" s="93">
        <v>19.963021934449181</v>
      </c>
      <c r="S77" s="93">
        <v>1109.1272727272753</v>
      </c>
      <c r="T77" s="122" t="s">
        <v>1518</v>
      </c>
      <c r="U77" s="7"/>
      <c r="V77" s="7"/>
      <c r="W77" s="122"/>
      <c r="X77" s="122"/>
      <c r="Y77" s="122" t="s">
        <v>1518</v>
      </c>
      <c r="Z77" s="7"/>
      <c r="AA77" s="7"/>
      <c r="AB77" s="7"/>
      <c r="AC77" s="7">
        <v>1</v>
      </c>
      <c r="AD77" s="7"/>
      <c r="AE77" s="7"/>
      <c r="AF77" s="7">
        <v>1</v>
      </c>
      <c r="AG77" s="7">
        <v>1</v>
      </c>
      <c r="AH77" s="7"/>
      <c r="AI77" s="7">
        <v>1</v>
      </c>
      <c r="AJ77" s="7"/>
      <c r="AK77" s="7"/>
      <c r="AL77" s="7"/>
      <c r="AM77" s="16">
        <v>44169</v>
      </c>
      <c r="AN77" s="4"/>
      <c r="AO77" s="11" t="s">
        <v>155</v>
      </c>
      <c r="AP77" s="4"/>
      <c r="AQ77" s="4"/>
      <c r="AR77" s="4"/>
      <c r="AS77" s="11">
        <v>600</v>
      </c>
      <c r="AT77" s="11"/>
      <c r="AU77" s="11"/>
      <c r="AV77" s="11"/>
      <c r="AW77" s="4"/>
      <c r="AX77" s="4">
        <f t="shared" si="4"/>
        <v>4</v>
      </c>
      <c r="AY77" s="93"/>
      <c r="AZ77" s="4">
        <v>3</v>
      </c>
    </row>
    <row r="78" spans="1:52" ht="14.25" customHeight="1" x14ac:dyDescent="0.25">
      <c r="B78" s="112" t="s">
        <v>162</v>
      </c>
      <c r="C78" s="6" t="s">
        <v>1085</v>
      </c>
      <c r="D78" s="8" t="s">
        <v>4</v>
      </c>
      <c r="E78" s="8" t="s">
        <v>17</v>
      </c>
      <c r="F78" s="9">
        <v>5</v>
      </c>
      <c r="G78" s="9"/>
      <c r="H78" s="9"/>
      <c r="I78" s="7"/>
      <c r="J78" s="7"/>
      <c r="K78" s="7"/>
      <c r="L78" s="7"/>
      <c r="M78" s="122"/>
      <c r="N78" s="122"/>
      <c r="O78" s="122"/>
      <c r="P78" s="96"/>
      <c r="Q78" s="7"/>
      <c r="R78" s="93">
        <v>2.9479888141859618</v>
      </c>
      <c r="S78" s="93">
        <v>1.8827777777777825</v>
      </c>
      <c r="T78" s="122" t="s">
        <v>1518</v>
      </c>
      <c r="U78" s="7"/>
      <c r="V78" s="7"/>
      <c r="W78" s="122" t="s">
        <v>1518</v>
      </c>
      <c r="X78" s="122"/>
      <c r="Y78" s="122" t="s">
        <v>1518</v>
      </c>
      <c r="Z78" s="7"/>
      <c r="AA78" s="7"/>
      <c r="AB78" s="7">
        <v>1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16">
        <v>44169</v>
      </c>
      <c r="AN78" s="4"/>
      <c r="AO78" s="4" t="s">
        <v>163</v>
      </c>
      <c r="AP78" s="4"/>
      <c r="AQ78" s="4"/>
      <c r="AR78" s="4"/>
      <c r="AS78" s="11">
        <v>160</v>
      </c>
      <c r="AT78" s="11"/>
      <c r="AU78" s="11"/>
      <c r="AV78" s="11"/>
      <c r="AW78" s="4"/>
      <c r="AX78" s="4">
        <f t="shared" si="4"/>
        <v>1</v>
      </c>
      <c r="AY78" s="93"/>
      <c r="AZ78" s="4">
        <v>1</v>
      </c>
    </row>
    <row r="79" spans="1:52" ht="14.25" customHeight="1" x14ac:dyDescent="0.25">
      <c r="B79" s="112" t="s">
        <v>1086</v>
      </c>
      <c r="C79" s="6" t="s">
        <v>1087</v>
      </c>
      <c r="D79" s="8" t="s">
        <v>4</v>
      </c>
      <c r="E79" s="8" t="s">
        <v>17</v>
      </c>
      <c r="F79" s="9">
        <v>5</v>
      </c>
      <c r="G79" s="9">
        <v>15</v>
      </c>
      <c r="H79" s="9"/>
      <c r="I79" s="7"/>
      <c r="J79" s="7"/>
      <c r="K79" s="7"/>
      <c r="L79" s="7"/>
      <c r="M79" s="122"/>
      <c r="N79" s="122"/>
      <c r="O79" s="122"/>
      <c r="P79" s="96"/>
      <c r="Q79" s="7"/>
      <c r="R79" s="93">
        <v>3.1016537100744697</v>
      </c>
      <c r="S79" s="93">
        <v>22.422171717171729</v>
      </c>
      <c r="T79" s="122" t="s">
        <v>1518</v>
      </c>
      <c r="U79" s="7"/>
      <c r="V79" s="7"/>
      <c r="W79" s="122"/>
      <c r="X79" s="122"/>
      <c r="Y79" s="122"/>
      <c r="Z79" s="7"/>
      <c r="AA79" s="7"/>
      <c r="AB79" s="7">
        <v>1</v>
      </c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16">
        <v>44169</v>
      </c>
      <c r="AN79" s="4"/>
      <c r="AO79" s="4" t="s">
        <v>163</v>
      </c>
      <c r="AP79" s="6" t="s">
        <v>1015</v>
      </c>
      <c r="AQ79" s="4"/>
      <c r="AR79" s="4"/>
      <c r="AS79" s="11">
        <v>80</v>
      </c>
      <c r="AT79" s="11">
        <v>100</v>
      </c>
      <c r="AU79" s="11"/>
      <c r="AV79" s="11"/>
      <c r="AW79" s="4"/>
      <c r="AX79" s="4">
        <f t="shared" si="4"/>
        <v>1</v>
      </c>
      <c r="AY79" s="93"/>
      <c r="AZ79" s="4">
        <v>2</v>
      </c>
    </row>
    <row r="80" spans="1:52" ht="14.25" customHeight="1" x14ac:dyDescent="0.25">
      <c r="B80" s="112" t="s">
        <v>953</v>
      </c>
      <c r="C80" s="6" t="s">
        <v>1088</v>
      </c>
      <c r="D80" s="8" t="s">
        <v>4</v>
      </c>
      <c r="E80" s="8" t="s">
        <v>109</v>
      </c>
      <c r="F80" s="9">
        <v>15</v>
      </c>
      <c r="G80" s="9">
        <v>34</v>
      </c>
      <c r="H80" s="9"/>
      <c r="I80" s="7">
        <v>6</v>
      </c>
      <c r="J80" s="7"/>
      <c r="K80" s="7"/>
      <c r="L80" s="7" t="s">
        <v>120</v>
      </c>
      <c r="M80" s="122" t="s">
        <v>1518</v>
      </c>
      <c r="N80" s="122" t="s">
        <v>1518</v>
      </c>
      <c r="O80" s="122"/>
      <c r="P80" s="96" t="s">
        <v>1522</v>
      </c>
      <c r="Q80" s="7"/>
      <c r="R80" s="93">
        <v>12.000831614413222</v>
      </c>
      <c r="S80" s="93">
        <v>329.08058974358971</v>
      </c>
      <c r="T80" s="122" t="s">
        <v>1518</v>
      </c>
      <c r="U80" s="7"/>
      <c r="V80" s="7"/>
      <c r="W80" s="122"/>
      <c r="X80" s="122"/>
      <c r="Y80" s="122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16">
        <v>44169</v>
      </c>
      <c r="AN80" s="4"/>
      <c r="AO80" s="4" t="s">
        <v>1016</v>
      </c>
      <c r="AP80" s="6" t="s">
        <v>178</v>
      </c>
      <c r="AQ80" s="4"/>
      <c r="AR80" s="4"/>
      <c r="AS80" s="11">
        <v>250</v>
      </c>
      <c r="AT80" s="11">
        <v>33</v>
      </c>
      <c r="AU80" s="11"/>
      <c r="AV80" s="11"/>
      <c r="AW80" s="4" t="s">
        <v>1823</v>
      </c>
      <c r="AX80" s="4">
        <f t="shared" si="4"/>
        <v>0</v>
      </c>
      <c r="AY80" s="93"/>
      <c r="AZ80" s="4">
        <v>3</v>
      </c>
    </row>
    <row r="81" spans="2:52" ht="14.25" customHeight="1" x14ac:dyDescent="0.25">
      <c r="B81" s="112" t="s">
        <v>164</v>
      </c>
      <c r="C81" s="6" t="s">
        <v>1089</v>
      </c>
      <c r="D81" s="8" t="s">
        <v>4</v>
      </c>
      <c r="E81" s="8" t="s">
        <v>17</v>
      </c>
      <c r="F81" s="9">
        <v>2</v>
      </c>
      <c r="G81" s="9"/>
      <c r="H81" s="9"/>
      <c r="I81" s="7"/>
      <c r="J81" s="7"/>
      <c r="K81" s="7"/>
      <c r="L81" s="7"/>
      <c r="M81" s="122"/>
      <c r="N81" s="122"/>
      <c r="O81" s="122"/>
      <c r="P81" s="96"/>
      <c r="Q81" s="14">
        <v>0.3</v>
      </c>
      <c r="R81" s="93">
        <v>0.2487691243569787</v>
      </c>
      <c r="S81" s="93">
        <v>406.68000000000029</v>
      </c>
      <c r="T81" s="122" t="s">
        <v>1518</v>
      </c>
      <c r="U81" s="7"/>
      <c r="V81" s="7"/>
      <c r="W81" s="122"/>
      <c r="X81" s="122"/>
      <c r="Y81" s="122"/>
      <c r="Z81" s="7"/>
      <c r="AA81" s="7"/>
      <c r="AB81" s="7"/>
      <c r="AC81" s="7"/>
      <c r="AD81" s="7"/>
      <c r="AE81" s="7"/>
      <c r="AF81" s="7"/>
      <c r="AG81" s="7">
        <v>1</v>
      </c>
      <c r="AH81" s="7">
        <v>1</v>
      </c>
      <c r="AI81" s="7">
        <v>1</v>
      </c>
      <c r="AJ81" s="7"/>
      <c r="AK81" s="7"/>
      <c r="AL81" s="7"/>
      <c r="AM81" s="16">
        <v>44169</v>
      </c>
      <c r="AN81" s="4"/>
      <c r="AO81" s="4" t="s">
        <v>165</v>
      </c>
      <c r="AP81" s="4"/>
      <c r="AQ81" s="4"/>
      <c r="AR81" s="4"/>
      <c r="AS81" s="11">
        <v>40</v>
      </c>
      <c r="AT81" s="11"/>
      <c r="AU81" s="11"/>
      <c r="AV81" s="11"/>
      <c r="AW81" s="4"/>
      <c r="AX81" s="4">
        <f t="shared" si="4"/>
        <v>3</v>
      </c>
      <c r="AY81" s="93"/>
      <c r="AZ81" s="4">
        <v>1</v>
      </c>
    </row>
    <row r="82" spans="2:52" ht="14.25" customHeight="1" x14ac:dyDescent="0.25">
      <c r="B82" s="112" t="s">
        <v>166</v>
      </c>
      <c r="C82" s="6" t="s">
        <v>1090</v>
      </c>
      <c r="D82" s="8" t="s">
        <v>4</v>
      </c>
      <c r="E82" s="9" t="s">
        <v>26</v>
      </c>
      <c r="F82" s="9">
        <v>5</v>
      </c>
      <c r="G82" s="9"/>
      <c r="H82" s="9"/>
      <c r="I82" s="7"/>
      <c r="J82" s="7"/>
      <c r="K82" s="7"/>
      <c r="L82" s="7"/>
      <c r="M82" s="122"/>
      <c r="N82" s="122"/>
      <c r="O82" s="122"/>
      <c r="P82" s="96"/>
      <c r="Q82" s="7"/>
      <c r="R82" s="93">
        <v>0.12819947377256399</v>
      </c>
      <c r="S82" s="93">
        <v>134.78977272727238</v>
      </c>
      <c r="T82" s="122" t="s">
        <v>1518</v>
      </c>
      <c r="U82" s="7"/>
      <c r="V82" s="7"/>
      <c r="W82" s="122"/>
      <c r="X82" s="122"/>
      <c r="Y82" s="122" t="s">
        <v>1518</v>
      </c>
      <c r="Z82" s="7"/>
      <c r="AA82" s="7"/>
      <c r="AB82" s="7">
        <v>1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16">
        <v>44169</v>
      </c>
      <c r="AN82" s="4"/>
      <c r="AO82" s="6" t="s">
        <v>1017</v>
      </c>
      <c r="AP82" s="4"/>
      <c r="AQ82" s="4"/>
      <c r="AR82" s="4"/>
      <c r="AS82" s="11">
        <v>700</v>
      </c>
      <c r="AT82" s="11"/>
      <c r="AU82" s="11"/>
      <c r="AV82" s="11"/>
      <c r="AW82" s="4"/>
      <c r="AX82" s="4">
        <f t="shared" si="4"/>
        <v>1</v>
      </c>
      <c r="AY82" s="93"/>
      <c r="AZ82" s="4">
        <v>1</v>
      </c>
    </row>
    <row r="83" spans="2:52" ht="14.25" customHeight="1" x14ac:dyDescent="0.25">
      <c r="B83" s="112" t="s">
        <v>167</v>
      </c>
      <c r="C83" s="6" t="s">
        <v>1091</v>
      </c>
      <c r="D83" s="8" t="s">
        <v>4</v>
      </c>
      <c r="E83" s="8" t="s">
        <v>1649</v>
      </c>
      <c r="F83" s="9">
        <v>5</v>
      </c>
      <c r="G83" s="9">
        <v>15</v>
      </c>
      <c r="H83" s="9"/>
      <c r="I83" s="7"/>
      <c r="J83" s="7"/>
      <c r="K83" s="7"/>
      <c r="L83" s="7"/>
      <c r="M83" s="122"/>
      <c r="N83" s="122"/>
      <c r="O83" s="122"/>
      <c r="P83" s="96"/>
      <c r="Q83" s="7"/>
      <c r="R83" s="93">
        <v>3.1016537100744697</v>
      </c>
      <c r="S83" s="93">
        <v>22.422171717171729</v>
      </c>
      <c r="T83" s="122" t="s">
        <v>1518</v>
      </c>
      <c r="U83" s="7"/>
      <c r="V83" s="7"/>
      <c r="W83" s="122"/>
      <c r="X83" s="122"/>
      <c r="Y83" s="122"/>
      <c r="Z83" s="7"/>
      <c r="AA83" s="7"/>
      <c r="AB83" s="7">
        <v>1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16">
        <v>44169</v>
      </c>
      <c r="AN83" s="4"/>
      <c r="AO83" s="4" t="s">
        <v>163</v>
      </c>
      <c r="AP83" s="6" t="s">
        <v>1015</v>
      </c>
      <c r="AQ83" s="4"/>
      <c r="AR83" s="4"/>
      <c r="AS83" s="11">
        <v>80</v>
      </c>
      <c r="AT83" s="11">
        <v>100</v>
      </c>
      <c r="AU83" s="11"/>
      <c r="AV83" s="11"/>
      <c r="AW83" s="4"/>
      <c r="AX83" s="4">
        <f t="shared" si="4"/>
        <v>1</v>
      </c>
      <c r="AY83" s="93"/>
      <c r="AZ83" s="4">
        <v>2</v>
      </c>
    </row>
    <row r="84" spans="2:52" ht="14.25" customHeight="1" x14ac:dyDescent="0.25">
      <c r="B84" s="112" t="s">
        <v>168</v>
      </c>
      <c r="C84" s="6" t="s">
        <v>1092</v>
      </c>
      <c r="D84" s="8" t="s">
        <v>4</v>
      </c>
      <c r="E84" s="8" t="s">
        <v>54</v>
      </c>
      <c r="F84" s="9">
        <v>5</v>
      </c>
      <c r="G84" s="9">
        <v>5</v>
      </c>
      <c r="H84" s="9">
        <v>15</v>
      </c>
      <c r="I84" s="7"/>
      <c r="J84" s="7"/>
      <c r="K84" s="7"/>
      <c r="L84" s="7"/>
      <c r="M84" s="122"/>
      <c r="N84" s="122"/>
      <c r="O84" s="122"/>
      <c r="P84" s="96"/>
      <c r="Q84" s="7"/>
      <c r="R84" s="93">
        <v>3.0206301752937588</v>
      </c>
      <c r="S84" s="93">
        <v>105.8966221590907</v>
      </c>
      <c r="T84" s="122" t="s">
        <v>1518</v>
      </c>
      <c r="U84" s="7"/>
      <c r="V84" s="7"/>
      <c r="W84" s="122" t="s">
        <v>1518</v>
      </c>
      <c r="X84" s="122"/>
      <c r="Y84" s="122" t="s">
        <v>1518</v>
      </c>
      <c r="Z84" s="7"/>
      <c r="AA84" s="7"/>
      <c r="AB84" s="7">
        <v>1</v>
      </c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16">
        <v>44169</v>
      </c>
      <c r="AN84" s="4"/>
      <c r="AO84" s="11" t="s">
        <v>163</v>
      </c>
      <c r="AP84" s="6" t="s">
        <v>1017</v>
      </c>
      <c r="AQ84" s="6" t="s">
        <v>1015</v>
      </c>
      <c r="AR84" s="11"/>
      <c r="AS84" s="11">
        <v>51</v>
      </c>
      <c r="AT84" s="11">
        <v>153</v>
      </c>
      <c r="AU84" s="11">
        <v>51</v>
      </c>
      <c r="AV84" s="11"/>
      <c r="AW84" s="4"/>
      <c r="AX84" s="4">
        <f t="shared" si="4"/>
        <v>1</v>
      </c>
      <c r="AY84" s="93"/>
      <c r="AZ84" s="4">
        <v>3</v>
      </c>
    </row>
    <row r="85" spans="2:52" ht="14.25" customHeight="1" x14ac:dyDescent="0.25">
      <c r="B85" s="112" t="s">
        <v>169</v>
      </c>
      <c r="C85" s="6" t="s">
        <v>1093</v>
      </c>
      <c r="D85" s="8" t="s">
        <v>4</v>
      </c>
      <c r="E85" s="8" t="s">
        <v>13</v>
      </c>
      <c r="F85" s="9">
        <v>5</v>
      </c>
      <c r="G85" s="9"/>
      <c r="H85" s="9"/>
      <c r="I85" s="7"/>
      <c r="J85" s="7"/>
      <c r="K85" s="7"/>
      <c r="L85" s="7"/>
      <c r="M85" s="122"/>
      <c r="N85" s="122"/>
      <c r="O85" s="122"/>
      <c r="P85" s="96"/>
      <c r="Q85" s="7"/>
      <c r="R85" s="93">
        <v>2.9479888141859618</v>
      </c>
      <c r="S85" s="93">
        <v>1.8827777777777825</v>
      </c>
      <c r="T85" s="122" t="s">
        <v>1518</v>
      </c>
      <c r="U85" s="7"/>
      <c r="V85" s="7"/>
      <c r="W85" s="122" t="s">
        <v>1518</v>
      </c>
      <c r="X85" s="122"/>
      <c r="Y85" s="122" t="s">
        <v>1518</v>
      </c>
      <c r="Z85" s="7"/>
      <c r="AA85" s="7"/>
      <c r="AB85" s="7">
        <v>1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16">
        <v>44169</v>
      </c>
      <c r="AN85" s="4"/>
      <c r="AO85" s="4" t="s">
        <v>163</v>
      </c>
      <c r="AP85" s="4"/>
      <c r="AQ85" s="4"/>
      <c r="AR85" s="4"/>
      <c r="AS85" s="11">
        <v>160</v>
      </c>
      <c r="AT85" s="11"/>
      <c r="AU85" s="11"/>
      <c r="AV85" s="11"/>
      <c r="AW85" s="4"/>
      <c r="AX85" s="4">
        <f t="shared" si="4"/>
        <v>1</v>
      </c>
      <c r="AY85" s="93"/>
      <c r="AZ85" s="4">
        <v>1</v>
      </c>
    </row>
    <row r="86" spans="2:52" ht="14.25" customHeight="1" x14ac:dyDescent="0.25">
      <c r="B86" s="112" t="s">
        <v>170</v>
      </c>
      <c r="C86" s="6" t="s">
        <v>1094</v>
      </c>
      <c r="D86" s="8" t="s">
        <v>4</v>
      </c>
      <c r="E86" s="8" t="s">
        <v>17</v>
      </c>
      <c r="F86" s="9">
        <v>5</v>
      </c>
      <c r="G86" s="9"/>
      <c r="H86" s="9"/>
      <c r="I86" s="7"/>
      <c r="J86" s="7"/>
      <c r="K86" s="7"/>
      <c r="L86" s="7"/>
      <c r="M86" s="122"/>
      <c r="N86" s="122"/>
      <c r="O86" s="122"/>
      <c r="P86" s="96"/>
      <c r="Q86" s="7"/>
      <c r="R86" s="93">
        <v>0.12819947377256399</v>
      </c>
      <c r="S86" s="93">
        <v>134.78977272727238</v>
      </c>
      <c r="T86" s="122" t="s">
        <v>1518</v>
      </c>
      <c r="U86" s="7"/>
      <c r="V86" s="7"/>
      <c r="W86" s="122"/>
      <c r="X86" s="122"/>
      <c r="Y86" s="122" t="s">
        <v>1518</v>
      </c>
      <c r="Z86" s="7"/>
      <c r="AA86" s="7"/>
      <c r="AB86" s="7">
        <v>1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16">
        <v>44169</v>
      </c>
      <c r="AN86" s="4"/>
      <c r="AO86" s="6" t="s">
        <v>1017</v>
      </c>
      <c r="AP86" s="4"/>
      <c r="AQ86" s="4"/>
      <c r="AR86" s="4"/>
      <c r="AS86" s="11">
        <v>700</v>
      </c>
      <c r="AT86" s="11"/>
      <c r="AU86" s="11"/>
      <c r="AV86" s="11"/>
      <c r="AW86" s="4"/>
      <c r="AX86" s="4">
        <f t="shared" si="4"/>
        <v>1</v>
      </c>
      <c r="AY86" s="93"/>
      <c r="AZ86" s="4">
        <v>1</v>
      </c>
    </row>
    <row r="87" spans="2:52" ht="14.25" customHeight="1" x14ac:dyDescent="0.25">
      <c r="B87" s="112" t="s">
        <v>171</v>
      </c>
      <c r="C87" s="6" t="s">
        <v>1095</v>
      </c>
      <c r="D87" s="8" t="s">
        <v>4</v>
      </c>
      <c r="E87" s="7" t="s">
        <v>19</v>
      </c>
      <c r="F87" s="9">
        <v>2</v>
      </c>
      <c r="G87" s="9">
        <v>2</v>
      </c>
      <c r="H87" s="9"/>
      <c r="I87" s="7"/>
      <c r="J87" s="7">
        <v>6</v>
      </c>
      <c r="K87" s="7"/>
      <c r="L87" s="7"/>
      <c r="M87" s="122" t="s">
        <v>1518</v>
      </c>
      <c r="N87" s="122" t="s">
        <v>1518</v>
      </c>
      <c r="O87" s="122"/>
      <c r="P87" s="96"/>
      <c r="Q87" s="7"/>
      <c r="R87" s="93">
        <v>0.2679228834064864</v>
      </c>
      <c r="S87" s="93">
        <v>148.98277149877151</v>
      </c>
      <c r="T87" s="122" t="s">
        <v>1518</v>
      </c>
      <c r="U87" s="7"/>
      <c r="V87" s="7"/>
      <c r="W87" s="122"/>
      <c r="X87" s="122"/>
      <c r="Y87" s="122"/>
      <c r="Z87" s="7"/>
      <c r="AA87" s="7">
        <v>1</v>
      </c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16">
        <v>44169</v>
      </c>
      <c r="AN87" s="4"/>
      <c r="AO87" s="4" t="s">
        <v>141</v>
      </c>
      <c r="AP87" s="6" t="s">
        <v>1010</v>
      </c>
      <c r="AQ87" s="4"/>
      <c r="AR87" s="4"/>
      <c r="AS87" s="11">
        <v>714</v>
      </c>
      <c r="AT87" s="11">
        <v>54</v>
      </c>
      <c r="AU87" s="11"/>
      <c r="AV87" s="11"/>
      <c r="AW87" s="4"/>
      <c r="AX87" s="4">
        <f t="shared" si="4"/>
        <v>1</v>
      </c>
      <c r="AY87" s="93">
        <v>1</v>
      </c>
      <c r="AZ87" s="4">
        <v>7.0000000000000007E-2</v>
      </c>
    </row>
    <row r="88" spans="2:52" ht="14.25" customHeight="1" x14ac:dyDescent="0.25">
      <c r="B88" s="112" t="s">
        <v>35</v>
      </c>
      <c r="C88" s="6" t="s">
        <v>1096</v>
      </c>
      <c r="D88" s="8" t="s">
        <v>3</v>
      </c>
      <c r="E88" s="8" t="s">
        <v>34</v>
      </c>
      <c r="F88" s="8"/>
      <c r="G88" s="8"/>
      <c r="H88" s="8"/>
      <c r="I88" s="7"/>
      <c r="J88" s="7"/>
      <c r="K88" s="7">
        <v>3</v>
      </c>
      <c r="L88" s="7"/>
      <c r="M88" s="122"/>
      <c r="N88" s="122"/>
      <c r="O88" s="122"/>
      <c r="P88" s="96"/>
      <c r="Q88" s="7"/>
      <c r="R88" s="93">
        <v>0.10382449458198129</v>
      </c>
      <c r="S88" s="93">
        <v>5.2167187499999991E-3</v>
      </c>
      <c r="T88" s="122" t="s">
        <v>1518</v>
      </c>
      <c r="U88" s="7"/>
      <c r="V88" s="7"/>
      <c r="W88" s="122" t="s">
        <v>1518</v>
      </c>
      <c r="X88" s="122" t="s">
        <v>1518</v>
      </c>
      <c r="Y88" s="122"/>
      <c r="Z88" s="7" t="s">
        <v>7</v>
      </c>
      <c r="AA88" s="7">
        <v>1</v>
      </c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16">
        <v>44169</v>
      </c>
      <c r="AN88" s="4"/>
      <c r="AO88" s="6" t="s">
        <v>993</v>
      </c>
      <c r="AP88" s="4"/>
      <c r="AQ88" s="4"/>
      <c r="AR88" s="4"/>
      <c r="AS88" s="11">
        <v>500</v>
      </c>
      <c r="AT88" s="11"/>
      <c r="AU88" s="11"/>
      <c r="AV88" s="11"/>
      <c r="AW88" s="4"/>
      <c r="AX88" s="4">
        <f t="shared" si="4"/>
        <v>1</v>
      </c>
      <c r="AY88" s="93"/>
      <c r="AZ88" s="4">
        <v>0.06</v>
      </c>
    </row>
    <row r="89" spans="2:52" ht="14.25" customHeight="1" x14ac:dyDescent="0.25">
      <c r="B89" s="112" t="s">
        <v>172</v>
      </c>
      <c r="C89" s="6" t="s">
        <v>1098</v>
      </c>
      <c r="D89" s="8" t="s">
        <v>4</v>
      </c>
      <c r="E89" s="9" t="s">
        <v>26</v>
      </c>
      <c r="F89" s="9">
        <v>2</v>
      </c>
      <c r="G89" s="9">
        <v>2</v>
      </c>
      <c r="H89" s="9"/>
      <c r="I89" s="7"/>
      <c r="J89" s="7">
        <v>20</v>
      </c>
      <c r="K89" s="7"/>
      <c r="L89" s="7" t="s">
        <v>14</v>
      </c>
      <c r="M89" s="122"/>
      <c r="N89" s="122"/>
      <c r="O89" s="122"/>
      <c r="P89" s="96"/>
      <c r="Q89" s="14">
        <v>0.3</v>
      </c>
      <c r="R89" s="93">
        <v>1.3226836732079497</v>
      </c>
      <c r="S89" s="93">
        <v>866.9750390625004</v>
      </c>
      <c r="T89" s="122" t="s">
        <v>1518</v>
      </c>
      <c r="U89" s="7"/>
      <c r="V89" s="7"/>
      <c r="W89" s="122" t="s">
        <v>1518</v>
      </c>
      <c r="X89" s="122" t="s">
        <v>1518</v>
      </c>
      <c r="Y89" s="122"/>
      <c r="Z89" s="7"/>
      <c r="AA89" s="7">
        <v>1</v>
      </c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16">
        <v>45232</v>
      </c>
      <c r="AN89" s="4" t="s">
        <v>1861</v>
      </c>
      <c r="AO89" s="4" t="s">
        <v>123</v>
      </c>
      <c r="AP89" s="106" t="s">
        <v>1009</v>
      </c>
      <c r="AQ89" s="4"/>
      <c r="AR89" s="4"/>
      <c r="AS89" s="11">
        <v>111</v>
      </c>
      <c r="AT89" s="11">
        <v>222</v>
      </c>
      <c r="AU89" s="11"/>
      <c r="AV89" s="11"/>
      <c r="AW89" s="4"/>
      <c r="AX89" s="4">
        <f t="shared" si="4"/>
        <v>1</v>
      </c>
      <c r="AY89" s="93"/>
      <c r="AZ89" s="4">
        <v>4.4999999999999998E-2</v>
      </c>
    </row>
    <row r="90" spans="2:52" ht="14.25" customHeight="1" x14ac:dyDescent="0.25">
      <c r="B90" s="112" t="s">
        <v>320</v>
      </c>
      <c r="C90" s="6" t="s">
        <v>1931</v>
      </c>
      <c r="D90" s="8" t="s">
        <v>5</v>
      </c>
      <c r="E90" s="9" t="s">
        <v>26</v>
      </c>
      <c r="F90" s="8" t="s">
        <v>321</v>
      </c>
      <c r="G90" s="8"/>
      <c r="H90" s="8"/>
      <c r="I90" s="7">
        <v>100</v>
      </c>
      <c r="J90" s="7"/>
      <c r="K90" s="7"/>
      <c r="L90" s="7" t="s">
        <v>14</v>
      </c>
      <c r="M90" s="122"/>
      <c r="N90" s="122"/>
      <c r="O90" s="122"/>
      <c r="P90" s="96"/>
      <c r="Q90" s="14">
        <v>0.3</v>
      </c>
      <c r="R90" s="93">
        <v>313.50001597708842</v>
      </c>
      <c r="S90" s="93">
        <v>85.322333333333148</v>
      </c>
      <c r="T90" s="122" t="s">
        <v>1518</v>
      </c>
      <c r="U90" s="7">
        <v>2</v>
      </c>
      <c r="V90" s="7"/>
      <c r="W90" s="122" t="s">
        <v>1518</v>
      </c>
      <c r="X90" s="122"/>
      <c r="Y90" s="122"/>
      <c r="Z90" s="7"/>
      <c r="AA90" s="7"/>
      <c r="AB90" s="7"/>
      <c r="AC90" s="7"/>
      <c r="AD90" s="7"/>
      <c r="AE90" s="7">
        <v>3</v>
      </c>
      <c r="AF90" s="7"/>
      <c r="AG90" s="7"/>
      <c r="AH90" s="7"/>
      <c r="AI90" s="7"/>
      <c r="AJ90" s="7"/>
      <c r="AK90" s="7"/>
      <c r="AL90" s="7"/>
      <c r="AM90" s="16">
        <v>44169</v>
      </c>
      <c r="AN90" s="4"/>
      <c r="AO90" s="11" t="s">
        <v>322</v>
      </c>
      <c r="AP90" s="4"/>
      <c r="AQ90" s="4"/>
      <c r="AR90" s="4"/>
      <c r="AS90" s="11">
        <v>287.5</v>
      </c>
      <c r="AT90" s="11"/>
      <c r="AU90" s="11"/>
      <c r="AV90" s="11"/>
      <c r="AW90" s="4"/>
      <c r="AX90" s="4">
        <f t="shared" si="4"/>
        <v>3</v>
      </c>
      <c r="AY90" s="93">
        <v>1</v>
      </c>
      <c r="AZ90" s="4">
        <v>0.2</v>
      </c>
    </row>
    <row r="91" spans="2:52" ht="14.25" customHeight="1" x14ac:dyDescent="0.25">
      <c r="B91" s="112" t="s">
        <v>36</v>
      </c>
      <c r="C91" s="6" t="s">
        <v>1099</v>
      </c>
      <c r="D91" s="9" t="s">
        <v>3</v>
      </c>
      <c r="E91" s="9" t="s">
        <v>13</v>
      </c>
      <c r="F91" s="9">
        <v>3</v>
      </c>
      <c r="G91" s="9"/>
      <c r="H91" s="9"/>
      <c r="I91" s="7"/>
      <c r="J91" s="7"/>
      <c r="K91" s="7"/>
      <c r="L91" s="7" t="s">
        <v>14</v>
      </c>
      <c r="M91" s="122"/>
      <c r="N91" s="122"/>
      <c r="O91" s="122"/>
      <c r="P91" s="96"/>
      <c r="Q91" s="14">
        <v>0.3</v>
      </c>
      <c r="R91" s="93">
        <v>2.0910301679515646</v>
      </c>
      <c r="S91" s="93">
        <v>6.9730576441102894</v>
      </c>
      <c r="T91" s="122" t="s">
        <v>1518</v>
      </c>
      <c r="U91" s="7"/>
      <c r="V91" s="7"/>
      <c r="W91" s="122" t="s">
        <v>1518</v>
      </c>
      <c r="X91" s="122"/>
      <c r="Y91" s="122"/>
      <c r="Z91" s="7"/>
      <c r="AA91" s="7">
        <v>1</v>
      </c>
      <c r="AB91" s="7">
        <v>1</v>
      </c>
      <c r="AC91" s="7">
        <v>1</v>
      </c>
      <c r="AD91" s="7"/>
      <c r="AE91" s="7">
        <v>1</v>
      </c>
      <c r="AF91" s="7"/>
      <c r="AG91" s="7"/>
      <c r="AH91" s="7"/>
      <c r="AI91" s="7"/>
      <c r="AJ91" s="7"/>
      <c r="AK91" s="7"/>
      <c r="AL91" s="7"/>
      <c r="AM91" s="16">
        <v>44169</v>
      </c>
      <c r="AN91" s="4"/>
      <c r="AO91" s="6" t="s">
        <v>1014</v>
      </c>
      <c r="AP91" s="4"/>
      <c r="AQ91" s="4"/>
      <c r="AR91" s="4"/>
      <c r="AS91" s="11">
        <v>250</v>
      </c>
      <c r="AT91" s="11"/>
      <c r="AU91" s="11"/>
      <c r="AV91" s="11"/>
      <c r="AW91" s="4"/>
      <c r="AX91" s="4">
        <f t="shared" si="4"/>
        <v>4</v>
      </c>
      <c r="AY91" s="93"/>
      <c r="AZ91" s="4">
        <v>0.5</v>
      </c>
    </row>
    <row r="92" spans="2:52" ht="14.25" customHeight="1" x14ac:dyDescent="0.25">
      <c r="B92" s="112" t="s">
        <v>173</v>
      </c>
      <c r="C92" s="6" t="s">
        <v>1100</v>
      </c>
      <c r="D92" s="8" t="s">
        <v>4</v>
      </c>
      <c r="E92" s="7" t="s">
        <v>1468</v>
      </c>
      <c r="F92" s="9">
        <v>2</v>
      </c>
      <c r="G92" s="9"/>
      <c r="H92" s="9"/>
      <c r="I92" s="7"/>
      <c r="J92" s="7"/>
      <c r="K92" s="7"/>
      <c r="L92" s="7"/>
      <c r="M92" s="122"/>
      <c r="N92" s="122"/>
      <c r="O92" s="122"/>
      <c r="P92" s="96"/>
      <c r="Q92" s="14">
        <v>0.3</v>
      </c>
      <c r="R92" s="93">
        <v>0.2487691243569787</v>
      </c>
      <c r="S92" s="93">
        <v>406.68000000000029</v>
      </c>
      <c r="T92" s="122" t="s">
        <v>1518</v>
      </c>
      <c r="U92" s="7"/>
      <c r="V92" s="7"/>
      <c r="W92" s="122"/>
      <c r="X92" s="122"/>
      <c r="Y92" s="122"/>
      <c r="Z92" s="7"/>
      <c r="AA92" s="7"/>
      <c r="AB92" s="7"/>
      <c r="AC92" s="7"/>
      <c r="AD92" s="7"/>
      <c r="AE92" s="7"/>
      <c r="AF92" s="7"/>
      <c r="AG92" s="7">
        <v>1</v>
      </c>
      <c r="AH92" s="7">
        <v>1</v>
      </c>
      <c r="AI92" s="7">
        <v>1</v>
      </c>
      <c r="AJ92" s="7"/>
      <c r="AK92" s="7"/>
      <c r="AL92" s="7"/>
      <c r="AM92" s="16">
        <v>44169</v>
      </c>
      <c r="AN92" s="4"/>
      <c r="AO92" s="11" t="s">
        <v>165</v>
      </c>
      <c r="AP92" s="4"/>
      <c r="AQ92" s="4"/>
      <c r="AR92" s="4"/>
      <c r="AS92" s="11">
        <v>40</v>
      </c>
      <c r="AT92" s="11"/>
      <c r="AU92" s="11"/>
      <c r="AV92" s="11"/>
      <c r="AW92" s="4"/>
      <c r="AX92" s="4">
        <f t="shared" si="4"/>
        <v>3</v>
      </c>
      <c r="AY92" s="93"/>
      <c r="AZ92" s="4">
        <v>1</v>
      </c>
    </row>
    <row r="93" spans="2:52" ht="14.25" customHeight="1" x14ac:dyDescent="0.25">
      <c r="B93" s="112" t="s">
        <v>1469</v>
      </c>
      <c r="C93" s="6" t="s">
        <v>1101</v>
      </c>
      <c r="D93" s="9" t="s">
        <v>3</v>
      </c>
      <c r="E93" s="8" t="s">
        <v>17</v>
      </c>
      <c r="F93" s="9" t="s">
        <v>25</v>
      </c>
      <c r="G93" s="9"/>
      <c r="H93" s="9"/>
      <c r="I93" s="7"/>
      <c r="J93" s="7"/>
      <c r="K93" s="7"/>
      <c r="L93" s="7"/>
      <c r="M93" s="122"/>
      <c r="N93" s="122"/>
      <c r="O93" s="122"/>
      <c r="P93" s="96"/>
      <c r="Q93" s="14">
        <v>0.5</v>
      </c>
      <c r="R93" s="93">
        <v>41.677817425037638</v>
      </c>
      <c r="S93" s="93">
        <v>0.20128619682243015</v>
      </c>
      <c r="T93" s="122" t="s">
        <v>1518</v>
      </c>
      <c r="U93" s="7"/>
      <c r="V93" s="7"/>
      <c r="W93" s="122"/>
      <c r="X93" s="122"/>
      <c r="Y93" s="122" t="s">
        <v>1518</v>
      </c>
      <c r="Z93" s="127" t="s">
        <v>7</v>
      </c>
      <c r="AA93" s="7"/>
      <c r="AB93" s="7">
        <v>1</v>
      </c>
      <c r="AC93" s="7">
        <v>1</v>
      </c>
      <c r="AD93" s="7"/>
      <c r="AE93" s="7"/>
      <c r="AF93" s="7"/>
      <c r="AG93" s="7"/>
      <c r="AH93" s="7"/>
      <c r="AI93" s="7"/>
      <c r="AJ93" s="7"/>
      <c r="AK93" s="7"/>
      <c r="AL93" s="7"/>
      <c r="AM93" s="16">
        <v>44911</v>
      </c>
      <c r="AN93" s="4"/>
      <c r="AO93" s="6" t="s">
        <v>1470</v>
      </c>
      <c r="AP93" s="4"/>
      <c r="AQ93" s="4"/>
      <c r="AR93" s="4"/>
      <c r="AS93" s="11">
        <v>200</v>
      </c>
      <c r="AT93" s="11"/>
      <c r="AU93" s="11"/>
      <c r="AV93" s="11"/>
      <c r="AW93" s="4"/>
      <c r="AX93" s="4">
        <f t="shared" si="4"/>
        <v>2</v>
      </c>
      <c r="AY93" s="93"/>
      <c r="AZ93" s="4">
        <v>4</v>
      </c>
    </row>
    <row r="94" spans="2:52" ht="14.25" customHeight="1" x14ac:dyDescent="0.25">
      <c r="B94" s="112" t="s">
        <v>1102</v>
      </c>
      <c r="C94" s="6" t="s">
        <v>1103</v>
      </c>
      <c r="D94" s="9" t="s">
        <v>3</v>
      </c>
      <c r="E94" s="8" t="s">
        <v>1536</v>
      </c>
      <c r="F94" s="9" t="s">
        <v>25</v>
      </c>
      <c r="G94" s="9"/>
      <c r="H94" s="9"/>
      <c r="I94" s="7"/>
      <c r="J94" s="7"/>
      <c r="K94" s="7"/>
      <c r="L94" s="7"/>
      <c r="M94" s="122"/>
      <c r="N94" s="122"/>
      <c r="O94" s="122"/>
      <c r="P94" s="96"/>
      <c r="Q94" s="14">
        <v>0.5</v>
      </c>
      <c r="R94" s="93">
        <v>41.677817425037638</v>
      </c>
      <c r="S94" s="93">
        <v>0.20128619682243015</v>
      </c>
      <c r="T94" s="122" t="s">
        <v>1518</v>
      </c>
      <c r="U94" s="7"/>
      <c r="V94" s="7"/>
      <c r="W94" s="122"/>
      <c r="X94" s="122"/>
      <c r="Y94" s="122" t="s">
        <v>1518</v>
      </c>
      <c r="Z94" s="127" t="s">
        <v>7</v>
      </c>
      <c r="AA94" s="7"/>
      <c r="AB94" s="7">
        <v>1</v>
      </c>
      <c r="AC94" s="7">
        <v>1</v>
      </c>
      <c r="AD94" s="7"/>
      <c r="AE94" s="7"/>
      <c r="AF94" s="7"/>
      <c r="AG94" s="7"/>
      <c r="AH94" s="7"/>
      <c r="AI94" s="7"/>
      <c r="AJ94" s="7"/>
      <c r="AK94" s="7"/>
      <c r="AL94" s="7"/>
      <c r="AM94" s="16">
        <v>44911</v>
      </c>
      <c r="AN94" s="4"/>
      <c r="AO94" s="6" t="s">
        <v>1470</v>
      </c>
      <c r="AP94" s="4"/>
      <c r="AQ94" s="4"/>
      <c r="AR94" s="4"/>
      <c r="AS94" s="11">
        <v>200</v>
      </c>
      <c r="AT94" s="11"/>
      <c r="AU94" s="11"/>
      <c r="AV94" s="11"/>
      <c r="AW94" s="4"/>
      <c r="AX94" s="4">
        <f t="shared" si="4"/>
        <v>2</v>
      </c>
      <c r="AY94" s="93"/>
      <c r="AZ94" s="4">
        <v>4</v>
      </c>
    </row>
    <row r="95" spans="2:52" ht="14.25" customHeight="1" x14ac:dyDescent="0.25">
      <c r="B95" s="112" t="s">
        <v>174</v>
      </c>
      <c r="C95" s="6" t="s">
        <v>1471</v>
      </c>
      <c r="D95" s="8" t="s">
        <v>4</v>
      </c>
      <c r="E95" s="8" t="s">
        <v>175</v>
      </c>
      <c r="F95" s="9">
        <v>15</v>
      </c>
      <c r="G95" s="9"/>
      <c r="H95" s="9"/>
      <c r="I95" s="7"/>
      <c r="J95" s="7"/>
      <c r="K95" s="7"/>
      <c r="L95" s="7" t="s">
        <v>14</v>
      </c>
      <c r="M95" s="122"/>
      <c r="N95" s="122"/>
      <c r="O95" s="122"/>
      <c r="P95" s="96"/>
      <c r="Q95" s="7"/>
      <c r="R95" s="93">
        <v>7.5491503505291222</v>
      </c>
      <c r="S95" s="93">
        <v>60.653243847874926</v>
      </c>
      <c r="T95" s="122" t="s">
        <v>1518</v>
      </c>
      <c r="U95" s="7"/>
      <c r="V95" s="7"/>
      <c r="W95" s="122"/>
      <c r="X95" s="122"/>
      <c r="Y95" s="122" t="s">
        <v>1518</v>
      </c>
      <c r="Z95" s="7" t="s">
        <v>7</v>
      </c>
      <c r="AA95" s="7">
        <v>1</v>
      </c>
      <c r="AB95" s="7"/>
      <c r="AC95" s="7">
        <v>1</v>
      </c>
      <c r="AD95" s="7"/>
      <c r="AE95" s="7"/>
      <c r="AF95" s="7"/>
      <c r="AG95" s="7"/>
      <c r="AH95" s="7"/>
      <c r="AI95" s="7"/>
      <c r="AJ95" s="7">
        <v>1</v>
      </c>
      <c r="AK95" s="7"/>
      <c r="AL95" s="7"/>
      <c r="AM95" s="16">
        <v>44911</v>
      </c>
      <c r="AN95" s="4"/>
      <c r="AO95" s="11" t="s">
        <v>131</v>
      </c>
      <c r="AP95" s="4"/>
      <c r="AQ95" s="4"/>
      <c r="AR95" s="4"/>
      <c r="AS95" s="11">
        <v>800</v>
      </c>
      <c r="AT95" s="11"/>
      <c r="AU95" s="11"/>
      <c r="AV95" s="11"/>
      <c r="AW95" s="4"/>
      <c r="AX95" s="4">
        <f t="shared" si="4"/>
        <v>3</v>
      </c>
      <c r="AY95" s="93">
        <v>1</v>
      </c>
      <c r="AZ95" s="4">
        <v>5</v>
      </c>
    </row>
    <row r="96" spans="2:52" ht="14.25" customHeight="1" x14ac:dyDescent="0.25">
      <c r="B96" s="112" t="s">
        <v>1844</v>
      </c>
      <c r="C96" s="6" t="s">
        <v>1845</v>
      </c>
      <c r="D96" s="9" t="s">
        <v>4</v>
      </c>
      <c r="E96" s="8" t="s">
        <v>29</v>
      </c>
      <c r="F96" s="9">
        <v>15</v>
      </c>
      <c r="G96" s="9">
        <v>34</v>
      </c>
      <c r="H96" s="9"/>
      <c r="I96" s="7">
        <v>20</v>
      </c>
      <c r="J96" s="7"/>
      <c r="K96" s="7"/>
      <c r="L96" s="7" t="s">
        <v>14</v>
      </c>
      <c r="M96" s="122" t="s">
        <v>1518</v>
      </c>
      <c r="N96" s="122" t="s">
        <v>1518</v>
      </c>
      <c r="O96" s="122"/>
      <c r="P96" s="96" t="s">
        <v>189</v>
      </c>
      <c r="Q96" s="7"/>
      <c r="R96" s="93">
        <v>31.381566345347917</v>
      </c>
      <c r="S96" s="93">
        <v>104.98018604651148</v>
      </c>
      <c r="T96" s="122" t="s">
        <v>1518</v>
      </c>
      <c r="U96" s="7"/>
      <c r="V96" s="7"/>
      <c r="W96" s="122" t="s">
        <v>1518</v>
      </c>
      <c r="X96" s="122"/>
      <c r="Y96" s="122" t="s">
        <v>1518</v>
      </c>
      <c r="Z96" s="7"/>
      <c r="AA96" s="7"/>
      <c r="AB96" s="7"/>
      <c r="AC96" s="7"/>
      <c r="AD96" s="7"/>
      <c r="AE96" s="7">
        <v>1</v>
      </c>
      <c r="AF96" s="7"/>
      <c r="AG96" s="7">
        <v>1</v>
      </c>
      <c r="AH96" s="7">
        <v>1</v>
      </c>
      <c r="AI96" s="7"/>
      <c r="AJ96" s="7"/>
      <c r="AK96" s="7"/>
      <c r="AL96" s="7"/>
      <c r="AM96" s="16">
        <v>44896</v>
      </c>
      <c r="AN96" s="4"/>
      <c r="AO96" s="4" t="s">
        <v>190</v>
      </c>
      <c r="AP96" s="4" t="s">
        <v>178</v>
      </c>
      <c r="AQ96" s="4"/>
      <c r="AR96" s="4"/>
      <c r="AS96" s="11">
        <v>400</v>
      </c>
      <c r="AT96" s="11">
        <v>24</v>
      </c>
      <c r="AU96" s="11"/>
      <c r="AV96" s="11"/>
      <c r="AW96" s="4"/>
      <c r="AX96" s="4">
        <f t="shared" si="4"/>
        <v>3</v>
      </c>
      <c r="AY96" s="93"/>
      <c r="AZ96" s="4">
        <v>3</v>
      </c>
    </row>
    <row r="97" spans="2:52" ht="24" customHeight="1" x14ac:dyDescent="0.25">
      <c r="B97" s="112" t="s">
        <v>176</v>
      </c>
      <c r="C97" s="6" t="s">
        <v>1104</v>
      </c>
      <c r="D97" s="8" t="s">
        <v>4</v>
      </c>
      <c r="E97" s="8" t="s">
        <v>29</v>
      </c>
      <c r="F97" s="9">
        <v>15</v>
      </c>
      <c r="G97" s="9">
        <v>34</v>
      </c>
      <c r="H97" s="9" t="s">
        <v>962</v>
      </c>
      <c r="I97" s="7">
        <v>6</v>
      </c>
      <c r="J97" s="7"/>
      <c r="K97" s="7"/>
      <c r="L97" s="7"/>
      <c r="M97" s="122" t="s">
        <v>1518</v>
      </c>
      <c r="N97" s="122" t="s">
        <v>1518</v>
      </c>
      <c r="O97" s="122"/>
      <c r="P97" s="96" t="s">
        <v>1520</v>
      </c>
      <c r="Q97" s="7"/>
      <c r="R97" s="93">
        <v>5.9453000031463841</v>
      </c>
      <c r="S97" s="93">
        <v>238.63557603686627</v>
      </c>
      <c r="T97" s="122" t="s">
        <v>1518</v>
      </c>
      <c r="U97" s="7"/>
      <c r="V97" s="7"/>
      <c r="W97" s="122"/>
      <c r="X97" s="122"/>
      <c r="Y97" s="122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6">
        <v>44169</v>
      </c>
      <c r="AN97" s="4"/>
      <c r="AO97" s="4" t="s">
        <v>1018</v>
      </c>
      <c r="AP97" s="6" t="s">
        <v>178</v>
      </c>
      <c r="AQ97" s="4" t="s">
        <v>177</v>
      </c>
      <c r="AR97" s="4"/>
      <c r="AS97" s="11">
        <v>187.5</v>
      </c>
      <c r="AT97" s="11">
        <v>30</v>
      </c>
      <c r="AU97" s="11">
        <v>187.5</v>
      </c>
      <c r="AV97" s="11"/>
      <c r="AW97" s="4" t="s">
        <v>1823</v>
      </c>
      <c r="AX97" s="4">
        <f t="shared" si="4"/>
        <v>0</v>
      </c>
      <c r="AY97" s="93">
        <v>1</v>
      </c>
      <c r="AZ97" s="4">
        <v>4</v>
      </c>
    </row>
    <row r="98" spans="2:52" ht="14.25" customHeight="1" x14ac:dyDescent="0.25">
      <c r="B98" s="112" t="s">
        <v>414</v>
      </c>
      <c r="C98" s="6" t="s">
        <v>1105</v>
      </c>
      <c r="D98" s="9" t="s">
        <v>118</v>
      </c>
      <c r="E98" s="9" t="s">
        <v>26</v>
      </c>
      <c r="F98" s="9"/>
      <c r="G98" s="9"/>
      <c r="H98" s="9"/>
      <c r="I98" s="7">
        <v>6</v>
      </c>
      <c r="J98" s="7"/>
      <c r="K98" s="7"/>
      <c r="L98" s="7"/>
      <c r="M98" s="122"/>
      <c r="N98" s="122"/>
      <c r="O98" s="122"/>
      <c r="P98" s="96"/>
      <c r="Q98" s="7"/>
      <c r="R98" s="93">
        <v>0</v>
      </c>
      <c r="S98" s="93">
        <v>0</v>
      </c>
      <c r="T98" s="122"/>
      <c r="U98" s="7"/>
      <c r="V98" s="7"/>
      <c r="W98" s="122" t="s">
        <v>1518</v>
      </c>
      <c r="X98" s="122"/>
      <c r="Y98" s="122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16">
        <v>44169</v>
      </c>
      <c r="AN98" s="4"/>
      <c r="AO98" s="4" t="s">
        <v>415</v>
      </c>
      <c r="AP98" s="4"/>
      <c r="AQ98" s="4"/>
      <c r="AR98" s="4"/>
      <c r="AS98" s="11">
        <v>765</v>
      </c>
      <c r="AT98" s="11"/>
      <c r="AU98" s="11"/>
      <c r="AV98" s="11"/>
      <c r="AW98" s="4"/>
      <c r="AX98" s="4">
        <f t="shared" si="4"/>
        <v>0</v>
      </c>
      <c r="AY98" s="93"/>
      <c r="AZ98" s="4">
        <v>0.2</v>
      </c>
    </row>
    <row r="99" spans="2:52" ht="15.75" customHeight="1" x14ac:dyDescent="0.25">
      <c r="B99" s="112" t="s">
        <v>1472</v>
      </c>
      <c r="C99" s="6" t="s">
        <v>1106</v>
      </c>
      <c r="D99" s="8" t="s">
        <v>4</v>
      </c>
      <c r="E99" s="9" t="s">
        <v>26</v>
      </c>
      <c r="F99" s="9">
        <v>15</v>
      </c>
      <c r="G99" s="9"/>
      <c r="H99" s="9"/>
      <c r="I99" s="7">
        <v>6</v>
      </c>
      <c r="J99" s="7"/>
      <c r="K99" s="7"/>
      <c r="L99" s="7" t="s">
        <v>120</v>
      </c>
      <c r="M99" s="122" t="s">
        <v>1518</v>
      </c>
      <c r="N99" s="122" t="s">
        <v>1518</v>
      </c>
      <c r="O99" s="122"/>
      <c r="P99" s="96" t="s">
        <v>1522</v>
      </c>
      <c r="Q99" s="7"/>
      <c r="R99" s="93">
        <v>11.96296759323595</v>
      </c>
      <c r="S99" s="93">
        <v>217.24358974358978</v>
      </c>
      <c r="T99" s="122" t="s">
        <v>1518</v>
      </c>
      <c r="U99" s="7"/>
      <c r="V99" s="7"/>
      <c r="W99" s="122"/>
      <c r="X99" s="122"/>
      <c r="Y99" s="122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16">
        <v>44169</v>
      </c>
      <c r="AN99" s="4"/>
      <c r="AO99" s="6" t="s">
        <v>1016</v>
      </c>
      <c r="AP99" s="4"/>
      <c r="AQ99" s="4"/>
      <c r="AR99" s="4"/>
      <c r="AS99" s="11">
        <v>500</v>
      </c>
      <c r="AT99" s="11"/>
      <c r="AU99" s="11"/>
      <c r="AV99" s="11"/>
      <c r="AW99" s="4" t="s">
        <v>1823</v>
      </c>
      <c r="AX99" s="4">
        <f t="shared" si="4"/>
        <v>0</v>
      </c>
      <c r="AY99" s="93"/>
      <c r="AZ99" s="4">
        <v>1.5</v>
      </c>
    </row>
    <row r="100" spans="2:52" ht="15.75" customHeight="1" x14ac:dyDescent="0.25">
      <c r="B100" s="112" t="s">
        <v>1473</v>
      </c>
      <c r="C100" s="6" t="s">
        <v>1106</v>
      </c>
      <c r="D100" s="8" t="s">
        <v>4</v>
      </c>
      <c r="E100" s="9" t="s">
        <v>26</v>
      </c>
      <c r="F100" s="9">
        <v>15</v>
      </c>
      <c r="G100" s="9"/>
      <c r="H100" s="9"/>
      <c r="I100" s="7">
        <v>6</v>
      </c>
      <c r="J100" s="7"/>
      <c r="K100" s="7"/>
      <c r="L100" s="7" t="s">
        <v>80</v>
      </c>
      <c r="M100" s="122" t="s">
        <v>1518</v>
      </c>
      <c r="N100" s="122" t="s">
        <v>1518</v>
      </c>
      <c r="O100" s="122"/>
      <c r="P100" s="96" t="s">
        <v>1522</v>
      </c>
      <c r="Q100" s="7"/>
      <c r="R100" s="93">
        <v>15.950623457647934</v>
      </c>
      <c r="S100" s="93">
        <v>289.65811965811974</v>
      </c>
      <c r="T100" s="122" t="s">
        <v>1518</v>
      </c>
      <c r="U100" s="7"/>
      <c r="V100" s="7"/>
      <c r="W100" s="122"/>
      <c r="X100" s="122"/>
      <c r="Y100" s="122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16">
        <v>44169</v>
      </c>
      <c r="AN100" s="4"/>
      <c r="AO100" s="6" t="s">
        <v>1016</v>
      </c>
      <c r="AP100" s="4"/>
      <c r="AQ100" s="4"/>
      <c r="AR100" s="4"/>
      <c r="AS100" s="11">
        <v>500</v>
      </c>
      <c r="AT100" s="11"/>
      <c r="AU100" s="11"/>
      <c r="AV100" s="11"/>
      <c r="AW100" s="4" t="s">
        <v>1823</v>
      </c>
      <c r="AX100" s="4">
        <f t="shared" si="4"/>
        <v>0</v>
      </c>
      <c r="AY100" s="93"/>
      <c r="AZ100" s="4">
        <v>2</v>
      </c>
    </row>
    <row r="101" spans="2:52" ht="14.25" customHeight="1" x14ac:dyDescent="0.25">
      <c r="B101" s="113" t="s">
        <v>1610</v>
      </c>
      <c r="C101" s="6" t="s">
        <v>1611</v>
      </c>
      <c r="D101" s="7" t="s">
        <v>3</v>
      </c>
      <c r="E101" s="7" t="s">
        <v>26</v>
      </c>
      <c r="F101" s="7">
        <v>3</v>
      </c>
      <c r="G101" s="7">
        <v>7</v>
      </c>
      <c r="H101" s="7"/>
      <c r="I101" s="7">
        <v>6</v>
      </c>
      <c r="J101" s="7"/>
      <c r="K101" s="7"/>
      <c r="L101" s="7" t="s">
        <v>14</v>
      </c>
      <c r="M101" s="122"/>
      <c r="N101" s="122"/>
      <c r="O101" s="122"/>
      <c r="P101" s="96"/>
      <c r="Q101" s="14">
        <v>0.5</v>
      </c>
      <c r="R101" s="93">
        <v>3.3456874878545255</v>
      </c>
      <c r="S101" s="93">
        <v>7.3359149029982298</v>
      </c>
      <c r="T101" s="122" t="s">
        <v>1518</v>
      </c>
      <c r="U101" s="7"/>
      <c r="V101" s="7"/>
      <c r="W101" s="122" t="s">
        <v>1518</v>
      </c>
      <c r="X101" s="122"/>
      <c r="Y101" s="122" t="s">
        <v>1518</v>
      </c>
      <c r="Z101" s="7"/>
      <c r="AA101" s="7">
        <v>1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16">
        <v>45232</v>
      </c>
      <c r="AN101" s="16"/>
      <c r="AO101" s="6" t="s">
        <v>1021</v>
      </c>
      <c r="AP101" s="6" t="s">
        <v>1004</v>
      </c>
      <c r="AQ101" s="4"/>
      <c r="AR101" s="4"/>
      <c r="AS101" s="11">
        <v>45</v>
      </c>
      <c r="AT101" s="11">
        <v>62.5</v>
      </c>
      <c r="AU101" s="11"/>
      <c r="AV101" s="11"/>
      <c r="AW101" s="4"/>
      <c r="AX101" s="4">
        <f t="shared" si="4"/>
        <v>1</v>
      </c>
      <c r="AY101" s="93" t="s">
        <v>935</v>
      </c>
      <c r="AZ101" s="4">
        <v>2</v>
      </c>
    </row>
    <row r="102" spans="2:52" ht="24" customHeight="1" x14ac:dyDescent="0.25">
      <c r="B102" s="112" t="s">
        <v>1970</v>
      </c>
      <c r="C102" s="6" t="s">
        <v>1971</v>
      </c>
      <c r="D102" s="8" t="s">
        <v>4</v>
      </c>
      <c r="E102" s="7" t="s">
        <v>29</v>
      </c>
      <c r="F102" s="9">
        <v>4</v>
      </c>
      <c r="G102" s="9">
        <v>15</v>
      </c>
      <c r="H102" s="9"/>
      <c r="I102" s="7"/>
      <c r="J102" s="7"/>
      <c r="K102" s="7"/>
      <c r="L102" s="7"/>
      <c r="M102" s="122" t="s">
        <v>1518</v>
      </c>
      <c r="N102" s="122" t="s">
        <v>1518</v>
      </c>
      <c r="O102" s="122"/>
      <c r="P102" s="96" t="s">
        <v>302</v>
      </c>
      <c r="Q102" s="14"/>
      <c r="R102" s="93">
        <v>4.0530211704793153</v>
      </c>
      <c r="S102" s="93">
        <v>151.16896344589819</v>
      </c>
      <c r="T102" s="122" t="s">
        <v>1518</v>
      </c>
      <c r="U102" s="7"/>
      <c r="V102" s="7"/>
      <c r="W102" s="122" t="s">
        <v>1518</v>
      </c>
      <c r="X102" s="122"/>
      <c r="Y102" s="122" t="s">
        <v>1518</v>
      </c>
      <c r="Z102" s="7"/>
      <c r="AA102" s="7"/>
      <c r="AB102" s="7">
        <v>1</v>
      </c>
      <c r="AC102" s="7"/>
      <c r="AD102" s="7"/>
      <c r="AE102" s="7">
        <v>1</v>
      </c>
      <c r="AF102" s="7"/>
      <c r="AG102" s="7"/>
      <c r="AH102" s="7"/>
      <c r="AI102" s="7"/>
      <c r="AJ102" s="7"/>
      <c r="AK102" s="7"/>
      <c r="AL102" s="7"/>
      <c r="AM102" s="16">
        <v>45262</v>
      </c>
      <c r="AN102" s="4"/>
      <c r="AO102" s="6" t="s">
        <v>303</v>
      </c>
      <c r="AP102" s="4" t="s">
        <v>1008</v>
      </c>
      <c r="AQ102" s="4"/>
      <c r="AR102" s="4"/>
      <c r="AS102" s="11">
        <v>167</v>
      </c>
      <c r="AT102" s="11">
        <v>333</v>
      </c>
      <c r="AU102" s="11"/>
      <c r="AV102" s="11"/>
      <c r="AW102" s="4"/>
      <c r="AX102" s="4">
        <f t="shared" ref="AX102" si="5">SUM(AA102:AL102)</f>
        <v>2</v>
      </c>
      <c r="AY102" s="93"/>
      <c r="AZ102" s="4">
        <v>1.5</v>
      </c>
    </row>
    <row r="103" spans="2:52" ht="15" customHeight="1" x14ac:dyDescent="0.25">
      <c r="B103" s="112" t="s">
        <v>1475</v>
      </c>
      <c r="C103" s="18" t="s">
        <v>1107</v>
      </c>
      <c r="D103" s="8" t="s">
        <v>4</v>
      </c>
      <c r="E103" s="7" t="s">
        <v>19</v>
      </c>
      <c r="F103" s="9">
        <v>15</v>
      </c>
      <c r="G103" s="9"/>
      <c r="H103" s="9"/>
      <c r="I103" s="7">
        <v>6</v>
      </c>
      <c r="J103" s="7"/>
      <c r="K103" s="7"/>
      <c r="L103" s="7" t="s">
        <v>120</v>
      </c>
      <c r="M103" s="122" t="s">
        <v>1518</v>
      </c>
      <c r="N103" s="122" t="s">
        <v>1518</v>
      </c>
      <c r="O103" s="122"/>
      <c r="P103" s="96" t="s">
        <v>1522</v>
      </c>
      <c r="Q103" s="7"/>
      <c r="R103" s="93">
        <v>11.96296759323595</v>
      </c>
      <c r="S103" s="93">
        <v>217.24358974358978</v>
      </c>
      <c r="T103" s="122" t="s">
        <v>1518</v>
      </c>
      <c r="U103" s="7"/>
      <c r="V103" s="7"/>
      <c r="W103" s="122"/>
      <c r="X103" s="122"/>
      <c r="Y103" s="122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16">
        <v>44169</v>
      </c>
      <c r="AN103" s="4"/>
      <c r="AO103" s="6" t="s">
        <v>1016</v>
      </c>
      <c r="AP103" s="4"/>
      <c r="AQ103" s="4"/>
      <c r="AR103" s="4"/>
      <c r="AS103" s="11">
        <v>500</v>
      </c>
      <c r="AT103" s="11"/>
      <c r="AU103" s="11"/>
      <c r="AV103" s="11"/>
      <c r="AW103" s="4" t="s">
        <v>1823</v>
      </c>
      <c r="AX103" s="4">
        <f t="shared" si="4"/>
        <v>0</v>
      </c>
      <c r="AY103" s="93"/>
      <c r="AZ103" s="4">
        <v>1.5</v>
      </c>
    </row>
    <row r="104" spans="2:52" ht="15" customHeight="1" x14ac:dyDescent="0.25">
      <c r="B104" s="112" t="s">
        <v>1475</v>
      </c>
      <c r="C104" s="18" t="s">
        <v>1107</v>
      </c>
      <c r="D104" s="8" t="s">
        <v>4</v>
      </c>
      <c r="E104" s="7" t="s">
        <v>19</v>
      </c>
      <c r="F104" s="9">
        <v>15</v>
      </c>
      <c r="G104" s="9"/>
      <c r="H104" s="9"/>
      <c r="I104" s="7">
        <v>6</v>
      </c>
      <c r="J104" s="7"/>
      <c r="K104" s="7"/>
      <c r="L104" s="7" t="s">
        <v>80</v>
      </c>
      <c r="M104" s="122" t="s">
        <v>1518</v>
      </c>
      <c r="N104" s="122" t="s">
        <v>1518</v>
      </c>
      <c r="O104" s="122"/>
      <c r="P104" s="96" t="s">
        <v>1522</v>
      </c>
      <c r="Q104" s="7"/>
      <c r="R104" s="93">
        <v>15.950623457647934</v>
      </c>
      <c r="S104" s="93">
        <v>289.65811965811974</v>
      </c>
      <c r="T104" s="122" t="s">
        <v>1518</v>
      </c>
      <c r="U104" s="7"/>
      <c r="V104" s="7"/>
      <c r="W104" s="122"/>
      <c r="X104" s="122"/>
      <c r="Y104" s="122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16">
        <v>44169</v>
      </c>
      <c r="AN104" s="4"/>
      <c r="AO104" s="6" t="s">
        <v>1016</v>
      </c>
      <c r="AP104" s="4"/>
      <c r="AQ104" s="4"/>
      <c r="AR104" s="4"/>
      <c r="AS104" s="11">
        <v>500</v>
      </c>
      <c r="AT104" s="11"/>
      <c r="AU104" s="11"/>
      <c r="AV104" s="11"/>
      <c r="AW104" s="4" t="s">
        <v>1823</v>
      </c>
      <c r="AX104" s="4">
        <f t="shared" si="4"/>
        <v>0</v>
      </c>
      <c r="AY104" s="93"/>
      <c r="AZ104" s="4">
        <v>2</v>
      </c>
    </row>
    <row r="105" spans="2:52" ht="15" customHeight="1" x14ac:dyDescent="0.25">
      <c r="B105" s="112" t="s">
        <v>179</v>
      </c>
      <c r="C105" s="6" t="s">
        <v>1108</v>
      </c>
      <c r="D105" s="9" t="s">
        <v>4</v>
      </c>
      <c r="E105" s="8" t="s">
        <v>17</v>
      </c>
      <c r="F105" s="9">
        <v>15</v>
      </c>
      <c r="G105" s="9"/>
      <c r="H105" s="9"/>
      <c r="I105" s="7">
        <v>20</v>
      </c>
      <c r="J105" s="7"/>
      <c r="K105" s="7"/>
      <c r="L105" s="7" t="s">
        <v>80</v>
      </c>
      <c r="M105" s="122" t="s">
        <v>1518</v>
      </c>
      <c r="N105" s="122" t="s">
        <v>1518</v>
      </c>
      <c r="O105" s="122" t="s">
        <v>1518</v>
      </c>
      <c r="P105" s="149" t="s">
        <v>180</v>
      </c>
      <c r="Q105" s="7"/>
      <c r="R105" s="93">
        <v>2.957136781681764</v>
      </c>
      <c r="S105" s="93">
        <v>94.188854041013286</v>
      </c>
      <c r="T105" s="122" t="s">
        <v>1518</v>
      </c>
      <c r="U105" s="7"/>
      <c r="V105" s="7"/>
      <c r="W105" s="122" t="s">
        <v>1518</v>
      </c>
      <c r="X105" s="122"/>
      <c r="Y105" s="122" t="s">
        <v>1518</v>
      </c>
      <c r="Z105" s="7"/>
      <c r="AA105" s="7"/>
      <c r="AB105" s="7"/>
      <c r="AC105" s="7"/>
      <c r="AD105" s="7">
        <v>3</v>
      </c>
      <c r="AE105" s="7"/>
      <c r="AF105" s="7">
        <v>3</v>
      </c>
      <c r="AG105" s="7"/>
      <c r="AH105" s="7"/>
      <c r="AI105" s="7"/>
      <c r="AJ105" s="7"/>
      <c r="AK105" s="7"/>
      <c r="AL105" s="7"/>
      <c r="AM105" s="16">
        <v>44169</v>
      </c>
      <c r="AN105" s="4"/>
      <c r="AO105" s="6" t="s">
        <v>990</v>
      </c>
      <c r="AP105" s="4"/>
      <c r="AQ105" s="4"/>
      <c r="AR105" s="4"/>
      <c r="AS105" s="11">
        <v>960</v>
      </c>
      <c r="AT105" s="11"/>
      <c r="AU105" s="11"/>
      <c r="AV105" s="11"/>
      <c r="AW105" s="4" t="s">
        <v>1825</v>
      </c>
      <c r="AX105" s="4">
        <f t="shared" si="4"/>
        <v>6</v>
      </c>
      <c r="AY105" s="93"/>
      <c r="AZ105" s="4">
        <v>1.6</v>
      </c>
    </row>
    <row r="106" spans="2:52" ht="15" customHeight="1" x14ac:dyDescent="0.25">
      <c r="B106" s="112" t="s">
        <v>669</v>
      </c>
      <c r="C106" s="6" t="s">
        <v>1108</v>
      </c>
      <c r="D106" s="9" t="s">
        <v>4</v>
      </c>
      <c r="E106" s="8" t="s">
        <v>17</v>
      </c>
      <c r="F106" s="9">
        <v>15</v>
      </c>
      <c r="G106" s="9"/>
      <c r="H106" s="9"/>
      <c r="I106" s="7">
        <v>6</v>
      </c>
      <c r="J106" s="7"/>
      <c r="K106" s="7"/>
      <c r="L106" s="7" t="s">
        <v>120</v>
      </c>
      <c r="M106" s="122" t="s">
        <v>1518</v>
      </c>
      <c r="N106" s="122" t="s">
        <v>1518</v>
      </c>
      <c r="O106" s="122" t="s">
        <v>1518</v>
      </c>
      <c r="P106" s="96" t="s">
        <v>180</v>
      </c>
      <c r="Q106" s="7"/>
      <c r="R106" s="93">
        <v>1.8482104885511026</v>
      </c>
      <c r="S106" s="93">
        <v>58.868033775633307</v>
      </c>
      <c r="T106" s="122" t="s">
        <v>1518</v>
      </c>
      <c r="U106" s="7"/>
      <c r="V106" s="7"/>
      <c r="W106" s="122" t="s">
        <v>1518</v>
      </c>
      <c r="X106" s="122"/>
      <c r="Y106" s="122" t="s">
        <v>1518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16">
        <v>44169</v>
      </c>
      <c r="AN106" s="4"/>
      <c r="AO106" s="6" t="s">
        <v>990</v>
      </c>
      <c r="AP106" s="4"/>
      <c r="AQ106" s="4"/>
      <c r="AR106" s="4"/>
      <c r="AS106" s="11">
        <v>960</v>
      </c>
      <c r="AT106" s="11"/>
      <c r="AU106" s="11"/>
      <c r="AV106" s="11"/>
      <c r="AW106" s="4" t="s">
        <v>1825</v>
      </c>
      <c r="AX106" s="4">
        <f t="shared" si="4"/>
        <v>0</v>
      </c>
      <c r="AY106" s="93"/>
      <c r="AZ106" s="4">
        <v>1</v>
      </c>
    </row>
    <row r="107" spans="2:52" ht="24" customHeight="1" x14ac:dyDescent="0.25">
      <c r="B107" s="112" t="s">
        <v>181</v>
      </c>
      <c r="C107" s="6" t="s">
        <v>1109</v>
      </c>
      <c r="D107" s="8" t="s">
        <v>4</v>
      </c>
      <c r="E107" s="8" t="s">
        <v>29</v>
      </c>
      <c r="F107" s="9">
        <v>5</v>
      </c>
      <c r="G107" s="9">
        <v>27</v>
      </c>
      <c r="H107" s="9"/>
      <c r="I107" s="7">
        <v>6</v>
      </c>
      <c r="J107" s="7"/>
      <c r="K107" s="7"/>
      <c r="L107" s="7" t="s">
        <v>14</v>
      </c>
      <c r="M107" s="122" t="s">
        <v>1518</v>
      </c>
      <c r="N107" s="122" t="s">
        <v>1518</v>
      </c>
      <c r="O107" s="122" t="s">
        <v>1518</v>
      </c>
      <c r="P107" s="96" t="s">
        <v>1500</v>
      </c>
      <c r="Q107" s="7"/>
      <c r="R107" s="93">
        <v>2.2407132153901252</v>
      </c>
      <c r="S107" s="93">
        <v>3398.9229539192766</v>
      </c>
      <c r="T107" s="122" t="s">
        <v>1518</v>
      </c>
      <c r="U107" s="7"/>
      <c r="V107" s="7"/>
      <c r="W107" s="122"/>
      <c r="X107" s="122"/>
      <c r="Y107" s="122" t="s">
        <v>1518</v>
      </c>
      <c r="Z107" s="127" t="s">
        <v>7</v>
      </c>
      <c r="AA107" s="7"/>
      <c r="AB107" s="7"/>
      <c r="AC107" s="7"/>
      <c r="AD107" s="7">
        <v>3</v>
      </c>
      <c r="AE107" s="7"/>
      <c r="AF107" s="7"/>
      <c r="AG107" s="7"/>
      <c r="AH107" s="7"/>
      <c r="AI107" s="7"/>
      <c r="AJ107" s="7"/>
      <c r="AK107" s="7"/>
      <c r="AL107" s="7"/>
      <c r="AM107" s="16">
        <v>44169</v>
      </c>
      <c r="AN107" s="4"/>
      <c r="AO107" s="4" t="s">
        <v>121</v>
      </c>
      <c r="AP107" s="6" t="s">
        <v>989</v>
      </c>
      <c r="AQ107" s="4"/>
      <c r="AR107" s="4"/>
      <c r="AS107" s="11">
        <v>330</v>
      </c>
      <c r="AT107" s="11">
        <v>70</v>
      </c>
      <c r="AU107" s="11"/>
      <c r="AV107" s="11"/>
      <c r="AW107" s="4" t="s">
        <v>1824</v>
      </c>
      <c r="AX107" s="4">
        <f t="shared" si="4"/>
        <v>3</v>
      </c>
      <c r="AY107" s="93"/>
      <c r="AZ107" s="4">
        <v>1.5</v>
      </c>
    </row>
    <row r="108" spans="2:52" ht="14.25" customHeight="1" x14ac:dyDescent="0.25">
      <c r="B108" s="112" t="s">
        <v>182</v>
      </c>
      <c r="C108" s="6" t="s">
        <v>1474</v>
      </c>
      <c r="D108" s="8" t="s">
        <v>4</v>
      </c>
      <c r="E108" s="8" t="s">
        <v>1532</v>
      </c>
      <c r="F108" s="9">
        <v>27</v>
      </c>
      <c r="G108" s="9"/>
      <c r="H108" s="9"/>
      <c r="I108" s="7"/>
      <c r="J108" s="7"/>
      <c r="K108" s="7"/>
      <c r="L108" s="7"/>
      <c r="M108" s="122"/>
      <c r="N108" s="122"/>
      <c r="O108" s="122"/>
      <c r="P108" s="96"/>
      <c r="Q108" s="7"/>
      <c r="R108" s="93">
        <v>0.44968833701528577</v>
      </c>
      <c r="S108" s="93">
        <v>4407.6589595375517</v>
      </c>
      <c r="T108" s="122" t="s">
        <v>1518</v>
      </c>
      <c r="U108" s="7"/>
      <c r="V108" s="7"/>
      <c r="W108" s="122" t="s">
        <v>1518</v>
      </c>
      <c r="X108" s="122"/>
      <c r="Y108" s="122"/>
      <c r="Z108" s="7"/>
      <c r="AA108" s="7"/>
      <c r="AB108" s="7"/>
      <c r="AC108" s="7"/>
      <c r="AD108" s="7">
        <v>1</v>
      </c>
      <c r="AE108" s="7"/>
      <c r="AF108" s="7"/>
      <c r="AG108" s="7"/>
      <c r="AH108" s="7"/>
      <c r="AI108" s="7"/>
      <c r="AJ108" s="7"/>
      <c r="AK108" s="7"/>
      <c r="AL108" s="7"/>
      <c r="AM108" s="16">
        <v>44169</v>
      </c>
      <c r="AN108" s="4"/>
      <c r="AO108" s="11" t="s">
        <v>989</v>
      </c>
      <c r="AP108" s="4"/>
      <c r="AQ108" s="4"/>
      <c r="AR108" s="4"/>
      <c r="AS108" s="11">
        <v>100</v>
      </c>
      <c r="AT108" s="11"/>
      <c r="AU108" s="11"/>
      <c r="AV108" s="11"/>
      <c r="AW108" s="4"/>
      <c r="AX108" s="4">
        <f t="shared" si="4"/>
        <v>1</v>
      </c>
      <c r="AY108" s="93"/>
      <c r="AZ108" s="4">
        <v>1.5</v>
      </c>
    </row>
    <row r="109" spans="2:52" ht="14.25" customHeight="1" x14ac:dyDescent="0.25">
      <c r="B109" s="92" t="s">
        <v>360</v>
      </c>
      <c r="C109" s="6" t="s">
        <v>1110</v>
      </c>
      <c r="D109" s="7" t="s">
        <v>7</v>
      </c>
      <c r="E109" s="9"/>
      <c r="F109" s="137" t="s">
        <v>1555</v>
      </c>
      <c r="G109" s="7"/>
      <c r="H109" s="7"/>
      <c r="I109" s="7"/>
      <c r="J109" s="7"/>
      <c r="K109" s="7"/>
      <c r="L109" s="7"/>
      <c r="M109" s="122"/>
      <c r="N109" s="122"/>
      <c r="O109" s="122"/>
      <c r="P109" s="96"/>
      <c r="Q109" s="7"/>
      <c r="R109" s="93">
        <v>1.7157880588940693E-3</v>
      </c>
      <c r="S109" s="93">
        <v>2.5154589041095927</v>
      </c>
      <c r="T109" s="122" t="s">
        <v>1518</v>
      </c>
      <c r="U109" s="7"/>
      <c r="V109" s="7"/>
      <c r="W109" s="122" t="s">
        <v>1518</v>
      </c>
      <c r="X109" s="122"/>
      <c r="Y109" s="122"/>
      <c r="Z109" s="7"/>
      <c r="AA109" s="7">
        <v>1</v>
      </c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6">
        <v>44169</v>
      </c>
      <c r="AN109" s="4"/>
      <c r="AO109" s="6" t="s">
        <v>1019</v>
      </c>
      <c r="AP109" s="4"/>
      <c r="AQ109" s="4"/>
      <c r="AR109" s="4"/>
      <c r="AS109" s="11">
        <v>660</v>
      </c>
      <c r="AT109" s="11"/>
      <c r="AU109" s="11"/>
      <c r="AV109" s="11"/>
      <c r="AW109" s="4"/>
      <c r="AX109" s="4">
        <f t="shared" si="4"/>
        <v>1</v>
      </c>
      <c r="AY109" s="93"/>
      <c r="AZ109" s="4">
        <v>0.75</v>
      </c>
    </row>
    <row r="110" spans="2:52" ht="14.25" customHeight="1" x14ac:dyDescent="0.25">
      <c r="B110" s="112" t="s">
        <v>37</v>
      </c>
      <c r="C110" s="6" t="s">
        <v>1682</v>
      </c>
      <c r="D110" s="9" t="s">
        <v>3</v>
      </c>
      <c r="E110" s="7" t="s">
        <v>1468</v>
      </c>
      <c r="F110" s="9">
        <v>7</v>
      </c>
      <c r="G110" s="9"/>
      <c r="H110" s="9"/>
      <c r="I110" s="7"/>
      <c r="J110" s="7"/>
      <c r="K110" s="7"/>
      <c r="L110" s="7"/>
      <c r="M110" s="122"/>
      <c r="N110" s="122"/>
      <c r="O110" s="122"/>
      <c r="P110" s="96"/>
      <c r="Q110" s="14"/>
      <c r="R110" s="93">
        <v>0.20759812501504959</v>
      </c>
      <c r="S110" s="93">
        <v>2.7822500000000014E-2</v>
      </c>
      <c r="T110" s="122" t="s">
        <v>1518</v>
      </c>
      <c r="U110" s="7"/>
      <c r="V110" s="7"/>
      <c r="W110" s="122"/>
      <c r="X110" s="122"/>
      <c r="Y110" s="122"/>
      <c r="Z110" s="7"/>
      <c r="AA110" s="7"/>
      <c r="AB110" s="7"/>
      <c r="AC110" s="7"/>
      <c r="AD110" s="7"/>
      <c r="AE110" s="7">
        <v>1</v>
      </c>
      <c r="AF110" s="7"/>
      <c r="AG110" s="7"/>
      <c r="AH110" s="7"/>
      <c r="AI110" s="7"/>
      <c r="AJ110" s="7"/>
      <c r="AK110" s="7"/>
      <c r="AL110" s="7"/>
      <c r="AM110" s="16">
        <v>44169</v>
      </c>
      <c r="AN110" s="4"/>
      <c r="AO110" s="6" t="s">
        <v>997</v>
      </c>
      <c r="AP110" s="4"/>
      <c r="AQ110" s="4"/>
      <c r="AR110" s="4"/>
      <c r="AS110" s="11">
        <v>500</v>
      </c>
      <c r="AT110" s="11"/>
      <c r="AU110" s="11"/>
      <c r="AV110" s="11"/>
      <c r="AW110" s="4"/>
      <c r="AX110" s="4">
        <f t="shared" si="4"/>
        <v>1</v>
      </c>
      <c r="AY110" s="93">
        <v>1</v>
      </c>
      <c r="AZ110" s="4">
        <v>0.5</v>
      </c>
    </row>
    <row r="111" spans="2:52" ht="14.25" customHeight="1" x14ac:dyDescent="0.25">
      <c r="B111" s="112" t="s">
        <v>1833</v>
      </c>
      <c r="C111" s="6" t="s">
        <v>1834</v>
      </c>
      <c r="D111" s="8" t="s">
        <v>4</v>
      </c>
      <c r="E111" s="8" t="s">
        <v>26</v>
      </c>
      <c r="F111" s="9">
        <v>34</v>
      </c>
      <c r="G111" s="9"/>
      <c r="H111" s="9"/>
      <c r="I111" s="7"/>
      <c r="J111" s="7"/>
      <c r="K111" s="7"/>
      <c r="L111" s="7"/>
      <c r="M111" s="122"/>
      <c r="N111" s="122"/>
      <c r="O111" s="122"/>
      <c r="P111" s="96"/>
      <c r="Q111" s="7"/>
      <c r="R111" s="93">
        <v>4.1306204920660977E-2</v>
      </c>
      <c r="S111" s="93">
        <v>122.00399999999995</v>
      </c>
      <c r="T111" s="122"/>
      <c r="U111" s="7"/>
      <c r="V111" s="7"/>
      <c r="W111" s="122"/>
      <c r="X111" s="122"/>
      <c r="Y111" s="122"/>
      <c r="Z111" s="7"/>
      <c r="AA111" s="7"/>
      <c r="AB111" s="7">
        <v>1</v>
      </c>
      <c r="AC111" s="7">
        <v>1</v>
      </c>
      <c r="AD111" s="7"/>
      <c r="AE111" s="7">
        <v>1</v>
      </c>
      <c r="AF111" s="7"/>
      <c r="AG111" s="7">
        <v>1</v>
      </c>
      <c r="AH111" s="7">
        <v>1</v>
      </c>
      <c r="AI111" s="7">
        <v>1</v>
      </c>
      <c r="AJ111" s="7">
        <v>1</v>
      </c>
      <c r="AK111" s="7">
        <v>1</v>
      </c>
      <c r="AL111" s="7"/>
      <c r="AM111" s="16">
        <v>44887</v>
      </c>
      <c r="AN111" s="4"/>
      <c r="AO111" s="11" t="s">
        <v>178</v>
      </c>
      <c r="AP111" s="4"/>
      <c r="AQ111" s="4"/>
      <c r="AR111" s="4"/>
      <c r="AS111" s="11">
        <v>360</v>
      </c>
      <c r="AT111" s="11"/>
      <c r="AU111" s="11"/>
      <c r="AV111" s="11"/>
      <c r="AW111" s="4"/>
      <c r="AX111" s="4">
        <f t="shared" si="4"/>
        <v>8</v>
      </c>
      <c r="AY111" s="93"/>
      <c r="AZ111" s="4">
        <v>0.3</v>
      </c>
    </row>
    <row r="112" spans="2:52" ht="14.25" customHeight="1" x14ac:dyDescent="0.25">
      <c r="B112" s="112" t="s">
        <v>2035</v>
      </c>
      <c r="C112" s="6" t="s">
        <v>2036</v>
      </c>
      <c r="D112" s="9" t="s">
        <v>4</v>
      </c>
      <c r="E112" s="9" t="s">
        <v>109</v>
      </c>
      <c r="F112" s="9">
        <v>2</v>
      </c>
      <c r="G112" s="9">
        <v>2</v>
      </c>
      <c r="H112" s="9"/>
      <c r="I112" s="7"/>
      <c r="J112" s="7">
        <v>6</v>
      </c>
      <c r="K112" s="7"/>
      <c r="L112" s="7"/>
      <c r="M112" s="122"/>
      <c r="N112" s="122"/>
      <c r="O112" s="122"/>
      <c r="P112" s="96"/>
      <c r="Q112" s="7"/>
      <c r="R112" s="93">
        <f t="shared" ref="R112" si="6">+BN112</f>
        <v>0</v>
      </c>
      <c r="S112" s="93">
        <f t="shared" ref="S112" si="7">+BS112</f>
        <v>0</v>
      </c>
      <c r="T112" s="122" t="s">
        <v>1518</v>
      </c>
      <c r="U112" s="7"/>
      <c r="V112" s="7"/>
      <c r="W112" s="122"/>
      <c r="X112" s="122"/>
      <c r="Y112" s="122"/>
      <c r="Z112" s="7"/>
      <c r="AA112" s="7">
        <v>1</v>
      </c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16">
        <v>45295</v>
      </c>
      <c r="AN112" s="4"/>
      <c r="AO112" s="11" t="s">
        <v>153</v>
      </c>
      <c r="AP112" s="6" t="s">
        <v>1010</v>
      </c>
      <c r="AQ112" s="6" t="s">
        <v>300</v>
      </c>
      <c r="AR112" s="4"/>
      <c r="AS112" s="11">
        <v>68.3</v>
      </c>
      <c r="AT112" s="11">
        <v>2.2799999999999998</v>
      </c>
      <c r="AU112" s="11">
        <v>68.3</v>
      </c>
      <c r="AV112" s="11"/>
      <c r="AW112" s="4"/>
      <c r="AX112" s="4">
        <f t="shared" ref="AX112" si="8">SUM(AA112:AL112)</f>
        <v>1</v>
      </c>
      <c r="AY112" s="93">
        <v>1</v>
      </c>
      <c r="AZ112" s="267">
        <v>0.22</v>
      </c>
    </row>
    <row r="113" spans="2:52" ht="14.25" customHeight="1" x14ac:dyDescent="0.25">
      <c r="B113" s="114" t="s">
        <v>1111</v>
      </c>
      <c r="C113" s="6" t="s">
        <v>1112</v>
      </c>
      <c r="D113" s="8" t="s">
        <v>6</v>
      </c>
      <c r="E113" s="8" t="s">
        <v>29</v>
      </c>
      <c r="F113" s="8"/>
      <c r="G113" s="8"/>
      <c r="H113" s="8"/>
      <c r="I113" s="7"/>
      <c r="J113" s="7"/>
      <c r="K113" s="7"/>
      <c r="L113" s="7"/>
      <c r="M113" s="122"/>
      <c r="N113" s="122"/>
      <c r="O113" s="122"/>
      <c r="P113" s="96" t="s">
        <v>352</v>
      </c>
      <c r="Q113" s="7"/>
      <c r="R113" s="93">
        <v>3.8850512249202587E-3</v>
      </c>
      <c r="S113" s="93">
        <v>6.8940707964601847E-2</v>
      </c>
      <c r="T113" s="122"/>
      <c r="U113" s="7"/>
      <c r="V113" s="7"/>
      <c r="W113" s="122"/>
      <c r="X113" s="122"/>
      <c r="Y113" s="122" t="s">
        <v>1518</v>
      </c>
      <c r="Z113" s="7"/>
      <c r="AA113" s="7">
        <v>2</v>
      </c>
      <c r="AB113" s="7">
        <v>2</v>
      </c>
      <c r="AC113" s="7">
        <v>2</v>
      </c>
      <c r="AD113" s="7">
        <v>2</v>
      </c>
      <c r="AE113" s="7">
        <v>2</v>
      </c>
      <c r="AF113" s="7">
        <v>2</v>
      </c>
      <c r="AG113" s="7">
        <v>2</v>
      </c>
      <c r="AH113" s="7">
        <v>2</v>
      </c>
      <c r="AI113" s="7">
        <v>2</v>
      </c>
      <c r="AJ113" s="7">
        <v>2</v>
      </c>
      <c r="AK113" s="7">
        <v>2</v>
      </c>
      <c r="AL113" s="7">
        <v>2</v>
      </c>
      <c r="AM113" s="16">
        <v>44169</v>
      </c>
      <c r="AN113" s="4"/>
      <c r="AO113" s="4" t="s">
        <v>356</v>
      </c>
      <c r="AP113" s="4"/>
      <c r="AQ113" s="4"/>
      <c r="AR113" s="4"/>
      <c r="AS113" s="11">
        <v>50</v>
      </c>
      <c r="AT113" s="11"/>
      <c r="AU113" s="11"/>
      <c r="AV113" s="11"/>
      <c r="AW113" s="4"/>
      <c r="AX113" s="4">
        <f t="shared" si="4"/>
        <v>24</v>
      </c>
      <c r="AY113" s="93"/>
      <c r="AZ113" s="4">
        <v>7</v>
      </c>
    </row>
    <row r="114" spans="2:52" ht="14.25" customHeight="1" x14ac:dyDescent="0.25">
      <c r="B114" s="112" t="s">
        <v>38</v>
      </c>
      <c r="C114" s="6" t="s">
        <v>1956</v>
      </c>
      <c r="D114" s="9" t="s">
        <v>3</v>
      </c>
      <c r="E114" s="9" t="s">
        <v>1468</v>
      </c>
      <c r="F114" s="9">
        <v>3</v>
      </c>
      <c r="G114" s="9"/>
      <c r="H114" s="9"/>
      <c r="I114" s="7">
        <v>20</v>
      </c>
      <c r="J114" s="7"/>
      <c r="K114" s="7"/>
      <c r="L114" s="7"/>
      <c r="M114" s="122"/>
      <c r="N114" s="122"/>
      <c r="O114" s="122"/>
      <c r="P114" s="96"/>
      <c r="Q114" s="15">
        <v>0.3</v>
      </c>
      <c r="R114" s="93">
        <v>2.896913812557282</v>
      </c>
      <c r="S114" s="93">
        <v>5.9619642857142834</v>
      </c>
      <c r="T114" s="122" t="s">
        <v>1518</v>
      </c>
      <c r="U114" s="7"/>
      <c r="V114" s="7"/>
      <c r="W114" s="122" t="s">
        <v>1518</v>
      </c>
      <c r="X114" s="122"/>
      <c r="Y114" s="122" t="s">
        <v>1518</v>
      </c>
      <c r="Z114" s="7"/>
      <c r="AA114" s="12">
        <v>1</v>
      </c>
      <c r="AB114" s="12"/>
      <c r="AC114" s="12"/>
      <c r="AD114" s="12"/>
      <c r="AE114" s="12">
        <v>1</v>
      </c>
      <c r="AF114" s="12"/>
      <c r="AG114" s="12"/>
      <c r="AH114" s="12"/>
      <c r="AI114" s="12"/>
      <c r="AJ114" s="12"/>
      <c r="AK114" s="12"/>
      <c r="AL114" s="7"/>
      <c r="AM114" s="16">
        <v>44175</v>
      </c>
      <c r="AN114" s="4"/>
      <c r="AO114" s="6" t="s">
        <v>1021</v>
      </c>
      <c r="AP114" s="4"/>
      <c r="AQ114" s="4"/>
      <c r="AR114" s="4"/>
      <c r="AS114" s="11">
        <v>60</v>
      </c>
      <c r="AT114" s="11"/>
      <c r="AU114" s="11"/>
      <c r="AV114" s="11"/>
      <c r="AW114" s="4"/>
      <c r="AX114" s="4">
        <f t="shared" si="4"/>
        <v>2</v>
      </c>
      <c r="AY114" s="93">
        <v>1</v>
      </c>
      <c r="AZ114" s="4">
        <v>1.5</v>
      </c>
    </row>
    <row r="115" spans="2:52" ht="14.25" customHeight="1" x14ac:dyDescent="0.25">
      <c r="B115" s="112" t="s">
        <v>1831</v>
      </c>
      <c r="C115" s="6" t="s">
        <v>1832</v>
      </c>
      <c r="D115" s="8" t="s">
        <v>4</v>
      </c>
      <c r="E115" s="8" t="s">
        <v>13</v>
      </c>
      <c r="F115" s="9">
        <v>34</v>
      </c>
      <c r="G115" s="9"/>
      <c r="H115" s="9"/>
      <c r="I115" s="7"/>
      <c r="J115" s="7"/>
      <c r="K115" s="7"/>
      <c r="L115" s="7"/>
      <c r="M115" s="122"/>
      <c r="N115" s="122"/>
      <c r="O115" s="122"/>
      <c r="P115" s="96"/>
      <c r="Q115" s="7"/>
      <c r="R115" s="93">
        <v>4.1306204920660977E-2</v>
      </c>
      <c r="S115" s="93">
        <v>122.00399999999995</v>
      </c>
      <c r="T115" s="122"/>
      <c r="U115" s="7"/>
      <c r="V115" s="7"/>
      <c r="W115" s="122"/>
      <c r="X115" s="122"/>
      <c r="Y115" s="122"/>
      <c r="Z115" s="7"/>
      <c r="AA115" s="7"/>
      <c r="AB115" s="7">
        <v>1</v>
      </c>
      <c r="AC115" s="7">
        <v>1</v>
      </c>
      <c r="AD115" s="7"/>
      <c r="AE115" s="7">
        <v>1</v>
      </c>
      <c r="AF115" s="7"/>
      <c r="AG115" s="7">
        <v>1</v>
      </c>
      <c r="AH115" s="7">
        <v>1</v>
      </c>
      <c r="AI115" s="7">
        <v>1</v>
      </c>
      <c r="AJ115" s="7">
        <v>1</v>
      </c>
      <c r="AK115" s="7">
        <v>1</v>
      </c>
      <c r="AL115" s="7"/>
      <c r="AM115" s="16">
        <v>44887</v>
      </c>
      <c r="AN115" s="4"/>
      <c r="AO115" s="11" t="s">
        <v>178</v>
      </c>
      <c r="AP115" s="4"/>
      <c r="AQ115" s="4"/>
      <c r="AR115" s="4"/>
      <c r="AS115" s="11">
        <v>360</v>
      </c>
      <c r="AT115" s="11"/>
      <c r="AU115" s="11"/>
      <c r="AV115" s="11"/>
      <c r="AW115" s="4"/>
      <c r="AX115" s="4">
        <f t="shared" si="4"/>
        <v>8</v>
      </c>
      <c r="AY115" s="93"/>
      <c r="AZ115" s="4">
        <v>0.3</v>
      </c>
    </row>
    <row r="116" spans="2:52" ht="14.25" customHeight="1" x14ac:dyDescent="0.25">
      <c r="B116" s="112" t="s">
        <v>183</v>
      </c>
      <c r="C116" s="6" t="s">
        <v>1113</v>
      </c>
      <c r="D116" s="8" t="s">
        <v>4</v>
      </c>
      <c r="E116" s="8" t="s">
        <v>17</v>
      </c>
      <c r="F116" s="9">
        <v>34</v>
      </c>
      <c r="G116" s="9"/>
      <c r="H116" s="9"/>
      <c r="I116" s="7"/>
      <c r="J116" s="7"/>
      <c r="K116" s="7"/>
      <c r="L116" s="7"/>
      <c r="M116" s="122"/>
      <c r="N116" s="122"/>
      <c r="O116" s="122"/>
      <c r="P116" s="96"/>
      <c r="Q116" s="7"/>
      <c r="R116" s="93">
        <v>4.1306204920660977E-2</v>
      </c>
      <c r="S116" s="93">
        <v>122.00399999999995</v>
      </c>
      <c r="T116" s="122"/>
      <c r="U116" s="7"/>
      <c r="V116" s="7"/>
      <c r="W116" s="122"/>
      <c r="X116" s="122"/>
      <c r="Y116" s="122"/>
      <c r="Z116" s="7"/>
      <c r="AA116" s="7"/>
      <c r="AB116" s="7">
        <v>1</v>
      </c>
      <c r="AC116" s="7">
        <v>1</v>
      </c>
      <c r="AD116" s="7"/>
      <c r="AE116" s="7">
        <v>1</v>
      </c>
      <c r="AF116" s="7"/>
      <c r="AG116" s="7">
        <v>1</v>
      </c>
      <c r="AH116" s="7">
        <v>1</v>
      </c>
      <c r="AI116" s="7">
        <v>1</v>
      </c>
      <c r="AJ116" s="7">
        <v>1</v>
      </c>
      <c r="AK116" s="7">
        <v>1</v>
      </c>
      <c r="AL116" s="7"/>
      <c r="AM116" s="16">
        <v>44169</v>
      </c>
      <c r="AN116" s="4"/>
      <c r="AO116" s="11" t="s">
        <v>178</v>
      </c>
      <c r="AP116" s="4"/>
      <c r="AQ116" s="4"/>
      <c r="AR116" s="4"/>
      <c r="AS116" s="11">
        <v>360</v>
      </c>
      <c r="AT116" s="11"/>
      <c r="AU116" s="11"/>
      <c r="AV116" s="11"/>
      <c r="AW116" s="4"/>
      <c r="AX116" s="4">
        <f t="shared" si="4"/>
        <v>8</v>
      </c>
      <c r="AY116" s="93"/>
      <c r="AZ116" s="4">
        <v>0.3</v>
      </c>
    </row>
    <row r="117" spans="2:52" ht="14.25" customHeight="1" x14ac:dyDescent="0.25">
      <c r="B117" s="112" t="s">
        <v>2037</v>
      </c>
      <c r="C117" s="6" t="s">
        <v>2038</v>
      </c>
      <c r="D117" s="9" t="s">
        <v>4</v>
      </c>
      <c r="E117" s="9" t="s">
        <v>109</v>
      </c>
      <c r="F117" s="9">
        <v>5</v>
      </c>
      <c r="G117" s="9">
        <v>12</v>
      </c>
      <c r="H117" s="9"/>
      <c r="I117" s="7"/>
      <c r="J117" s="7"/>
      <c r="K117" s="7"/>
      <c r="L117" s="7" t="s">
        <v>14</v>
      </c>
      <c r="M117" s="122"/>
      <c r="N117" s="122"/>
      <c r="O117" s="122"/>
      <c r="P117" s="96"/>
      <c r="Q117" s="14">
        <v>0.3</v>
      </c>
      <c r="R117" s="93">
        <f t="shared" ref="R117" si="9">+BN117</f>
        <v>0</v>
      </c>
      <c r="S117" s="93">
        <f t="shared" ref="S117" si="10">+BS117</f>
        <v>0</v>
      </c>
      <c r="T117" s="122" t="s">
        <v>1518</v>
      </c>
      <c r="U117" s="7"/>
      <c r="V117" s="7"/>
      <c r="W117" s="122"/>
      <c r="X117" s="122"/>
      <c r="Y117" s="122"/>
      <c r="Z117" s="7"/>
      <c r="AA117" s="7">
        <v>1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16">
        <v>45295</v>
      </c>
      <c r="AN117" s="4"/>
      <c r="AO117" s="6" t="s">
        <v>1037</v>
      </c>
      <c r="AP117" s="6" t="s">
        <v>999</v>
      </c>
      <c r="AQ117" s="4"/>
      <c r="AR117" s="4"/>
      <c r="AS117" s="11">
        <v>600</v>
      </c>
      <c r="AT117" s="11">
        <v>40</v>
      </c>
      <c r="AU117" s="11"/>
      <c r="AV117" s="11"/>
      <c r="AW117" s="4"/>
      <c r="AX117" s="4">
        <f t="shared" ref="AX117" si="11">SUM(AA117:AL117)</f>
        <v>1</v>
      </c>
      <c r="AY117" s="93"/>
      <c r="AZ117" s="267">
        <v>2.5</v>
      </c>
    </row>
    <row r="118" spans="2:52" ht="14.25" customHeight="1" x14ac:dyDescent="0.25">
      <c r="B118" s="112" t="s">
        <v>39</v>
      </c>
      <c r="C118" s="6" t="s">
        <v>1114</v>
      </c>
      <c r="D118" s="8" t="s">
        <v>7</v>
      </c>
      <c r="E118" s="7" t="s">
        <v>19</v>
      </c>
      <c r="F118" s="8">
        <v>3</v>
      </c>
      <c r="G118" s="138" t="s">
        <v>1555</v>
      </c>
      <c r="H118" s="8"/>
      <c r="I118" s="7">
        <v>6</v>
      </c>
      <c r="J118" s="7"/>
      <c r="K118" s="7"/>
      <c r="L118" s="7" t="s">
        <v>14</v>
      </c>
      <c r="M118" s="122"/>
      <c r="N118" s="122"/>
      <c r="O118" s="122"/>
      <c r="P118" s="96"/>
      <c r="Q118" s="15">
        <v>0.3</v>
      </c>
      <c r="R118" s="93">
        <v>1.3624985519119124</v>
      </c>
      <c r="S118" s="93">
        <v>3.7746449044585964</v>
      </c>
      <c r="T118" s="122" t="s">
        <v>1518</v>
      </c>
      <c r="U118" s="7"/>
      <c r="V118" s="7"/>
      <c r="W118" s="122" t="s">
        <v>1518</v>
      </c>
      <c r="X118" s="122"/>
      <c r="Y118" s="122"/>
      <c r="Z118" s="7"/>
      <c r="AA118" s="12"/>
      <c r="AB118" s="12"/>
      <c r="AC118" s="12"/>
      <c r="AD118" s="12"/>
      <c r="AE118" s="12">
        <v>1</v>
      </c>
      <c r="AF118" s="12"/>
      <c r="AG118" s="12"/>
      <c r="AH118" s="12"/>
      <c r="AI118" s="12"/>
      <c r="AJ118" s="12"/>
      <c r="AK118" s="12"/>
      <c r="AL118" s="7"/>
      <c r="AM118" s="16">
        <v>44169</v>
      </c>
      <c r="AN118" s="4"/>
      <c r="AO118" s="6" t="s">
        <v>1020</v>
      </c>
      <c r="AP118" s="6" t="s">
        <v>1021</v>
      </c>
      <c r="AQ118" s="4"/>
      <c r="AR118" s="4"/>
      <c r="AS118" s="11">
        <v>210</v>
      </c>
      <c r="AT118" s="11">
        <v>30</v>
      </c>
      <c r="AU118" s="11"/>
      <c r="AV118" s="11"/>
      <c r="AW118" s="4"/>
      <c r="AX118" s="4">
        <f t="shared" si="4"/>
        <v>1</v>
      </c>
      <c r="AY118" s="93">
        <v>1</v>
      </c>
      <c r="AZ118" s="4">
        <v>1.4</v>
      </c>
    </row>
    <row r="119" spans="2:52" ht="14.25" customHeight="1" x14ac:dyDescent="0.25">
      <c r="B119" s="112" t="s">
        <v>40</v>
      </c>
      <c r="C119" s="6" t="s">
        <v>1115</v>
      </c>
      <c r="D119" s="9" t="s">
        <v>3</v>
      </c>
      <c r="E119" s="9" t="s">
        <v>26</v>
      </c>
      <c r="F119" s="9">
        <v>3</v>
      </c>
      <c r="G119" s="9">
        <v>3</v>
      </c>
      <c r="H119" s="9"/>
      <c r="I119" s="7"/>
      <c r="J119" s="7"/>
      <c r="K119" s="7"/>
      <c r="L119" s="7"/>
      <c r="M119" s="122"/>
      <c r="N119" s="122"/>
      <c r="O119" s="122"/>
      <c r="P119" s="96"/>
      <c r="Q119" s="15">
        <v>0.3</v>
      </c>
      <c r="R119" s="93">
        <v>1.3451514261569812</v>
      </c>
      <c r="S119" s="93">
        <v>4.0893698671497569</v>
      </c>
      <c r="T119" s="122" t="s">
        <v>1518</v>
      </c>
      <c r="U119" s="7"/>
      <c r="V119" s="7"/>
      <c r="W119" s="122" t="s">
        <v>1518</v>
      </c>
      <c r="X119" s="122"/>
      <c r="Y119" s="122"/>
      <c r="Z119" s="7"/>
      <c r="AA119" s="12">
        <v>1</v>
      </c>
      <c r="AB119" s="12"/>
      <c r="AC119" s="12"/>
      <c r="AD119" s="12"/>
      <c r="AE119" s="12">
        <v>1</v>
      </c>
      <c r="AF119" s="12"/>
      <c r="AG119" s="12"/>
      <c r="AH119" s="12"/>
      <c r="AI119" s="12"/>
      <c r="AJ119" s="12"/>
      <c r="AK119" s="12"/>
      <c r="AL119" s="7"/>
      <c r="AM119" s="16">
        <v>44169</v>
      </c>
      <c r="AN119" s="4"/>
      <c r="AO119" s="11" t="s">
        <v>15</v>
      </c>
      <c r="AP119" s="11" t="s">
        <v>41</v>
      </c>
      <c r="AQ119" s="5"/>
      <c r="AR119" s="5"/>
      <c r="AS119" s="11">
        <v>125</v>
      </c>
      <c r="AT119" s="11">
        <v>125</v>
      </c>
      <c r="AU119" s="11"/>
      <c r="AV119" s="11"/>
      <c r="AW119" s="4"/>
      <c r="AX119" s="4">
        <f t="shared" si="4"/>
        <v>2</v>
      </c>
      <c r="AY119" s="93">
        <v>1</v>
      </c>
      <c r="AZ119" s="4">
        <v>1</v>
      </c>
    </row>
    <row r="120" spans="2:52" ht="14.25" customHeight="1" x14ac:dyDescent="0.25">
      <c r="B120" s="92" t="s">
        <v>361</v>
      </c>
      <c r="C120" s="6" t="s">
        <v>1116</v>
      </c>
      <c r="D120" s="7" t="s">
        <v>7</v>
      </c>
      <c r="E120" s="8" t="s">
        <v>54</v>
      </c>
      <c r="F120" s="137" t="s">
        <v>1555</v>
      </c>
      <c r="G120" s="7"/>
      <c r="H120" s="7"/>
      <c r="I120" s="7"/>
      <c r="J120" s="7"/>
      <c r="K120" s="7"/>
      <c r="L120" s="7"/>
      <c r="M120" s="122"/>
      <c r="N120" s="122"/>
      <c r="O120" s="122"/>
      <c r="P120" s="96"/>
      <c r="Q120" s="7"/>
      <c r="R120" s="93">
        <v>2.3621203138225504E-2</v>
      </c>
      <c r="S120" s="93">
        <v>0.1706446666666665</v>
      </c>
      <c r="T120" s="122"/>
      <c r="U120" s="7"/>
      <c r="V120" s="7"/>
      <c r="W120" s="122"/>
      <c r="X120" s="122"/>
      <c r="Y120" s="122" t="s">
        <v>1518</v>
      </c>
      <c r="Z120" s="7"/>
      <c r="AA120" s="7">
        <v>1</v>
      </c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16">
        <v>44169</v>
      </c>
      <c r="AN120" s="4"/>
      <c r="AO120" s="11" t="s">
        <v>362</v>
      </c>
      <c r="AP120" s="4"/>
      <c r="AQ120" s="4"/>
      <c r="AR120" s="4"/>
      <c r="AS120" s="11">
        <v>460</v>
      </c>
      <c r="AT120" s="11"/>
      <c r="AU120" s="11"/>
      <c r="AV120" s="11"/>
      <c r="AW120" s="4"/>
      <c r="AX120" s="4">
        <f t="shared" si="4"/>
        <v>1</v>
      </c>
      <c r="AY120" s="93">
        <v>1</v>
      </c>
      <c r="AZ120" s="4">
        <v>1.5</v>
      </c>
    </row>
    <row r="121" spans="2:52" ht="14.25" customHeight="1" x14ac:dyDescent="0.25">
      <c r="B121" s="92" t="s">
        <v>1593</v>
      </c>
      <c r="C121" s="6" t="s">
        <v>1594</v>
      </c>
      <c r="D121" s="8" t="s">
        <v>4</v>
      </c>
      <c r="E121" s="8" t="s">
        <v>17</v>
      </c>
      <c r="F121" s="9">
        <v>2</v>
      </c>
      <c r="G121" s="9">
        <v>4</v>
      </c>
      <c r="H121" s="9"/>
      <c r="I121" s="7"/>
      <c r="J121" s="7">
        <v>6</v>
      </c>
      <c r="K121" s="7"/>
      <c r="L121" s="7"/>
      <c r="M121" s="122"/>
      <c r="N121" s="122"/>
      <c r="O121" s="122"/>
      <c r="P121" s="96"/>
      <c r="Q121" s="14"/>
      <c r="R121" s="93">
        <v>0.23704755323530408</v>
      </c>
      <c r="S121" s="93">
        <v>114.49457872324319</v>
      </c>
      <c r="T121" s="122" t="s">
        <v>1518</v>
      </c>
      <c r="U121" s="7"/>
      <c r="V121" s="7"/>
      <c r="W121" s="122" t="s">
        <v>1518</v>
      </c>
      <c r="X121" s="122"/>
      <c r="Y121" s="122"/>
      <c r="Z121" s="7"/>
      <c r="AA121" s="7">
        <v>1</v>
      </c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16">
        <v>44540</v>
      </c>
      <c r="AN121" s="4"/>
      <c r="AO121" s="11" t="s">
        <v>1010</v>
      </c>
      <c r="AP121" s="4" t="s">
        <v>1592</v>
      </c>
      <c r="AQ121" s="4" t="s">
        <v>300</v>
      </c>
      <c r="AR121" s="4"/>
      <c r="AS121" s="11">
        <v>5</v>
      </c>
      <c r="AT121" s="11">
        <v>6.3</v>
      </c>
      <c r="AU121" s="11">
        <v>6</v>
      </c>
      <c r="AV121" s="11"/>
      <c r="AW121" s="4"/>
      <c r="AX121" s="4">
        <f t="shared" si="4"/>
        <v>1</v>
      </c>
      <c r="AY121" s="93">
        <v>1</v>
      </c>
      <c r="AZ121" s="4">
        <v>1</v>
      </c>
    </row>
    <row r="122" spans="2:52" ht="14.25" customHeight="1" x14ac:dyDescent="0.25">
      <c r="B122" s="114" t="s">
        <v>1457</v>
      </c>
      <c r="C122" s="6" t="s">
        <v>1117</v>
      </c>
      <c r="D122" s="9" t="s">
        <v>4</v>
      </c>
      <c r="E122" s="8" t="s">
        <v>54</v>
      </c>
      <c r="F122" s="9">
        <v>32</v>
      </c>
      <c r="G122" s="9"/>
      <c r="H122" s="9"/>
      <c r="I122" s="12">
        <v>20</v>
      </c>
      <c r="J122" s="12"/>
      <c r="K122" s="12"/>
      <c r="L122" s="7" t="s">
        <v>120</v>
      </c>
      <c r="M122" s="124"/>
      <c r="N122" s="124"/>
      <c r="O122" s="124"/>
      <c r="P122" s="98"/>
      <c r="Q122" s="14">
        <v>0.3</v>
      </c>
      <c r="R122" s="93">
        <v>6.6543406448163935</v>
      </c>
      <c r="S122" s="93">
        <v>369.70909090909174</v>
      </c>
      <c r="T122" s="122" t="s">
        <v>1518</v>
      </c>
      <c r="U122" s="7"/>
      <c r="V122" s="7"/>
      <c r="W122" s="122"/>
      <c r="X122" s="122"/>
      <c r="Y122" s="122" t="s">
        <v>1518</v>
      </c>
      <c r="Z122" s="7"/>
      <c r="AA122" s="7"/>
      <c r="AB122" s="7"/>
      <c r="AC122" s="7">
        <v>1</v>
      </c>
      <c r="AD122" s="7"/>
      <c r="AE122" s="7"/>
      <c r="AF122" s="7"/>
      <c r="AG122" s="7">
        <v>1</v>
      </c>
      <c r="AH122" s="7"/>
      <c r="AI122" s="7"/>
      <c r="AJ122" s="7"/>
      <c r="AK122" s="7"/>
      <c r="AL122" s="7"/>
      <c r="AM122" s="16">
        <v>44169</v>
      </c>
      <c r="AN122" s="4"/>
      <c r="AO122" s="11" t="s">
        <v>155</v>
      </c>
      <c r="AP122" s="4"/>
      <c r="AQ122" s="4"/>
      <c r="AR122" s="4"/>
      <c r="AS122" s="11">
        <v>600</v>
      </c>
      <c r="AT122" s="11"/>
      <c r="AU122" s="11"/>
      <c r="AV122" s="11"/>
      <c r="AW122" s="4"/>
      <c r="AX122" s="4">
        <f t="shared" si="4"/>
        <v>2</v>
      </c>
      <c r="AY122" s="93"/>
      <c r="AZ122" s="4">
        <v>1</v>
      </c>
    </row>
    <row r="123" spans="2:52" ht="14.25" customHeight="1" x14ac:dyDescent="0.25">
      <c r="B123" s="114" t="s">
        <v>1456</v>
      </c>
      <c r="C123" s="6" t="s">
        <v>1117</v>
      </c>
      <c r="D123" s="9" t="s">
        <v>4</v>
      </c>
      <c r="E123" s="8" t="s">
        <v>54</v>
      </c>
      <c r="F123" s="9">
        <v>32</v>
      </c>
      <c r="G123" s="9"/>
      <c r="H123" s="9"/>
      <c r="I123" s="7">
        <v>20</v>
      </c>
      <c r="J123" s="12"/>
      <c r="K123" s="12"/>
      <c r="L123" s="7" t="s">
        <v>80</v>
      </c>
      <c r="M123" s="124"/>
      <c r="N123" s="124"/>
      <c r="O123" s="124"/>
      <c r="P123" s="98"/>
      <c r="Q123" s="14">
        <v>0.3</v>
      </c>
      <c r="R123" s="93">
        <v>13.308681289632787</v>
      </c>
      <c r="S123" s="93">
        <v>739.41818181818348</v>
      </c>
      <c r="T123" s="122" t="s">
        <v>1518</v>
      </c>
      <c r="U123" s="7"/>
      <c r="V123" s="7"/>
      <c r="W123" s="122"/>
      <c r="X123" s="122"/>
      <c r="Y123" s="122" t="s">
        <v>1518</v>
      </c>
      <c r="Z123" s="7"/>
      <c r="AA123" s="7"/>
      <c r="AB123" s="7"/>
      <c r="AC123" s="7">
        <v>1</v>
      </c>
      <c r="AD123" s="7"/>
      <c r="AE123" s="7"/>
      <c r="AF123" s="7">
        <v>1</v>
      </c>
      <c r="AG123" s="7">
        <v>1</v>
      </c>
      <c r="AH123" s="7"/>
      <c r="AI123" s="7">
        <v>1</v>
      </c>
      <c r="AJ123" s="7"/>
      <c r="AK123" s="7"/>
      <c r="AL123" s="7"/>
      <c r="AM123" s="16">
        <v>44169</v>
      </c>
      <c r="AN123" s="4"/>
      <c r="AO123" s="11" t="s">
        <v>155</v>
      </c>
      <c r="AP123" s="4"/>
      <c r="AQ123" s="4"/>
      <c r="AR123" s="4"/>
      <c r="AS123" s="11">
        <v>600</v>
      </c>
      <c r="AT123" s="11"/>
      <c r="AU123" s="11"/>
      <c r="AV123" s="11"/>
      <c r="AW123" s="4"/>
      <c r="AX123" s="4">
        <f t="shared" si="4"/>
        <v>4</v>
      </c>
      <c r="AY123" s="93"/>
      <c r="AZ123" s="4">
        <v>2</v>
      </c>
    </row>
    <row r="124" spans="2:52" ht="14.25" customHeight="1" x14ac:dyDescent="0.25">
      <c r="B124" s="112" t="s">
        <v>1455</v>
      </c>
      <c r="C124" s="6" t="s">
        <v>1117</v>
      </c>
      <c r="D124" s="9" t="s">
        <v>4</v>
      </c>
      <c r="E124" s="8" t="s">
        <v>54</v>
      </c>
      <c r="F124" s="9">
        <v>32</v>
      </c>
      <c r="G124" s="9"/>
      <c r="H124" s="9"/>
      <c r="I124" s="7">
        <v>20</v>
      </c>
      <c r="J124" s="7"/>
      <c r="K124" s="7"/>
      <c r="L124" s="7" t="s">
        <v>59</v>
      </c>
      <c r="M124" s="122"/>
      <c r="N124" s="122"/>
      <c r="O124" s="122"/>
      <c r="P124" s="96"/>
      <c r="Q124" s="14">
        <v>0.3</v>
      </c>
      <c r="R124" s="93">
        <v>19.963021934449181</v>
      </c>
      <c r="S124" s="93">
        <v>1109.1272727272753</v>
      </c>
      <c r="T124" s="122" t="s">
        <v>1518</v>
      </c>
      <c r="U124" s="7"/>
      <c r="V124" s="7"/>
      <c r="W124" s="122"/>
      <c r="X124" s="122"/>
      <c r="Y124" s="122" t="s">
        <v>1518</v>
      </c>
      <c r="Z124" s="7"/>
      <c r="AA124" s="7"/>
      <c r="AB124" s="7"/>
      <c r="AC124" s="7">
        <v>1</v>
      </c>
      <c r="AD124" s="7"/>
      <c r="AE124" s="7"/>
      <c r="AF124" s="7">
        <v>1</v>
      </c>
      <c r="AG124" s="7">
        <v>1</v>
      </c>
      <c r="AH124" s="7"/>
      <c r="AI124" s="7">
        <v>1</v>
      </c>
      <c r="AJ124" s="7"/>
      <c r="AK124" s="7"/>
      <c r="AL124" s="7"/>
      <c r="AM124" s="16">
        <v>44169</v>
      </c>
      <c r="AN124" s="4"/>
      <c r="AO124" s="11" t="s">
        <v>155</v>
      </c>
      <c r="AP124" s="4"/>
      <c r="AQ124" s="4"/>
      <c r="AR124" s="4"/>
      <c r="AS124" s="11">
        <v>600</v>
      </c>
      <c r="AT124" s="11"/>
      <c r="AU124" s="11"/>
      <c r="AV124" s="11"/>
      <c r="AW124" s="4"/>
      <c r="AX124" s="4">
        <f t="shared" si="4"/>
        <v>4</v>
      </c>
      <c r="AY124" s="93"/>
      <c r="AZ124" s="4">
        <v>3</v>
      </c>
    </row>
    <row r="125" spans="2:52" ht="14.25" customHeight="1" x14ac:dyDescent="0.25">
      <c r="B125" s="114" t="s">
        <v>184</v>
      </c>
      <c r="C125" s="6" t="s">
        <v>1118</v>
      </c>
      <c r="D125" s="9" t="s">
        <v>4</v>
      </c>
      <c r="E125" s="8" t="s">
        <v>21</v>
      </c>
      <c r="F125" s="9">
        <v>2</v>
      </c>
      <c r="G125" s="9">
        <v>2</v>
      </c>
      <c r="H125" s="9"/>
      <c r="I125" s="12"/>
      <c r="J125" s="12"/>
      <c r="K125" s="12"/>
      <c r="L125" s="12"/>
      <c r="M125" s="124"/>
      <c r="N125" s="124"/>
      <c r="O125" s="124"/>
      <c r="P125" s="98"/>
      <c r="Q125" s="7"/>
      <c r="R125" s="93">
        <v>0.4472884993552339</v>
      </c>
      <c r="S125" s="93">
        <v>354.91822652487542</v>
      </c>
      <c r="T125" s="122" t="s">
        <v>1518</v>
      </c>
      <c r="U125" s="12"/>
      <c r="V125" s="12"/>
      <c r="W125" s="122" t="s">
        <v>1518</v>
      </c>
      <c r="X125" s="122"/>
      <c r="Y125" s="122"/>
      <c r="Z125" s="7"/>
      <c r="AA125" s="7">
        <v>1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16">
        <v>44169</v>
      </c>
      <c r="AN125" s="4"/>
      <c r="AO125" s="11" t="s">
        <v>185</v>
      </c>
      <c r="AP125" s="11" t="s">
        <v>133</v>
      </c>
      <c r="AQ125" s="6" t="s">
        <v>1007</v>
      </c>
      <c r="AR125" s="4"/>
      <c r="AS125" s="11">
        <v>125</v>
      </c>
      <c r="AT125" s="11">
        <v>12.5</v>
      </c>
      <c r="AU125" s="11">
        <v>125</v>
      </c>
      <c r="AV125" s="11"/>
      <c r="AW125" s="4"/>
      <c r="AX125" s="4">
        <f t="shared" si="4"/>
        <v>1</v>
      </c>
      <c r="AY125" s="93">
        <v>1</v>
      </c>
      <c r="AZ125" s="4">
        <v>0.2</v>
      </c>
    </row>
    <row r="126" spans="2:52" ht="14.25" customHeight="1" x14ac:dyDescent="0.25">
      <c r="B126" s="112" t="s">
        <v>1638</v>
      </c>
      <c r="C126" s="6" t="s">
        <v>1639</v>
      </c>
      <c r="D126" s="9" t="s">
        <v>3</v>
      </c>
      <c r="E126" s="8" t="s">
        <v>29</v>
      </c>
      <c r="F126" s="9" t="s">
        <v>51</v>
      </c>
      <c r="G126" s="9"/>
      <c r="H126" s="9"/>
      <c r="I126" s="7"/>
      <c r="J126" s="7"/>
      <c r="K126" s="7"/>
      <c r="L126" s="7"/>
      <c r="M126" s="122"/>
      <c r="N126" s="122"/>
      <c r="O126" s="122"/>
      <c r="P126" s="96"/>
      <c r="Q126" s="7"/>
      <c r="R126" s="93">
        <v>4.984822955664861E-2</v>
      </c>
      <c r="S126" s="93">
        <v>2.8601529999999955E-3</v>
      </c>
      <c r="T126" s="122" t="s">
        <v>1518</v>
      </c>
      <c r="U126" s="7"/>
      <c r="V126" s="7"/>
      <c r="W126" s="124"/>
      <c r="X126" s="124"/>
      <c r="Y126" s="124"/>
      <c r="Z126" s="12"/>
      <c r="AA126" s="7">
        <v>1</v>
      </c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16">
        <v>44540</v>
      </c>
      <c r="AN126" s="4"/>
      <c r="AO126" s="4" t="s">
        <v>52</v>
      </c>
      <c r="AP126" s="4"/>
      <c r="AQ126" s="4"/>
      <c r="AR126" s="4"/>
      <c r="AS126" s="11">
        <v>51.4</v>
      </c>
      <c r="AT126" s="11"/>
      <c r="AU126" s="11"/>
      <c r="AV126" s="11"/>
      <c r="AW126" s="4"/>
      <c r="AX126" s="4">
        <f t="shared" si="4"/>
        <v>1</v>
      </c>
      <c r="AY126" s="93">
        <v>1</v>
      </c>
      <c r="AZ126" s="4">
        <v>0.25</v>
      </c>
    </row>
    <row r="127" spans="2:52" ht="14.25" customHeight="1" x14ac:dyDescent="0.25">
      <c r="B127" s="112" t="s">
        <v>944</v>
      </c>
      <c r="C127" s="6" t="s">
        <v>1119</v>
      </c>
      <c r="D127" s="8" t="s">
        <v>4</v>
      </c>
      <c r="E127" s="8" t="s">
        <v>29</v>
      </c>
      <c r="F127" s="9">
        <v>2</v>
      </c>
      <c r="G127" s="9">
        <v>4</v>
      </c>
      <c r="H127" s="9"/>
      <c r="I127" s="7"/>
      <c r="J127" s="7">
        <v>3</v>
      </c>
      <c r="K127" s="7"/>
      <c r="L127" s="7"/>
      <c r="M127" s="122"/>
      <c r="N127" s="122"/>
      <c r="O127" s="122"/>
      <c r="P127" s="96"/>
      <c r="Q127" s="7"/>
      <c r="R127" s="93">
        <v>0.69132259887960035</v>
      </c>
      <c r="S127" s="93">
        <v>310.87730948161391</v>
      </c>
      <c r="T127" s="122" t="s">
        <v>1518</v>
      </c>
      <c r="U127" s="7"/>
      <c r="V127" s="7"/>
      <c r="W127" s="122" t="s">
        <v>1518</v>
      </c>
      <c r="X127" s="122"/>
      <c r="Y127" s="122"/>
      <c r="Z127" s="7"/>
      <c r="AA127" s="7">
        <v>1</v>
      </c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16">
        <v>44169</v>
      </c>
      <c r="AN127" s="4"/>
      <c r="AO127" s="6" t="s">
        <v>1010</v>
      </c>
      <c r="AP127" s="11" t="s">
        <v>215</v>
      </c>
      <c r="AQ127" s="11"/>
      <c r="AR127" s="4"/>
      <c r="AS127" s="11">
        <v>2.5</v>
      </c>
      <c r="AT127" s="11">
        <v>144</v>
      </c>
      <c r="AU127" s="11"/>
      <c r="AV127" s="11"/>
      <c r="AW127" s="4"/>
      <c r="AX127" s="4">
        <f t="shared" si="4"/>
        <v>1</v>
      </c>
      <c r="AY127" s="93">
        <v>1</v>
      </c>
      <c r="AZ127" s="4">
        <v>1.5</v>
      </c>
    </row>
    <row r="128" spans="2:52" ht="14.25" customHeight="1" x14ac:dyDescent="0.25">
      <c r="B128" s="112" t="s">
        <v>187</v>
      </c>
      <c r="C128" s="6" t="s">
        <v>1664</v>
      </c>
      <c r="D128" s="8" t="s">
        <v>4</v>
      </c>
      <c r="E128" s="8" t="s">
        <v>54</v>
      </c>
      <c r="F128" s="9">
        <v>4</v>
      </c>
      <c r="G128" s="9"/>
      <c r="H128" s="9"/>
      <c r="I128" s="7"/>
      <c r="J128" s="7"/>
      <c r="K128" s="7"/>
      <c r="L128" s="7"/>
      <c r="M128" s="122"/>
      <c r="N128" s="122"/>
      <c r="O128" s="122"/>
      <c r="P128" s="96"/>
      <c r="Q128" s="7"/>
      <c r="R128" s="93">
        <v>5.0687245008221716E-4</v>
      </c>
      <c r="S128" s="93">
        <v>28.888303448275934</v>
      </c>
      <c r="T128" s="122" t="s">
        <v>1518</v>
      </c>
      <c r="U128" s="7"/>
      <c r="V128" s="7"/>
      <c r="W128" s="122"/>
      <c r="X128" s="122"/>
      <c r="Y128" s="122"/>
      <c r="Z128" s="7"/>
      <c r="AA128" s="7"/>
      <c r="AB128" s="7">
        <v>1</v>
      </c>
      <c r="AC128" s="7"/>
      <c r="AD128" s="7"/>
      <c r="AE128" s="7"/>
      <c r="AF128" s="7"/>
      <c r="AG128" s="7"/>
      <c r="AH128" s="7"/>
      <c r="AI128" s="7"/>
      <c r="AJ128" s="7"/>
      <c r="AK128" s="7"/>
      <c r="AL128" s="7">
        <v>1</v>
      </c>
      <c r="AM128" s="16">
        <v>44169</v>
      </c>
      <c r="AN128" s="4"/>
      <c r="AO128" s="11" t="s">
        <v>126</v>
      </c>
      <c r="AP128" s="4"/>
      <c r="AQ128" s="4"/>
      <c r="AR128" s="4"/>
      <c r="AS128" s="11">
        <v>103</v>
      </c>
      <c r="AT128" s="11"/>
      <c r="AU128" s="11"/>
      <c r="AV128" s="11"/>
      <c r="AW128" s="4"/>
      <c r="AX128" s="4">
        <f t="shared" si="4"/>
        <v>2</v>
      </c>
      <c r="AY128" s="93">
        <v>1</v>
      </c>
      <c r="AZ128" s="4">
        <v>1.2</v>
      </c>
    </row>
    <row r="129" spans="2:52" ht="14.25" customHeight="1" x14ac:dyDescent="0.25">
      <c r="B129" s="112" t="s">
        <v>1875</v>
      </c>
      <c r="C129" s="6" t="s">
        <v>1876</v>
      </c>
      <c r="D129" s="8" t="s">
        <v>4</v>
      </c>
      <c r="E129" s="8" t="s">
        <v>109</v>
      </c>
      <c r="F129" s="9">
        <v>34</v>
      </c>
      <c r="G129" s="9"/>
      <c r="H129" s="9"/>
      <c r="I129" s="7"/>
      <c r="J129" s="7"/>
      <c r="K129" s="7"/>
      <c r="L129" s="7"/>
      <c r="M129" s="122"/>
      <c r="N129" s="122"/>
      <c r="O129" s="122"/>
      <c r="P129" s="96"/>
      <c r="Q129" s="7"/>
      <c r="R129" s="93">
        <v>4.1306204920660977E-2</v>
      </c>
      <c r="S129" s="93">
        <v>122.00399999999995</v>
      </c>
      <c r="T129" s="122"/>
      <c r="U129" s="7"/>
      <c r="V129" s="7"/>
      <c r="W129" s="122"/>
      <c r="X129" s="122"/>
      <c r="Y129" s="122"/>
      <c r="Z129" s="7"/>
      <c r="AA129" s="7"/>
      <c r="AB129" s="7">
        <v>1</v>
      </c>
      <c r="AC129" s="7">
        <v>1</v>
      </c>
      <c r="AD129" s="7"/>
      <c r="AE129" s="7">
        <v>1</v>
      </c>
      <c r="AF129" s="7"/>
      <c r="AG129" s="7">
        <v>1</v>
      </c>
      <c r="AH129" s="7">
        <v>1</v>
      </c>
      <c r="AI129" s="7">
        <v>1</v>
      </c>
      <c r="AJ129" s="7">
        <v>1</v>
      </c>
      <c r="AK129" s="7">
        <v>1</v>
      </c>
      <c r="AL129" s="7"/>
      <c r="AM129" s="16">
        <v>44169</v>
      </c>
      <c r="AN129" s="4"/>
      <c r="AO129" s="11" t="s">
        <v>178</v>
      </c>
      <c r="AP129" s="4"/>
      <c r="AQ129" s="4"/>
      <c r="AR129" s="4"/>
      <c r="AS129" s="11">
        <v>360</v>
      </c>
      <c r="AT129" s="11"/>
      <c r="AU129" s="11"/>
      <c r="AV129" s="11"/>
      <c r="AW129" s="4"/>
      <c r="AX129" s="4">
        <f t="shared" si="4"/>
        <v>8</v>
      </c>
      <c r="AY129" s="93"/>
      <c r="AZ129" s="4">
        <v>0.3</v>
      </c>
    </row>
    <row r="130" spans="2:52" ht="14.25" customHeight="1" x14ac:dyDescent="0.25">
      <c r="B130" s="112" t="s">
        <v>1559</v>
      </c>
      <c r="C130" s="6" t="s">
        <v>1438</v>
      </c>
      <c r="D130" s="8" t="s">
        <v>4</v>
      </c>
      <c r="E130" s="8" t="s">
        <v>64</v>
      </c>
      <c r="F130" s="9">
        <v>4</v>
      </c>
      <c r="G130" s="9"/>
      <c r="H130" s="9"/>
      <c r="I130" s="7"/>
      <c r="J130" s="7"/>
      <c r="K130" s="7"/>
      <c r="L130" s="7"/>
      <c r="M130" s="122"/>
      <c r="N130" s="122"/>
      <c r="O130" s="122"/>
      <c r="P130" s="96"/>
      <c r="Q130" s="7"/>
      <c r="R130" s="93">
        <v>5.0687245008221716E-4</v>
      </c>
      <c r="S130" s="93">
        <v>28.888303448275934</v>
      </c>
      <c r="T130" s="122" t="s">
        <v>1518</v>
      </c>
      <c r="U130" s="7"/>
      <c r="V130" s="7"/>
      <c r="W130" s="122"/>
      <c r="X130" s="122"/>
      <c r="Y130" s="122"/>
      <c r="Z130" s="7"/>
      <c r="AA130" s="7"/>
      <c r="AB130" s="7">
        <v>1</v>
      </c>
      <c r="AC130" s="7"/>
      <c r="AD130" s="7"/>
      <c r="AE130" s="7"/>
      <c r="AF130" s="7"/>
      <c r="AG130" s="7"/>
      <c r="AH130" s="7"/>
      <c r="AI130" s="7"/>
      <c r="AJ130" s="7"/>
      <c r="AK130" s="7"/>
      <c r="AL130" s="7">
        <v>1</v>
      </c>
      <c r="AM130" s="16">
        <v>44169</v>
      </c>
      <c r="AN130" s="4"/>
      <c r="AO130" s="11" t="s">
        <v>126</v>
      </c>
      <c r="AP130" s="4"/>
      <c r="AQ130" s="4"/>
      <c r="AR130" s="4"/>
      <c r="AS130" s="11">
        <v>103</v>
      </c>
      <c r="AT130" s="11"/>
      <c r="AU130" s="11"/>
      <c r="AV130" s="11"/>
      <c r="AW130" s="4"/>
      <c r="AX130" s="4">
        <f t="shared" si="4"/>
        <v>2</v>
      </c>
      <c r="AY130" s="93">
        <v>1</v>
      </c>
      <c r="AZ130" s="4">
        <v>1.2</v>
      </c>
    </row>
    <row r="131" spans="2:52" ht="24" customHeight="1" x14ac:dyDescent="0.25">
      <c r="B131" s="112" t="s">
        <v>1120</v>
      </c>
      <c r="C131" s="6" t="s">
        <v>1121</v>
      </c>
      <c r="D131" s="8" t="s">
        <v>5</v>
      </c>
      <c r="E131" s="8" t="s">
        <v>13</v>
      </c>
      <c r="F131" s="8"/>
      <c r="G131" s="8"/>
      <c r="H131" s="8"/>
      <c r="I131" s="7"/>
      <c r="J131" s="7"/>
      <c r="K131" s="7"/>
      <c r="L131" s="7"/>
      <c r="M131" s="122"/>
      <c r="N131" s="122"/>
      <c r="O131" s="122"/>
      <c r="P131" s="96"/>
      <c r="Q131" s="7"/>
      <c r="R131" s="93">
        <v>0</v>
      </c>
      <c r="S131" s="93">
        <v>0</v>
      </c>
      <c r="T131" s="122"/>
      <c r="U131" s="7"/>
      <c r="V131" s="7"/>
      <c r="W131" s="122"/>
      <c r="X131" s="122"/>
      <c r="Y131" s="122"/>
      <c r="Z131" s="7"/>
      <c r="AA131" s="7"/>
      <c r="AB131" s="7"/>
      <c r="AC131" s="7">
        <v>1</v>
      </c>
      <c r="AD131" s="7"/>
      <c r="AE131" s="7"/>
      <c r="AF131" s="7"/>
      <c r="AG131" s="7"/>
      <c r="AH131" s="7"/>
      <c r="AI131" s="7"/>
      <c r="AJ131" s="7"/>
      <c r="AK131" s="7"/>
      <c r="AL131" s="7"/>
      <c r="AM131" s="16">
        <v>44169</v>
      </c>
      <c r="AN131" s="4"/>
      <c r="AO131" s="11" t="s">
        <v>332</v>
      </c>
      <c r="AP131" s="4"/>
      <c r="AQ131" s="4"/>
      <c r="AR131" s="4"/>
      <c r="AS131" s="11">
        <v>876</v>
      </c>
      <c r="AT131" s="11"/>
      <c r="AU131" s="11"/>
      <c r="AV131" s="11"/>
      <c r="AW131" s="4"/>
      <c r="AX131" s="4">
        <f t="shared" si="4"/>
        <v>1</v>
      </c>
      <c r="AY131" s="93"/>
      <c r="AZ131" s="4"/>
    </row>
    <row r="132" spans="2:52" ht="14.25" customHeight="1" x14ac:dyDescent="0.25">
      <c r="B132" s="112" t="s">
        <v>188</v>
      </c>
      <c r="C132" s="6" t="s">
        <v>1122</v>
      </c>
      <c r="D132" s="9" t="s">
        <v>4</v>
      </c>
      <c r="E132" s="8" t="s">
        <v>17</v>
      </c>
      <c r="F132" s="9">
        <v>15</v>
      </c>
      <c r="G132" s="9">
        <v>34</v>
      </c>
      <c r="H132" s="9"/>
      <c r="I132" s="7">
        <v>20</v>
      </c>
      <c r="J132" s="7"/>
      <c r="K132" s="7"/>
      <c r="L132" s="7" t="s">
        <v>14</v>
      </c>
      <c r="M132" s="122" t="s">
        <v>1518</v>
      </c>
      <c r="N132" s="122" t="s">
        <v>1518</v>
      </c>
      <c r="O132" s="122"/>
      <c r="P132" s="96" t="s">
        <v>189</v>
      </c>
      <c r="Q132" s="7"/>
      <c r="R132" s="93">
        <v>31.381566345347917</v>
      </c>
      <c r="S132" s="93">
        <v>104.98018604651148</v>
      </c>
      <c r="T132" s="122" t="s">
        <v>1518</v>
      </c>
      <c r="U132" s="7"/>
      <c r="V132" s="7"/>
      <c r="W132" s="122" t="s">
        <v>1518</v>
      </c>
      <c r="X132" s="122"/>
      <c r="Y132" s="122" t="s">
        <v>1518</v>
      </c>
      <c r="Z132" s="7"/>
      <c r="AA132" s="7"/>
      <c r="AB132" s="7"/>
      <c r="AC132" s="7"/>
      <c r="AD132" s="7"/>
      <c r="AE132" s="7">
        <v>1</v>
      </c>
      <c r="AF132" s="7"/>
      <c r="AG132" s="7">
        <v>1</v>
      </c>
      <c r="AH132" s="7">
        <v>1</v>
      </c>
      <c r="AI132" s="7"/>
      <c r="AJ132" s="7"/>
      <c r="AK132" s="7"/>
      <c r="AL132" s="7"/>
      <c r="AM132" s="16">
        <v>44169</v>
      </c>
      <c r="AN132" s="4"/>
      <c r="AO132" s="4" t="s">
        <v>190</v>
      </c>
      <c r="AP132" s="4" t="s">
        <v>178</v>
      </c>
      <c r="AQ132" s="4"/>
      <c r="AR132" s="4"/>
      <c r="AS132" s="11">
        <v>400</v>
      </c>
      <c r="AT132" s="11">
        <v>24</v>
      </c>
      <c r="AU132" s="11"/>
      <c r="AV132" s="11"/>
      <c r="AW132" s="4"/>
      <c r="AX132" s="4">
        <f t="shared" ref="AX132:AX198" si="12">SUM(AA132:AL132)</f>
        <v>3</v>
      </c>
      <c r="AY132" s="93"/>
      <c r="AZ132" s="4">
        <v>3</v>
      </c>
    </row>
    <row r="133" spans="2:52" ht="14.25" customHeight="1" x14ac:dyDescent="0.25">
      <c r="B133" s="112" t="s">
        <v>191</v>
      </c>
      <c r="C133" s="6" t="s">
        <v>1123</v>
      </c>
      <c r="D133" s="8" t="s">
        <v>4</v>
      </c>
      <c r="E133" s="9" t="s">
        <v>960</v>
      </c>
      <c r="F133" s="9">
        <v>15</v>
      </c>
      <c r="G133" s="9">
        <v>34</v>
      </c>
      <c r="H133" s="9" t="s">
        <v>962</v>
      </c>
      <c r="I133" s="7">
        <v>6</v>
      </c>
      <c r="J133" s="7"/>
      <c r="K133" s="7"/>
      <c r="L133" s="7"/>
      <c r="M133" s="122" t="s">
        <v>1518</v>
      </c>
      <c r="N133" s="122" t="s">
        <v>1518</v>
      </c>
      <c r="O133" s="122"/>
      <c r="P133" s="96" t="s">
        <v>1520</v>
      </c>
      <c r="Q133" s="7"/>
      <c r="R133" s="93">
        <v>5.9453000031463841</v>
      </c>
      <c r="S133" s="93">
        <v>238.63557603686627</v>
      </c>
      <c r="T133" s="122" t="s">
        <v>1518</v>
      </c>
      <c r="U133" s="7"/>
      <c r="V133" s="7"/>
      <c r="W133" s="122"/>
      <c r="X133" s="122"/>
      <c r="Y133" s="122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16">
        <v>44169</v>
      </c>
      <c r="AN133" s="4"/>
      <c r="AO133" s="4" t="s">
        <v>1018</v>
      </c>
      <c r="AP133" s="6" t="s">
        <v>178</v>
      </c>
      <c r="AQ133" s="4" t="s">
        <v>177</v>
      </c>
      <c r="AR133" s="4"/>
      <c r="AS133" s="11">
        <v>187.5</v>
      </c>
      <c r="AT133" s="11">
        <v>30</v>
      </c>
      <c r="AU133" s="11">
        <v>187.5</v>
      </c>
      <c r="AV133" s="11"/>
      <c r="AW133" s="4" t="s">
        <v>1823</v>
      </c>
      <c r="AX133" s="4">
        <f t="shared" si="12"/>
        <v>0</v>
      </c>
      <c r="AY133" s="93">
        <v>1</v>
      </c>
      <c r="AZ133" s="4">
        <v>4</v>
      </c>
    </row>
    <row r="134" spans="2:52" ht="14.25" customHeight="1" x14ac:dyDescent="0.25">
      <c r="B134" s="112" t="s">
        <v>1480</v>
      </c>
      <c r="C134" s="6" t="s">
        <v>1124</v>
      </c>
      <c r="D134" s="9" t="s">
        <v>3</v>
      </c>
      <c r="E134" s="9" t="s">
        <v>13</v>
      </c>
      <c r="F134" s="9">
        <v>3</v>
      </c>
      <c r="G134" s="9">
        <v>5</v>
      </c>
      <c r="H134" s="9"/>
      <c r="I134" s="7">
        <v>20</v>
      </c>
      <c r="J134" s="7"/>
      <c r="K134" s="7"/>
      <c r="L134" s="7" t="s">
        <v>14</v>
      </c>
      <c r="M134" s="122"/>
      <c r="N134" s="122"/>
      <c r="O134" s="122"/>
      <c r="P134" s="96"/>
      <c r="Q134" s="12"/>
      <c r="R134" s="93">
        <v>10.550523349587952</v>
      </c>
      <c r="S134" s="93">
        <v>1.5743371088435363</v>
      </c>
      <c r="T134" s="122" t="s">
        <v>1518</v>
      </c>
      <c r="U134" s="7"/>
      <c r="V134" s="7"/>
      <c r="W134" s="122" t="s">
        <v>1518</v>
      </c>
      <c r="X134" s="122"/>
      <c r="Y134" s="122" t="s">
        <v>1518</v>
      </c>
      <c r="Z134" s="7"/>
      <c r="AA134" s="7">
        <v>1</v>
      </c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16">
        <v>44169</v>
      </c>
      <c r="AN134" s="4"/>
      <c r="AO134" s="11" t="s">
        <v>15</v>
      </c>
      <c r="AP134" s="11" t="s">
        <v>42</v>
      </c>
      <c r="AQ134" s="4"/>
      <c r="AR134" s="4"/>
      <c r="AS134" s="11">
        <v>160</v>
      </c>
      <c r="AT134" s="11">
        <v>300</v>
      </c>
      <c r="AU134" s="11"/>
      <c r="AV134" s="11"/>
      <c r="AW134" s="4"/>
      <c r="AX134" s="4">
        <f t="shared" si="12"/>
        <v>1</v>
      </c>
      <c r="AY134" s="93">
        <v>1</v>
      </c>
      <c r="AZ134" s="4">
        <v>0.75</v>
      </c>
    </row>
    <row r="135" spans="2:52" ht="14.25" customHeight="1" x14ac:dyDescent="0.25">
      <c r="B135" s="112" t="s">
        <v>1478</v>
      </c>
      <c r="C135" s="6" t="s">
        <v>1124</v>
      </c>
      <c r="D135" s="9" t="s">
        <v>3</v>
      </c>
      <c r="E135" s="9" t="s">
        <v>13</v>
      </c>
      <c r="F135" s="9">
        <v>3</v>
      </c>
      <c r="G135" s="9">
        <v>5</v>
      </c>
      <c r="H135" s="9"/>
      <c r="I135" s="7">
        <v>20</v>
      </c>
      <c r="J135" s="7"/>
      <c r="K135" s="7"/>
      <c r="L135" s="7" t="s">
        <v>120</v>
      </c>
      <c r="M135" s="122"/>
      <c r="N135" s="122"/>
      <c r="O135" s="122"/>
      <c r="P135" s="96"/>
      <c r="Q135" s="12"/>
      <c r="R135" s="93">
        <v>17.584205582646586</v>
      </c>
      <c r="S135" s="93">
        <v>2.623895181405894</v>
      </c>
      <c r="T135" s="122" t="s">
        <v>1518</v>
      </c>
      <c r="U135" s="7"/>
      <c r="V135" s="7"/>
      <c r="W135" s="122" t="s">
        <v>1518</v>
      </c>
      <c r="X135" s="122"/>
      <c r="Y135" s="122" t="s">
        <v>1518</v>
      </c>
      <c r="Z135" s="7"/>
      <c r="AA135" s="7">
        <v>1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16">
        <v>44169</v>
      </c>
      <c r="AN135" s="4"/>
      <c r="AO135" s="11" t="s">
        <v>15</v>
      </c>
      <c r="AP135" s="11" t="s">
        <v>42</v>
      </c>
      <c r="AQ135" s="4"/>
      <c r="AR135" s="4"/>
      <c r="AS135" s="11">
        <v>160</v>
      </c>
      <c r="AT135" s="11">
        <v>300</v>
      </c>
      <c r="AU135" s="11"/>
      <c r="AV135" s="11"/>
      <c r="AW135" s="4"/>
      <c r="AX135" s="4">
        <f t="shared" si="12"/>
        <v>1</v>
      </c>
      <c r="AY135" s="93">
        <v>1</v>
      </c>
      <c r="AZ135" s="4">
        <v>1.25</v>
      </c>
    </row>
    <row r="136" spans="2:52" ht="14.25" customHeight="1" x14ac:dyDescent="0.25">
      <c r="B136" s="112" t="s">
        <v>192</v>
      </c>
      <c r="C136" s="6" t="s">
        <v>1125</v>
      </c>
      <c r="D136" s="8" t="s">
        <v>4</v>
      </c>
      <c r="E136" s="8" t="s">
        <v>17</v>
      </c>
      <c r="F136" s="9">
        <v>2</v>
      </c>
      <c r="G136" s="9">
        <v>2</v>
      </c>
      <c r="H136" s="9"/>
      <c r="I136" s="7">
        <v>20</v>
      </c>
      <c r="J136" s="7">
        <v>20</v>
      </c>
      <c r="K136" s="7"/>
      <c r="L136" s="7" t="s">
        <v>80</v>
      </c>
      <c r="M136" s="122" t="s">
        <v>1518</v>
      </c>
      <c r="N136" s="122" t="s">
        <v>1518</v>
      </c>
      <c r="O136" s="122"/>
      <c r="P136" s="96" t="s">
        <v>1523</v>
      </c>
      <c r="Q136" s="14">
        <v>0.3</v>
      </c>
      <c r="R136" s="93">
        <v>11.979373580544898</v>
      </c>
      <c r="S136" s="93">
        <v>1808.5273865414733</v>
      </c>
      <c r="T136" s="122" t="s">
        <v>1518</v>
      </c>
      <c r="U136" s="7"/>
      <c r="V136" s="7"/>
      <c r="W136" s="122"/>
      <c r="X136" s="122"/>
      <c r="Y136" s="122"/>
      <c r="Z136" s="7"/>
      <c r="AA136" s="7">
        <v>1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16">
        <v>44898</v>
      </c>
      <c r="AN136" s="4" t="s">
        <v>1861</v>
      </c>
      <c r="AO136" s="11" t="s">
        <v>123</v>
      </c>
      <c r="AP136" s="6" t="s">
        <v>193</v>
      </c>
      <c r="AQ136" s="4"/>
      <c r="AR136" s="4"/>
      <c r="AS136" s="11">
        <v>40</v>
      </c>
      <c r="AT136" s="11">
        <v>400</v>
      </c>
      <c r="AU136" s="11"/>
      <c r="AV136" s="11"/>
      <c r="AW136" s="4"/>
      <c r="AX136" s="4">
        <f t="shared" si="12"/>
        <v>1</v>
      </c>
      <c r="AY136" s="93">
        <v>1</v>
      </c>
      <c r="AZ136" s="4">
        <v>0.1</v>
      </c>
    </row>
    <row r="137" spans="2:52" ht="14.25" customHeight="1" x14ac:dyDescent="0.25">
      <c r="B137" s="112" t="s">
        <v>1479</v>
      </c>
      <c r="C137" s="6" t="s">
        <v>1125</v>
      </c>
      <c r="D137" s="8" t="s">
        <v>4</v>
      </c>
      <c r="E137" s="8" t="s">
        <v>17</v>
      </c>
      <c r="F137" s="9">
        <v>2</v>
      </c>
      <c r="G137" s="9">
        <v>2</v>
      </c>
      <c r="H137" s="9"/>
      <c r="I137" s="7">
        <v>20</v>
      </c>
      <c r="J137" s="7">
        <v>20</v>
      </c>
      <c r="K137" s="7"/>
      <c r="L137" s="7" t="s">
        <v>14</v>
      </c>
      <c r="M137" s="122" t="s">
        <v>1518</v>
      </c>
      <c r="N137" s="122" t="s">
        <v>1518</v>
      </c>
      <c r="O137" s="122"/>
      <c r="P137" s="96" t="s">
        <v>1523</v>
      </c>
      <c r="Q137" s="14">
        <v>0.3</v>
      </c>
      <c r="R137" s="93">
        <v>11.979373580544898</v>
      </c>
      <c r="S137" s="93">
        <v>1808.5273865414733</v>
      </c>
      <c r="T137" s="122" t="s">
        <v>1518</v>
      </c>
      <c r="U137" s="7"/>
      <c r="V137" s="7"/>
      <c r="W137" s="122"/>
      <c r="X137" s="122"/>
      <c r="Y137" s="122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16">
        <v>44898</v>
      </c>
      <c r="AN137" s="4" t="s">
        <v>1861</v>
      </c>
      <c r="AO137" s="11" t="s">
        <v>123</v>
      </c>
      <c r="AP137" s="6" t="s">
        <v>193</v>
      </c>
      <c r="AQ137" s="4"/>
      <c r="AR137" s="4"/>
      <c r="AS137" s="11">
        <v>40</v>
      </c>
      <c r="AT137" s="11">
        <v>400</v>
      </c>
      <c r="AU137" s="11"/>
      <c r="AV137" s="11"/>
      <c r="AW137" s="4"/>
      <c r="AX137" s="4">
        <f t="shared" si="12"/>
        <v>0</v>
      </c>
      <c r="AY137" s="93">
        <v>1</v>
      </c>
      <c r="AZ137" s="4">
        <v>0.1</v>
      </c>
    </row>
    <row r="138" spans="2:52" ht="14.25" customHeight="1" x14ac:dyDescent="0.25">
      <c r="B138" s="112" t="s">
        <v>194</v>
      </c>
      <c r="C138" s="6" t="s">
        <v>1126</v>
      </c>
      <c r="D138" s="8" t="s">
        <v>4</v>
      </c>
      <c r="E138" s="9" t="s">
        <v>13</v>
      </c>
      <c r="F138" s="9">
        <v>5</v>
      </c>
      <c r="G138" s="9"/>
      <c r="H138" s="9"/>
      <c r="I138" s="7"/>
      <c r="J138" s="7"/>
      <c r="K138" s="7"/>
      <c r="L138" s="7" t="s">
        <v>14</v>
      </c>
      <c r="M138" s="122"/>
      <c r="N138" s="122"/>
      <c r="O138" s="122"/>
      <c r="P138" s="96"/>
      <c r="Q138" s="14">
        <v>0.3</v>
      </c>
      <c r="R138" s="93">
        <v>4.2328333617106617</v>
      </c>
      <c r="S138" s="93">
        <v>462.13636363636289</v>
      </c>
      <c r="T138" s="122" t="s">
        <v>1518</v>
      </c>
      <c r="U138" s="7"/>
      <c r="V138" s="7"/>
      <c r="W138" s="122"/>
      <c r="X138" s="122"/>
      <c r="Y138" s="122" t="s">
        <v>1518</v>
      </c>
      <c r="Z138" s="7" t="s">
        <v>7</v>
      </c>
      <c r="AA138" s="7">
        <v>1</v>
      </c>
      <c r="AB138" s="7"/>
      <c r="AC138" s="7">
        <v>1</v>
      </c>
      <c r="AD138" s="7"/>
      <c r="AE138" s="7"/>
      <c r="AF138" s="7"/>
      <c r="AG138" s="7"/>
      <c r="AH138" s="7"/>
      <c r="AI138" s="7"/>
      <c r="AJ138" s="7"/>
      <c r="AK138" s="7"/>
      <c r="AL138" s="7"/>
      <c r="AM138" s="16">
        <v>44169</v>
      </c>
      <c r="AN138" s="4"/>
      <c r="AO138" s="6" t="s">
        <v>1012</v>
      </c>
      <c r="AP138" s="4"/>
      <c r="AQ138" s="4"/>
      <c r="AR138" s="4"/>
      <c r="AS138" s="11">
        <v>600</v>
      </c>
      <c r="AT138" s="11"/>
      <c r="AU138" s="11"/>
      <c r="AV138" s="11"/>
      <c r="AW138" s="4"/>
      <c r="AX138" s="4">
        <f t="shared" si="12"/>
        <v>2</v>
      </c>
      <c r="AY138" s="93">
        <v>1</v>
      </c>
      <c r="AZ138" s="4">
        <v>0.7</v>
      </c>
    </row>
    <row r="139" spans="2:52" ht="14.25" customHeight="1" x14ac:dyDescent="0.25">
      <c r="B139" s="112" t="s">
        <v>943</v>
      </c>
      <c r="C139" s="6" t="s">
        <v>1127</v>
      </c>
      <c r="D139" s="8" t="s">
        <v>4</v>
      </c>
      <c r="E139" s="8" t="s">
        <v>17</v>
      </c>
      <c r="F139" s="9">
        <v>2</v>
      </c>
      <c r="G139" s="9">
        <v>2</v>
      </c>
      <c r="H139" s="9">
        <v>4</v>
      </c>
      <c r="I139" s="7">
        <v>20</v>
      </c>
      <c r="J139" s="7">
        <v>20</v>
      </c>
      <c r="K139" s="7"/>
      <c r="L139" s="7" t="s">
        <v>120</v>
      </c>
      <c r="M139" s="122" t="s">
        <v>1518</v>
      </c>
      <c r="N139" s="122" t="s">
        <v>1518</v>
      </c>
      <c r="O139" s="122"/>
      <c r="P139" s="96" t="s">
        <v>1523</v>
      </c>
      <c r="Q139" s="14">
        <v>0.3</v>
      </c>
      <c r="R139" s="93">
        <v>9.7669412540698719</v>
      </c>
      <c r="S139" s="93">
        <v>1685.3029283396213</v>
      </c>
      <c r="T139" s="122" t="s">
        <v>1518</v>
      </c>
      <c r="U139" s="7"/>
      <c r="V139" s="7"/>
      <c r="W139" s="122"/>
      <c r="X139" s="122"/>
      <c r="Y139" s="122"/>
      <c r="Z139" s="7"/>
      <c r="AA139" s="7">
        <v>1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16">
        <v>44898</v>
      </c>
      <c r="AN139" s="4" t="s">
        <v>1861</v>
      </c>
      <c r="AO139" s="11" t="s">
        <v>123</v>
      </c>
      <c r="AP139" s="6" t="s">
        <v>193</v>
      </c>
      <c r="AQ139" s="4" t="s">
        <v>215</v>
      </c>
      <c r="AR139" s="4"/>
      <c r="AS139" s="11">
        <v>5</v>
      </c>
      <c r="AT139" s="11">
        <v>30</v>
      </c>
      <c r="AU139" s="11">
        <v>135</v>
      </c>
      <c r="AV139" s="11"/>
      <c r="AW139" s="4"/>
      <c r="AX139" s="4">
        <f t="shared" si="12"/>
        <v>1</v>
      </c>
      <c r="AY139" s="93">
        <v>1</v>
      </c>
      <c r="AZ139" s="4">
        <v>1</v>
      </c>
    </row>
    <row r="140" spans="2:52" ht="14.25" customHeight="1" x14ac:dyDescent="0.25">
      <c r="B140" s="112" t="s">
        <v>43</v>
      </c>
      <c r="C140" s="6" t="s">
        <v>1957</v>
      </c>
      <c r="D140" s="9" t="s">
        <v>3</v>
      </c>
      <c r="E140" s="8" t="s">
        <v>44</v>
      </c>
      <c r="F140" s="9"/>
      <c r="G140" s="9"/>
      <c r="H140" s="9"/>
      <c r="I140" s="7"/>
      <c r="J140" s="7"/>
      <c r="K140" s="7"/>
      <c r="L140" s="7"/>
      <c r="M140" s="122"/>
      <c r="N140" s="122"/>
      <c r="O140" s="122"/>
      <c r="P140" s="96"/>
      <c r="Q140" s="7"/>
      <c r="R140" s="93">
        <v>0</v>
      </c>
      <c r="S140" s="93">
        <v>0</v>
      </c>
      <c r="T140" s="122"/>
      <c r="U140" s="7"/>
      <c r="V140" s="7"/>
      <c r="W140" s="124"/>
      <c r="X140" s="124"/>
      <c r="Y140" s="124"/>
      <c r="Z140" s="12"/>
      <c r="AA140" s="7"/>
      <c r="AB140" s="7"/>
      <c r="AC140" s="7"/>
      <c r="AD140" s="7"/>
      <c r="AE140" s="7">
        <v>2</v>
      </c>
      <c r="AF140" s="7"/>
      <c r="AG140" s="7"/>
      <c r="AH140" s="7"/>
      <c r="AI140" s="7"/>
      <c r="AJ140" s="7"/>
      <c r="AK140" s="7">
        <v>1</v>
      </c>
      <c r="AL140" s="7"/>
      <c r="AM140" s="16">
        <v>44169</v>
      </c>
      <c r="AN140" s="4" t="s">
        <v>1958</v>
      </c>
      <c r="AO140" s="4" t="s">
        <v>45</v>
      </c>
      <c r="AP140" s="4"/>
      <c r="AQ140" s="4"/>
      <c r="AR140" s="4"/>
      <c r="AS140" s="11">
        <v>1</v>
      </c>
      <c r="AT140" s="11"/>
      <c r="AU140" s="11"/>
      <c r="AV140" s="11"/>
      <c r="AW140" s="4"/>
      <c r="AX140" s="4">
        <f t="shared" si="12"/>
        <v>3</v>
      </c>
      <c r="AY140" s="93"/>
      <c r="AZ140" s="4">
        <v>4</v>
      </c>
    </row>
    <row r="141" spans="2:52" ht="24" customHeight="1" x14ac:dyDescent="0.25">
      <c r="B141" s="112" t="s">
        <v>1895</v>
      </c>
      <c r="C141" s="6" t="s">
        <v>1128</v>
      </c>
      <c r="D141" s="9" t="s">
        <v>4</v>
      </c>
      <c r="E141" s="8" t="s">
        <v>21</v>
      </c>
      <c r="F141" s="9">
        <v>2</v>
      </c>
      <c r="G141" s="9">
        <v>2</v>
      </c>
      <c r="H141" s="9"/>
      <c r="I141" s="7">
        <v>6</v>
      </c>
      <c r="J141" s="7"/>
      <c r="K141" s="7"/>
      <c r="L141" s="7" t="s">
        <v>14</v>
      </c>
      <c r="M141" s="122"/>
      <c r="N141" s="122"/>
      <c r="O141" s="122"/>
      <c r="P141" s="96"/>
      <c r="Q141" s="7"/>
      <c r="R141" s="93">
        <v>8.1677811429548939</v>
      </c>
      <c r="S141" s="93">
        <v>387.26100513572925</v>
      </c>
      <c r="T141" s="122" t="s">
        <v>1518</v>
      </c>
      <c r="U141" s="7"/>
      <c r="V141" s="7"/>
      <c r="W141" s="122" t="s">
        <v>1518</v>
      </c>
      <c r="X141" s="122" t="s">
        <v>1518</v>
      </c>
      <c r="Y141" s="124"/>
      <c r="Z141" s="12"/>
      <c r="AA141" s="7"/>
      <c r="AB141" s="7">
        <v>1</v>
      </c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16">
        <v>44169</v>
      </c>
      <c r="AN141" s="4"/>
      <c r="AO141" s="4" t="s">
        <v>195</v>
      </c>
      <c r="AP141" s="4" t="s">
        <v>116</v>
      </c>
      <c r="AQ141" s="4"/>
      <c r="AR141" s="4"/>
      <c r="AS141" s="11">
        <v>50</v>
      </c>
      <c r="AT141" s="11">
        <v>30</v>
      </c>
      <c r="AU141" s="11"/>
      <c r="AV141" s="11"/>
      <c r="AW141" s="4"/>
      <c r="AX141" s="4">
        <f t="shared" si="12"/>
        <v>1</v>
      </c>
      <c r="AY141" s="93">
        <v>1</v>
      </c>
      <c r="AZ141" s="4">
        <v>1</v>
      </c>
    </row>
    <row r="142" spans="2:52" s="52" customFormat="1" ht="14.25" customHeight="1" x14ac:dyDescent="0.25">
      <c r="B142" s="112" t="s">
        <v>1896</v>
      </c>
      <c r="C142" s="6" t="s">
        <v>1128</v>
      </c>
      <c r="D142" s="9" t="s">
        <v>4</v>
      </c>
      <c r="E142" s="8" t="s">
        <v>21</v>
      </c>
      <c r="F142" s="9">
        <v>2</v>
      </c>
      <c r="G142" s="9">
        <v>2</v>
      </c>
      <c r="H142" s="9"/>
      <c r="I142" s="7">
        <v>6</v>
      </c>
      <c r="J142" s="7"/>
      <c r="K142" s="7"/>
      <c r="L142" s="7" t="s">
        <v>120</v>
      </c>
      <c r="M142" s="122"/>
      <c r="N142" s="122"/>
      <c r="O142" s="122"/>
      <c r="P142" s="96"/>
      <c r="Q142" s="7"/>
      <c r="R142" s="93">
        <v>8.1677811429548939</v>
      </c>
      <c r="S142" s="93">
        <v>387.26100513572925</v>
      </c>
      <c r="T142" s="122" t="s">
        <v>1518</v>
      </c>
      <c r="U142" s="7"/>
      <c r="V142" s="7"/>
      <c r="W142" s="122" t="s">
        <v>1518</v>
      </c>
      <c r="X142" s="122" t="s">
        <v>1518</v>
      </c>
      <c r="Y142" s="124"/>
      <c r="Z142" s="12"/>
      <c r="AA142" s="7"/>
      <c r="AB142" s="7">
        <v>1</v>
      </c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16">
        <v>44169</v>
      </c>
      <c r="AN142" s="4"/>
      <c r="AO142" s="4" t="s">
        <v>195</v>
      </c>
      <c r="AP142" s="4" t="s">
        <v>116</v>
      </c>
      <c r="AQ142" s="4"/>
      <c r="AR142" s="4"/>
      <c r="AS142" s="11">
        <v>50</v>
      </c>
      <c r="AT142" s="11">
        <v>30</v>
      </c>
      <c r="AU142" s="11"/>
      <c r="AV142" s="11"/>
      <c r="AW142" s="4"/>
      <c r="AX142" s="4">
        <f t="shared" si="12"/>
        <v>1</v>
      </c>
      <c r="AY142" s="93">
        <v>1</v>
      </c>
      <c r="AZ142" s="4">
        <v>1</v>
      </c>
    </row>
    <row r="143" spans="2:52" ht="14.25" customHeight="1" x14ac:dyDescent="0.25">
      <c r="B143" s="112" t="s">
        <v>323</v>
      </c>
      <c r="C143" s="6" t="s">
        <v>1129</v>
      </c>
      <c r="D143" s="8" t="s">
        <v>5</v>
      </c>
      <c r="E143" s="9" t="s">
        <v>13</v>
      </c>
      <c r="F143" s="8">
        <v>28</v>
      </c>
      <c r="G143" s="8"/>
      <c r="H143" s="8"/>
      <c r="I143" s="7"/>
      <c r="J143" s="7"/>
      <c r="K143" s="7"/>
      <c r="L143" s="7"/>
      <c r="M143" s="122"/>
      <c r="N143" s="122"/>
      <c r="O143" s="122"/>
      <c r="P143" s="96" t="s">
        <v>939</v>
      </c>
      <c r="Q143" s="7"/>
      <c r="R143" s="93">
        <v>1.2458455965097499</v>
      </c>
      <c r="S143" s="93">
        <v>2.9032173913043469</v>
      </c>
      <c r="T143" s="122" t="s">
        <v>1518</v>
      </c>
      <c r="U143" s="7"/>
      <c r="V143" s="7"/>
      <c r="W143" s="122"/>
      <c r="X143" s="122"/>
      <c r="Y143" s="122"/>
      <c r="Z143" s="7"/>
      <c r="AA143" s="7"/>
      <c r="AB143" s="7"/>
      <c r="AC143" s="7">
        <v>3</v>
      </c>
      <c r="AD143" s="7"/>
      <c r="AE143" s="7"/>
      <c r="AF143" s="7"/>
      <c r="AG143" s="7"/>
      <c r="AH143" s="7"/>
      <c r="AI143" s="7"/>
      <c r="AJ143" s="7"/>
      <c r="AK143" s="7"/>
      <c r="AL143" s="7"/>
      <c r="AM143" s="16">
        <v>44169</v>
      </c>
      <c r="AN143" s="4"/>
      <c r="AO143" s="4" t="s">
        <v>324</v>
      </c>
      <c r="AP143" s="4"/>
      <c r="AQ143" s="4"/>
      <c r="AR143" s="4"/>
      <c r="AS143" s="11">
        <v>200</v>
      </c>
      <c r="AT143" s="11"/>
      <c r="AU143" s="11"/>
      <c r="AV143" s="11"/>
      <c r="AW143" s="4"/>
      <c r="AX143" s="4">
        <f t="shared" si="12"/>
        <v>3</v>
      </c>
      <c r="AY143" s="93">
        <v>1</v>
      </c>
      <c r="AZ143" s="4">
        <v>0.06</v>
      </c>
    </row>
    <row r="144" spans="2:52" ht="14.25" customHeight="1" x14ac:dyDescent="0.25">
      <c r="B144" s="116" t="s">
        <v>46</v>
      </c>
      <c r="C144" s="6" t="s">
        <v>1130</v>
      </c>
      <c r="D144" s="50" t="s">
        <v>3</v>
      </c>
      <c r="E144" s="9" t="s">
        <v>13</v>
      </c>
      <c r="F144" s="50">
        <v>3</v>
      </c>
      <c r="G144" s="50">
        <v>3</v>
      </c>
      <c r="H144" s="50"/>
      <c r="I144" s="50"/>
      <c r="J144" s="50"/>
      <c r="K144" s="50"/>
      <c r="L144" s="50"/>
      <c r="M144" s="123"/>
      <c r="N144" s="123"/>
      <c r="O144" s="123"/>
      <c r="P144" s="97"/>
      <c r="Q144" s="55">
        <v>0.3</v>
      </c>
      <c r="R144" s="93">
        <v>2.9400997995148739</v>
      </c>
      <c r="S144" s="93">
        <v>12.938430714436189</v>
      </c>
      <c r="T144" s="123" t="s">
        <v>1518</v>
      </c>
      <c r="U144" s="50"/>
      <c r="V144" s="50"/>
      <c r="W144" s="123"/>
      <c r="X144" s="123"/>
      <c r="Y144" s="123"/>
      <c r="Z144" s="50"/>
      <c r="AA144" s="50"/>
      <c r="AB144" s="50"/>
      <c r="AC144" s="50"/>
      <c r="AD144" s="50"/>
      <c r="AE144" s="50">
        <v>1</v>
      </c>
      <c r="AF144" s="50"/>
      <c r="AG144" s="50"/>
      <c r="AH144" s="50"/>
      <c r="AI144" s="50"/>
      <c r="AJ144" s="50"/>
      <c r="AK144" s="50"/>
      <c r="AL144" s="50"/>
      <c r="AM144" s="16">
        <v>44169</v>
      </c>
      <c r="AN144" s="51"/>
      <c r="AO144" s="6" t="s">
        <v>1014</v>
      </c>
      <c r="AP144" s="53" t="s">
        <v>47</v>
      </c>
      <c r="AQ144" s="51"/>
      <c r="AR144" s="51"/>
      <c r="AS144" s="53">
        <v>250</v>
      </c>
      <c r="AT144" s="53">
        <v>125</v>
      </c>
      <c r="AU144" s="53"/>
      <c r="AV144" s="53"/>
      <c r="AW144" s="51"/>
      <c r="AX144" s="4">
        <f t="shared" si="12"/>
        <v>1</v>
      </c>
      <c r="AY144" s="94">
        <v>1</v>
      </c>
      <c r="AZ144" s="51">
        <v>0.5</v>
      </c>
    </row>
    <row r="145" spans="2:52" ht="14.25" customHeight="1" x14ac:dyDescent="0.25">
      <c r="B145" s="112" t="s">
        <v>1841</v>
      </c>
      <c r="C145" s="6" t="s">
        <v>1932</v>
      </c>
      <c r="D145" s="9" t="s">
        <v>3</v>
      </c>
      <c r="E145" s="8" t="s">
        <v>26</v>
      </c>
      <c r="F145" s="9">
        <v>27</v>
      </c>
      <c r="G145" s="9"/>
      <c r="H145" s="9"/>
      <c r="I145" s="7"/>
      <c r="J145" s="7"/>
      <c r="K145" s="7"/>
      <c r="L145" s="7"/>
      <c r="M145" s="122"/>
      <c r="N145" s="122"/>
      <c r="O145" s="122"/>
      <c r="P145" s="96"/>
      <c r="Q145" s="7"/>
      <c r="R145" s="93">
        <v>0.19944667307963712</v>
      </c>
      <c r="S145" s="93">
        <v>5.3551425742574272</v>
      </c>
      <c r="T145" s="122" t="s">
        <v>1518</v>
      </c>
      <c r="U145" s="7"/>
      <c r="V145" s="7"/>
      <c r="W145" s="124" t="s">
        <v>1518</v>
      </c>
      <c r="X145" s="124"/>
      <c r="Y145" s="124" t="s">
        <v>1518</v>
      </c>
      <c r="Z145" s="12"/>
      <c r="AA145" s="7"/>
      <c r="AB145" s="7"/>
      <c r="AC145" s="7">
        <v>1</v>
      </c>
      <c r="AD145" s="7"/>
      <c r="AE145" s="7"/>
      <c r="AF145" s="7"/>
      <c r="AG145" s="7"/>
      <c r="AH145" s="7"/>
      <c r="AI145" s="7"/>
      <c r="AJ145" s="7"/>
      <c r="AK145" s="7"/>
      <c r="AL145" s="7"/>
      <c r="AM145" s="16">
        <v>44889</v>
      </c>
      <c r="AN145" s="4"/>
      <c r="AO145" s="4" t="s">
        <v>30</v>
      </c>
      <c r="AP145" s="4"/>
      <c r="AQ145" s="4"/>
      <c r="AR145" s="4"/>
      <c r="AS145" s="11">
        <v>450</v>
      </c>
      <c r="AT145" s="11"/>
      <c r="AU145" s="11"/>
      <c r="AV145" s="11"/>
      <c r="AW145" s="4"/>
      <c r="AX145" s="4">
        <f t="shared" si="12"/>
        <v>1</v>
      </c>
      <c r="AY145" s="93"/>
      <c r="AZ145" s="4">
        <v>0.27</v>
      </c>
    </row>
    <row r="146" spans="2:52" ht="14.25" customHeight="1" x14ac:dyDescent="0.25">
      <c r="B146" s="112" t="s">
        <v>1635</v>
      </c>
      <c r="C146" s="6" t="s">
        <v>1637</v>
      </c>
      <c r="D146" s="9" t="s">
        <v>3</v>
      </c>
      <c r="E146" s="9" t="s">
        <v>17</v>
      </c>
      <c r="F146" s="9" t="s">
        <v>25</v>
      </c>
      <c r="G146" s="9"/>
      <c r="H146" s="9"/>
      <c r="I146" s="7"/>
      <c r="J146" s="7"/>
      <c r="K146" s="7"/>
      <c r="L146" s="7"/>
      <c r="M146" s="122"/>
      <c r="N146" s="122"/>
      <c r="O146" s="122"/>
      <c r="P146" s="96"/>
      <c r="Q146" s="14">
        <v>0.5</v>
      </c>
      <c r="R146" s="93">
        <v>52.461952683766114</v>
      </c>
      <c r="S146" s="93">
        <v>1.2383318232044251</v>
      </c>
      <c r="T146" s="122" t="s">
        <v>1518</v>
      </c>
      <c r="U146" s="7"/>
      <c r="V146" s="7"/>
      <c r="W146" s="122"/>
      <c r="X146" s="122"/>
      <c r="Y146" s="122" t="s">
        <v>1518</v>
      </c>
      <c r="Z146" s="7" t="s">
        <v>7</v>
      </c>
      <c r="AA146" s="7"/>
      <c r="AB146" s="7">
        <v>1</v>
      </c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16">
        <v>44540</v>
      </c>
      <c r="AN146" s="4"/>
      <c r="AO146" s="4" t="s">
        <v>49</v>
      </c>
      <c r="AP146" s="4"/>
      <c r="AQ146" s="4"/>
      <c r="AR146" s="4"/>
      <c r="AS146" s="11">
        <v>190</v>
      </c>
      <c r="AT146" s="11"/>
      <c r="AU146" s="11"/>
      <c r="AV146" s="11"/>
      <c r="AW146" s="4"/>
      <c r="AX146" s="4">
        <f t="shared" si="12"/>
        <v>1</v>
      </c>
      <c r="AY146" s="93"/>
      <c r="AZ146" s="4">
        <v>5.3</v>
      </c>
    </row>
    <row r="147" spans="2:52" ht="14.25" customHeight="1" x14ac:dyDescent="0.25">
      <c r="B147" s="112" t="s">
        <v>48</v>
      </c>
      <c r="C147" s="6" t="s">
        <v>1131</v>
      </c>
      <c r="D147" s="9" t="s">
        <v>3</v>
      </c>
      <c r="E147" s="8" t="s">
        <v>29</v>
      </c>
      <c r="F147" s="9" t="s">
        <v>25</v>
      </c>
      <c r="G147" s="9"/>
      <c r="H147" s="9"/>
      <c r="I147" s="7"/>
      <c r="J147" s="7"/>
      <c r="K147" s="7"/>
      <c r="L147" s="7"/>
      <c r="M147" s="122"/>
      <c r="N147" s="122"/>
      <c r="O147" s="122"/>
      <c r="P147" s="96"/>
      <c r="Q147" s="14">
        <v>0.5</v>
      </c>
      <c r="R147" s="93">
        <v>59.390889830678617</v>
      </c>
      <c r="S147" s="93">
        <v>1.4018850828729341</v>
      </c>
      <c r="T147" s="122" t="s">
        <v>1518</v>
      </c>
      <c r="U147" s="7"/>
      <c r="V147" s="7"/>
      <c r="W147" s="122"/>
      <c r="X147" s="122"/>
      <c r="Y147" s="122" t="s">
        <v>1518</v>
      </c>
      <c r="Z147" s="7" t="s">
        <v>7</v>
      </c>
      <c r="AA147" s="7"/>
      <c r="AB147" s="7"/>
      <c r="AC147" s="7">
        <v>1</v>
      </c>
      <c r="AD147" s="7"/>
      <c r="AE147" s="7"/>
      <c r="AF147" s="7"/>
      <c r="AG147" s="7"/>
      <c r="AH147" s="7"/>
      <c r="AI147" s="7"/>
      <c r="AJ147" s="7"/>
      <c r="AK147" s="7"/>
      <c r="AL147" s="7"/>
      <c r="AM147" s="16">
        <v>44169</v>
      </c>
      <c r="AN147" s="4"/>
      <c r="AO147" s="4" t="s">
        <v>49</v>
      </c>
      <c r="AP147" s="4"/>
      <c r="AQ147" s="4"/>
      <c r="AR147" s="4"/>
      <c r="AS147" s="11">
        <v>380</v>
      </c>
      <c r="AT147" s="11"/>
      <c r="AU147" s="11"/>
      <c r="AV147" s="11"/>
      <c r="AW147" s="4"/>
      <c r="AX147" s="4">
        <f t="shared" si="12"/>
        <v>1</v>
      </c>
      <c r="AY147" s="93"/>
      <c r="AZ147" s="4">
        <v>3</v>
      </c>
    </row>
    <row r="148" spans="2:52" ht="14.25" customHeight="1" x14ac:dyDescent="0.25">
      <c r="B148" s="112" t="s">
        <v>1526</v>
      </c>
      <c r="C148" s="6" t="s">
        <v>1636</v>
      </c>
      <c r="D148" s="9" t="s">
        <v>3</v>
      </c>
      <c r="E148" s="9" t="s">
        <v>13</v>
      </c>
      <c r="F148" s="9" t="s">
        <v>25</v>
      </c>
      <c r="G148" s="9"/>
      <c r="H148" s="9"/>
      <c r="I148" s="7"/>
      <c r="J148" s="7"/>
      <c r="K148" s="7"/>
      <c r="L148" s="7"/>
      <c r="M148" s="122"/>
      <c r="N148" s="122"/>
      <c r="O148" s="122"/>
      <c r="P148" s="96"/>
      <c r="Q148" s="14">
        <v>0.5</v>
      </c>
      <c r="R148" s="93">
        <v>52.461952683766114</v>
      </c>
      <c r="S148" s="93">
        <v>1.2383318232044251</v>
      </c>
      <c r="T148" s="122" t="s">
        <v>1518</v>
      </c>
      <c r="U148" s="7"/>
      <c r="V148" s="7"/>
      <c r="W148" s="122"/>
      <c r="X148" s="122"/>
      <c r="Y148" s="122" t="s">
        <v>1518</v>
      </c>
      <c r="Z148" s="7" t="s">
        <v>7</v>
      </c>
      <c r="AA148" s="7"/>
      <c r="AB148" s="7">
        <v>1</v>
      </c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16">
        <v>44169</v>
      </c>
      <c r="AN148" s="4"/>
      <c r="AO148" s="4" t="s">
        <v>49</v>
      </c>
      <c r="AP148" s="4"/>
      <c r="AQ148" s="4"/>
      <c r="AR148" s="4"/>
      <c r="AS148" s="11">
        <v>190</v>
      </c>
      <c r="AT148" s="11"/>
      <c r="AU148" s="11"/>
      <c r="AV148" s="11"/>
      <c r="AW148" s="4"/>
      <c r="AX148" s="4">
        <f t="shared" si="12"/>
        <v>1</v>
      </c>
      <c r="AY148" s="93"/>
      <c r="AZ148" s="4">
        <v>5.3</v>
      </c>
    </row>
    <row r="149" spans="2:52" ht="14.25" customHeight="1" x14ac:dyDescent="0.25">
      <c r="B149" s="112" t="s">
        <v>1132</v>
      </c>
      <c r="C149" s="6" t="s">
        <v>1133</v>
      </c>
      <c r="D149" s="9" t="s">
        <v>3</v>
      </c>
      <c r="E149" s="8" t="s">
        <v>54</v>
      </c>
      <c r="F149" s="9" t="s">
        <v>25</v>
      </c>
      <c r="G149" s="9"/>
      <c r="H149" s="9"/>
      <c r="I149" s="7"/>
      <c r="J149" s="7"/>
      <c r="K149" s="7"/>
      <c r="L149" s="7"/>
      <c r="M149" s="122"/>
      <c r="N149" s="122"/>
      <c r="O149" s="122"/>
      <c r="P149" s="96"/>
      <c r="Q149" s="14">
        <v>0.5</v>
      </c>
      <c r="R149" s="93">
        <v>182.34045123453961</v>
      </c>
      <c r="S149" s="93">
        <v>4.3040331491712891</v>
      </c>
      <c r="T149" s="122" t="s">
        <v>1518</v>
      </c>
      <c r="U149" s="7"/>
      <c r="V149" s="7"/>
      <c r="W149" s="122"/>
      <c r="X149" s="122" t="s">
        <v>1518</v>
      </c>
      <c r="Y149" s="122" t="s">
        <v>1518</v>
      </c>
      <c r="Z149" s="7"/>
      <c r="AA149" s="7"/>
      <c r="AB149" s="7"/>
      <c r="AC149" s="7">
        <v>1</v>
      </c>
      <c r="AD149" s="7"/>
      <c r="AE149" s="7"/>
      <c r="AF149" s="7"/>
      <c r="AG149" s="7"/>
      <c r="AH149" s="7"/>
      <c r="AI149" s="7"/>
      <c r="AJ149" s="7"/>
      <c r="AK149" s="7"/>
      <c r="AL149" s="7"/>
      <c r="AM149" s="16">
        <v>44169</v>
      </c>
      <c r="AN149" s="4"/>
      <c r="AO149" s="4" t="s">
        <v>49</v>
      </c>
      <c r="AP149" s="4"/>
      <c r="AQ149" s="4"/>
      <c r="AR149" s="4"/>
      <c r="AS149" s="11">
        <v>500</v>
      </c>
      <c r="AT149" s="11"/>
      <c r="AU149" s="11"/>
      <c r="AV149" s="11"/>
      <c r="AW149" s="4"/>
      <c r="AX149" s="4">
        <f t="shared" si="12"/>
        <v>1</v>
      </c>
      <c r="AY149" s="93"/>
      <c r="AZ149" s="4">
        <v>7</v>
      </c>
    </row>
    <row r="150" spans="2:52" ht="14.25" customHeight="1" x14ac:dyDescent="0.25">
      <c r="B150" s="92" t="s">
        <v>363</v>
      </c>
      <c r="C150" s="6" t="s">
        <v>1135</v>
      </c>
      <c r="D150" s="7" t="s">
        <v>7</v>
      </c>
      <c r="E150" s="9" t="s">
        <v>26</v>
      </c>
      <c r="F150" s="137" t="s">
        <v>1555</v>
      </c>
      <c r="G150" s="7"/>
      <c r="H150" s="7"/>
      <c r="I150" s="7"/>
      <c r="J150" s="7"/>
      <c r="K150" s="7"/>
      <c r="L150" s="7"/>
      <c r="M150" s="122"/>
      <c r="N150" s="122"/>
      <c r="O150" s="122"/>
      <c r="P150" s="96"/>
      <c r="Q150" s="7"/>
      <c r="R150" s="93">
        <v>1.8332107652927185E-2</v>
      </c>
      <c r="S150" s="93">
        <v>0.13243509999999986</v>
      </c>
      <c r="T150" s="122"/>
      <c r="U150" s="7"/>
      <c r="V150" s="7"/>
      <c r="W150" s="122"/>
      <c r="X150" s="122"/>
      <c r="Y150" s="122" t="s">
        <v>1518</v>
      </c>
      <c r="Z150" s="7"/>
      <c r="AA150" s="7">
        <v>1</v>
      </c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16">
        <v>44169</v>
      </c>
      <c r="AN150" s="4"/>
      <c r="AO150" s="11" t="s">
        <v>362</v>
      </c>
      <c r="AP150" s="4"/>
      <c r="AQ150" s="4"/>
      <c r="AR150" s="4"/>
      <c r="AS150" s="11">
        <v>357</v>
      </c>
      <c r="AT150" s="11"/>
      <c r="AU150" s="11"/>
      <c r="AV150" s="11"/>
      <c r="AW150" s="4"/>
      <c r="AX150" s="4">
        <f t="shared" si="12"/>
        <v>1</v>
      </c>
      <c r="AY150" s="93">
        <v>1</v>
      </c>
      <c r="AZ150" s="4">
        <v>1.5</v>
      </c>
    </row>
    <row r="151" spans="2:52" ht="14.25" customHeight="1" x14ac:dyDescent="0.25">
      <c r="B151" s="112" t="s">
        <v>50</v>
      </c>
      <c r="C151" s="6" t="s">
        <v>1136</v>
      </c>
      <c r="D151" s="9" t="s">
        <v>3</v>
      </c>
      <c r="E151" s="8" t="s">
        <v>17</v>
      </c>
      <c r="F151" s="9" t="s">
        <v>51</v>
      </c>
      <c r="G151" s="9"/>
      <c r="H151" s="9"/>
      <c r="I151" s="7"/>
      <c r="J151" s="7"/>
      <c r="K151" s="7"/>
      <c r="L151" s="7"/>
      <c r="M151" s="122"/>
      <c r="N151" s="122"/>
      <c r="O151" s="122"/>
      <c r="P151" s="96"/>
      <c r="Q151" s="7"/>
      <c r="R151" s="93">
        <v>4.984822955664861E-2</v>
      </c>
      <c r="S151" s="93">
        <v>2.8601529999999955E-3</v>
      </c>
      <c r="T151" s="122" t="s">
        <v>1518</v>
      </c>
      <c r="U151" s="7"/>
      <c r="V151" s="7"/>
      <c r="W151" s="124"/>
      <c r="X151" s="124"/>
      <c r="Y151" s="124"/>
      <c r="Z151" s="12"/>
      <c r="AA151" s="7">
        <v>1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16">
        <v>44169</v>
      </c>
      <c r="AN151" s="4"/>
      <c r="AO151" s="4" t="s">
        <v>52</v>
      </c>
      <c r="AP151" s="4"/>
      <c r="AQ151" s="4"/>
      <c r="AR151" s="4"/>
      <c r="AS151" s="11">
        <v>51.4</v>
      </c>
      <c r="AT151" s="11"/>
      <c r="AU151" s="11"/>
      <c r="AV151" s="11"/>
      <c r="AW151" s="4"/>
      <c r="AX151" s="4">
        <f t="shared" si="12"/>
        <v>1</v>
      </c>
      <c r="AY151" s="93">
        <v>1</v>
      </c>
      <c r="AZ151" s="4">
        <v>0.25</v>
      </c>
    </row>
    <row r="152" spans="2:52" ht="14.25" customHeight="1" x14ac:dyDescent="0.25">
      <c r="B152" s="112" t="s">
        <v>2039</v>
      </c>
      <c r="C152" s="6" t="s">
        <v>2040</v>
      </c>
      <c r="D152" s="9" t="s">
        <v>3</v>
      </c>
      <c r="E152" s="9" t="s">
        <v>109</v>
      </c>
      <c r="F152" s="9" t="s">
        <v>51</v>
      </c>
      <c r="G152" s="9"/>
      <c r="H152" s="9"/>
      <c r="I152" s="7"/>
      <c r="J152" s="7"/>
      <c r="K152" s="7"/>
      <c r="L152" s="7"/>
      <c r="M152" s="122"/>
      <c r="N152" s="122"/>
      <c r="O152" s="122"/>
      <c r="P152" s="96"/>
      <c r="Q152" s="7"/>
      <c r="R152" s="93">
        <f t="shared" ref="R152" si="13">+BN152</f>
        <v>0</v>
      </c>
      <c r="S152" s="93">
        <f t="shared" ref="S152" si="14">+BS152</f>
        <v>0</v>
      </c>
      <c r="T152" s="122" t="s">
        <v>1518</v>
      </c>
      <c r="U152" s="7"/>
      <c r="V152" s="7"/>
      <c r="W152" s="124"/>
      <c r="X152" s="124"/>
      <c r="Y152" s="124"/>
      <c r="Z152" s="12"/>
      <c r="AA152" s="7">
        <v>1</v>
      </c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16">
        <v>45295</v>
      </c>
      <c r="AN152" s="4"/>
      <c r="AO152" s="4" t="s">
        <v>52</v>
      </c>
      <c r="AP152" s="4"/>
      <c r="AQ152" s="4"/>
      <c r="AR152" s="4"/>
      <c r="AS152" s="11">
        <v>51.4</v>
      </c>
      <c r="AT152" s="11"/>
      <c r="AU152" s="11"/>
      <c r="AV152" s="11"/>
      <c r="AW152" s="4"/>
      <c r="AX152" s="4">
        <f t="shared" ref="AX152" si="15">SUM(AA152:AL152)</f>
        <v>1</v>
      </c>
      <c r="AY152" s="93">
        <v>1</v>
      </c>
      <c r="AZ152" s="267">
        <v>0.25</v>
      </c>
    </row>
    <row r="153" spans="2:52" ht="14.25" customHeight="1" x14ac:dyDescent="0.25">
      <c r="B153" s="112" t="s">
        <v>1959</v>
      </c>
      <c r="C153" s="6" t="s">
        <v>1960</v>
      </c>
      <c r="D153" s="9" t="s">
        <v>3</v>
      </c>
      <c r="E153" s="8" t="s">
        <v>17</v>
      </c>
      <c r="F153" s="9">
        <v>27</v>
      </c>
      <c r="G153" s="9"/>
      <c r="H153" s="9"/>
      <c r="I153" s="7"/>
      <c r="J153" s="7"/>
      <c r="K153" s="7"/>
      <c r="L153" s="7"/>
      <c r="M153" s="122"/>
      <c r="N153" s="122"/>
      <c r="O153" s="122"/>
      <c r="P153" s="96"/>
      <c r="Q153" s="7"/>
      <c r="R153" s="93">
        <v>0.19944667307963712</v>
      </c>
      <c r="S153" s="93">
        <v>5.3551425742574272</v>
      </c>
      <c r="T153" s="122" t="s">
        <v>1518</v>
      </c>
      <c r="U153" s="7"/>
      <c r="V153" s="7"/>
      <c r="W153" s="124" t="s">
        <v>1518</v>
      </c>
      <c r="X153" s="124"/>
      <c r="Y153" s="124" t="s">
        <v>1518</v>
      </c>
      <c r="Z153" s="12"/>
      <c r="AA153" s="7"/>
      <c r="AB153" s="7"/>
      <c r="AC153" s="7">
        <v>1</v>
      </c>
      <c r="AD153" s="7"/>
      <c r="AE153" s="7"/>
      <c r="AF153" s="7"/>
      <c r="AG153" s="7"/>
      <c r="AH153" s="7"/>
      <c r="AI153" s="7"/>
      <c r="AJ153" s="7"/>
      <c r="AK153" s="7"/>
      <c r="AL153" s="7"/>
      <c r="AM153" s="16">
        <v>45262</v>
      </c>
      <c r="AN153" s="4"/>
      <c r="AO153" s="4" t="s">
        <v>30</v>
      </c>
      <c r="AP153" s="4"/>
      <c r="AQ153" s="4"/>
      <c r="AR153" s="4"/>
      <c r="AS153" s="11">
        <v>450</v>
      </c>
      <c r="AT153" s="11"/>
      <c r="AU153" s="11"/>
      <c r="AV153" s="11"/>
      <c r="AW153" s="4"/>
      <c r="AX153" s="4">
        <f t="shared" ref="AX153" si="16">SUM(AA153:AL153)</f>
        <v>1</v>
      </c>
      <c r="AY153" s="93"/>
      <c r="AZ153" s="4">
        <v>0.27</v>
      </c>
    </row>
    <row r="154" spans="2:52" ht="14.25" customHeight="1" x14ac:dyDescent="0.25">
      <c r="B154" s="112" t="s">
        <v>1961</v>
      </c>
      <c r="C154" s="6" t="s">
        <v>1962</v>
      </c>
      <c r="D154" s="9" t="s">
        <v>3</v>
      </c>
      <c r="E154" s="8" t="s">
        <v>26</v>
      </c>
      <c r="F154" s="9">
        <v>27</v>
      </c>
      <c r="G154" s="9"/>
      <c r="H154" s="9"/>
      <c r="I154" s="7"/>
      <c r="J154" s="7"/>
      <c r="K154" s="7"/>
      <c r="L154" s="7"/>
      <c r="M154" s="122"/>
      <c r="N154" s="122"/>
      <c r="O154" s="122"/>
      <c r="P154" s="96"/>
      <c r="Q154" s="7"/>
      <c r="R154" s="93">
        <v>0.19944667307963712</v>
      </c>
      <c r="S154" s="93">
        <v>5.3551425742574272</v>
      </c>
      <c r="T154" s="122" t="s">
        <v>1518</v>
      </c>
      <c r="U154" s="7"/>
      <c r="V154" s="7"/>
      <c r="W154" s="124" t="s">
        <v>1518</v>
      </c>
      <c r="X154" s="124"/>
      <c r="Y154" s="124" t="s">
        <v>1518</v>
      </c>
      <c r="Z154" s="12"/>
      <c r="AA154" s="7"/>
      <c r="AB154" s="7"/>
      <c r="AC154" s="7">
        <v>1</v>
      </c>
      <c r="AD154" s="7"/>
      <c r="AE154" s="7"/>
      <c r="AF154" s="7"/>
      <c r="AG154" s="7"/>
      <c r="AH154" s="7"/>
      <c r="AI154" s="7"/>
      <c r="AJ154" s="7"/>
      <c r="AK154" s="7"/>
      <c r="AL154" s="7"/>
      <c r="AM154" s="16">
        <v>45262</v>
      </c>
      <c r="AN154" s="4"/>
      <c r="AO154" s="4" t="s">
        <v>30</v>
      </c>
      <c r="AP154" s="4"/>
      <c r="AQ154" s="4"/>
      <c r="AR154" s="4"/>
      <c r="AS154" s="11">
        <v>450</v>
      </c>
      <c r="AT154" s="11"/>
      <c r="AU154" s="11"/>
      <c r="AV154" s="11"/>
      <c r="AW154" s="4"/>
      <c r="AX154" s="4">
        <f t="shared" ref="AX154" si="17">SUM(AA154:AL154)</f>
        <v>1</v>
      </c>
      <c r="AY154" s="93"/>
      <c r="AZ154" s="4">
        <v>0.27</v>
      </c>
    </row>
    <row r="155" spans="2:52" ht="14.25" customHeight="1" x14ac:dyDescent="0.25">
      <c r="B155" s="112" t="s">
        <v>1827</v>
      </c>
      <c r="C155" s="6" t="s">
        <v>1963</v>
      </c>
      <c r="D155" s="9" t="s">
        <v>3</v>
      </c>
      <c r="E155" s="8" t="s">
        <v>13</v>
      </c>
      <c r="F155" s="9">
        <v>27</v>
      </c>
      <c r="G155" s="9"/>
      <c r="H155" s="9"/>
      <c r="I155" s="7"/>
      <c r="J155" s="7"/>
      <c r="K155" s="7"/>
      <c r="L155" s="7"/>
      <c r="M155" s="122"/>
      <c r="N155" s="122"/>
      <c r="O155" s="122"/>
      <c r="P155" s="96"/>
      <c r="Q155" s="7"/>
      <c r="R155" s="93">
        <v>0.19944667307963712</v>
      </c>
      <c r="S155" s="93">
        <v>5.3551425742574272</v>
      </c>
      <c r="T155" s="122" t="s">
        <v>1518</v>
      </c>
      <c r="U155" s="7"/>
      <c r="V155" s="7"/>
      <c r="W155" s="124" t="s">
        <v>1518</v>
      </c>
      <c r="X155" s="124"/>
      <c r="Y155" s="124" t="s">
        <v>1518</v>
      </c>
      <c r="Z155" s="12"/>
      <c r="AA155" s="7"/>
      <c r="AB155" s="7"/>
      <c r="AC155" s="7">
        <v>1</v>
      </c>
      <c r="AD155" s="7"/>
      <c r="AE155" s="7"/>
      <c r="AF155" s="7"/>
      <c r="AG155" s="7"/>
      <c r="AH155" s="7"/>
      <c r="AI155" s="7"/>
      <c r="AJ155" s="7"/>
      <c r="AK155" s="7"/>
      <c r="AL155" s="7"/>
      <c r="AM155" s="16">
        <v>45262</v>
      </c>
      <c r="AN155" s="4"/>
      <c r="AO155" s="4" t="s">
        <v>30</v>
      </c>
      <c r="AP155" s="4"/>
      <c r="AQ155" s="4"/>
      <c r="AR155" s="4"/>
      <c r="AS155" s="11">
        <v>450</v>
      </c>
      <c r="AT155" s="11"/>
      <c r="AU155" s="11"/>
      <c r="AV155" s="11"/>
      <c r="AW155" s="4"/>
      <c r="AX155" s="4">
        <f t="shared" si="12"/>
        <v>1</v>
      </c>
      <c r="AY155" s="93"/>
      <c r="AZ155" s="4">
        <v>0.27</v>
      </c>
    </row>
    <row r="156" spans="2:52" ht="14.25" customHeight="1" x14ac:dyDescent="0.25">
      <c r="B156" s="112" t="s">
        <v>1137</v>
      </c>
      <c r="C156" s="6" t="s">
        <v>1138</v>
      </c>
      <c r="D156" s="9" t="s">
        <v>3</v>
      </c>
      <c r="E156" s="8" t="s">
        <v>1612</v>
      </c>
      <c r="F156" s="9">
        <v>27</v>
      </c>
      <c r="G156" s="9"/>
      <c r="H156" s="9"/>
      <c r="I156" s="7"/>
      <c r="J156" s="7"/>
      <c r="K156" s="7"/>
      <c r="L156" s="7"/>
      <c r="M156" s="122"/>
      <c r="N156" s="122"/>
      <c r="O156" s="122"/>
      <c r="P156" s="96"/>
      <c r="Q156" s="7"/>
      <c r="R156" s="93">
        <v>0.19944667307963712</v>
      </c>
      <c r="S156" s="93">
        <v>5.3551425742574272</v>
      </c>
      <c r="T156" s="122" t="s">
        <v>1518</v>
      </c>
      <c r="U156" s="7"/>
      <c r="V156" s="7"/>
      <c r="W156" s="124" t="s">
        <v>1518</v>
      </c>
      <c r="X156" s="124"/>
      <c r="Y156" s="124"/>
      <c r="Z156" s="12"/>
      <c r="AA156" s="7"/>
      <c r="AB156" s="7"/>
      <c r="AC156" s="7">
        <v>1</v>
      </c>
      <c r="AD156" s="7"/>
      <c r="AE156" s="7"/>
      <c r="AF156" s="7"/>
      <c r="AG156" s="7"/>
      <c r="AH156" s="7"/>
      <c r="AI156" s="7"/>
      <c r="AJ156" s="7"/>
      <c r="AK156" s="7"/>
      <c r="AL156" s="7"/>
      <c r="AM156" s="16">
        <v>44540</v>
      </c>
      <c r="AN156" s="4"/>
      <c r="AO156" s="4" t="s">
        <v>30</v>
      </c>
      <c r="AP156" s="4"/>
      <c r="AQ156" s="4"/>
      <c r="AR156" s="4"/>
      <c r="AS156" s="11">
        <v>450</v>
      </c>
      <c r="AT156" s="11"/>
      <c r="AU156" s="11"/>
      <c r="AV156" s="11"/>
      <c r="AW156" s="4"/>
      <c r="AX156" s="4">
        <f t="shared" si="12"/>
        <v>1</v>
      </c>
      <c r="AY156" s="93"/>
      <c r="AZ156" s="4">
        <v>0.27</v>
      </c>
    </row>
    <row r="157" spans="2:52" ht="14.25" customHeight="1" x14ac:dyDescent="0.25">
      <c r="B157" s="112" t="s">
        <v>325</v>
      </c>
      <c r="C157" s="6" t="s">
        <v>1519</v>
      </c>
      <c r="D157" s="8" t="s">
        <v>5</v>
      </c>
      <c r="E157" s="8" t="s">
        <v>64</v>
      </c>
      <c r="F157" s="8" t="s">
        <v>314</v>
      </c>
      <c r="G157" s="8"/>
      <c r="H157" s="8"/>
      <c r="I157" s="7">
        <v>100</v>
      </c>
      <c r="J157" s="7"/>
      <c r="K157" s="7"/>
      <c r="L157" s="7" t="s">
        <v>14</v>
      </c>
      <c r="M157" s="122"/>
      <c r="N157" s="122"/>
      <c r="O157" s="122"/>
      <c r="P157" s="96"/>
      <c r="Q157" s="7"/>
      <c r="R157" s="93">
        <v>81556.66337289309</v>
      </c>
      <c r="S157" s="93">
        <v>4796.9827586206793</v>
      </c>
      <c r="T157" s="122" t="s">
        <v>1518</v>
      </c>
      <c r="U157" s="7">
        <v>2</v>
      </c>
      <c r="V157" s="7"/>
      <c r="W157" s="122" t="s">
        <v>1518</v>
      </c>
      <c r="X157" s="122" t="s">
        <v>1518</v>
      </c>
      <c r="Y157" s="122"/>
      <c r="Z157" s="7"/>
      <c r="AA157" s="7">
        <v>3</v>
      </c>
      <c r="AB157" s="7">
        <v>3</v>
      </c>
      <c r="AC157" s="7">
        <v>3</v>
      </c>
      <c r="AD157" s="7">
        <v>3</v>
      </c>
      <c r="AE157" s="7">
        <v>3</v>
      </c>
      <c r="AF157" s="7">
        <v>3</v>
      </c>
      <c r="AG157" s="7">
        <v>3</v>
      </c>
      <c r="AH157" s="7">
        <v>3</v>
      </c>
      <c r="AI157" s="7">
        <v>3</v>
      </c>
      <c r="AJ157" s="7">
        <v>3</v>
      </c>
      <c r="AK157" s="7">
        <v>3</v>
      </c>
      <c r="AL157" s="7">
        <v>3</v>
      </c>
      <c r="AM157" s="16">
        <v>44169</v>
      </c>
      <c r="AN157" s="4"/>
      <c r="AO157" s="6" t="s">
        <v>1035</v>
      </c>
      <c r="AP157" s="4"/>
      <c r="AQ157" s="4"/>
      <c r="AR157" s="4"/>
      <c r="AS157" s="11">
        <v>100</v>
      </c>
      <c r="AT157" s="11"/>
      <c r="AU157" s="11"/>
      <c r="AV157" s="11"/>
      <c r="AW157" s="4"/>
      <c r="AX157" s="4">
        <f t="shared" si="12"/>
        <v>36</v>
      </c>
      <c r="AY157" s="93">
        <v>1</v>
      </c>
      <c r="AZ157" s="4">
        <v>0.25</v>
      </c>
    </row>
    <row r="158" spans="2:52" s="52" customFormat="1" ht="14.25" customHeight="1" x14ac:dyDescent="0.25">
      <c r="B158" s="112" t="s">
        <v>1460</v>
      </c>
      <c r="C158" s="6" t="s">
        <v>1139</v>
      </c>
      <c r="D158" s="9" t="s">
        <v>4</v>
      </c>
      <c r="E158" s="8" t="s">
        <v>17</v>
      </c>
      <c r="F158" s="9">
        <v>32</v>
      </c>
      <c r="G158" s="9"/>
      <c r="H158" s="9"/>
      <c r="I158" s="12">
        <v>20</v>
      </c>
      <c r="J158" s="7"/>
      <c r="K158" s="7"/>
      <c r="L158" s="7" t="s">
        <v>120</v>
      </c>
      <c r="M158" s="122"/>
      <c r="N158" s="122"/>
      <c r="O158" s="122"/>
      <c r="P158" s="96"/>
      <c r="Q158" s="14">
        <v>0.3</v>
      </c>
      <c r="R158" s="93">
        <v>6.6543406448163935</v>
      </c>
      <c r="S158" s="93">
        <v>369.70909090909174</v>
      </c>
      <c r="T158" s="122" t="s">
        <v>1518</v>
      </c>
      <c r="U158" s="7"/>
      <c r="V158" s="7"/>
      <c r="W158" s="122"/>
      <c r="X158" s="122"/>
      <c r="Y158" s="122" t="s">
        <v>1518</v>
      </c>
      <c r="Z158" s="7"/>
      <c r="AA158" s="7"/>
      <c r="AB158" s="7"/>
      <c r="AC158" s="7">
        <v>1</v>
      </c>
      <c r="AD158" s="7"/>
      <c r="AE158" s="7"/>
      <c r="AF158" s="7"/>
      <c r="AG158" s="7">
        <v>1</v>
      </c>
      <c r="AH158" s="7"/>
      <c r="AI158" s="7"/>
      <c r="AJ158" s="7"/>
      <c r="AK158" s="7"/>
      <c r="AL158" s="7"/>
      <c r="AM158" s="16">
        <v>44169</v>
      </c>
      <c r="AN158" s="4"/>
      <c r="AO158" s="11" t="s">
        <v>155</v>
      </c>
      <c r="AP158" s="4"/>
      <c r="AQ158" s="4"/>
      <c r="AR158" s="4"/>
      <c r="AS158" s="11">
        <v>600</v>
      </c>
      <c r="AT158" s="11"/>
      <c r="AU158" s="11"/>
      <c r="AV158" s="11"/>
      <c r="AW158" s="4"/>
      <c r="AX158" s="4">
        <f t="shared" si="12"/>
        <v>2</v>
      </c>
      <c r="AY158" s="93"/>
      <c r="AZ158" s="4">
        <v>1</v>
      </c>
    </row>
    <row r="159" spans="2:52" ht="14.25" customHeight="1" x14ac:dyDescent="0.25">
      <c r="B159" s="112" t="s">
        <v>1459</v>
      </c>
      <c r="C159" s="6" t="s">
        <v>1139</v>
      </c>
      <c r="D159" s="9" t="s">
        <v>4</v>
      </c>
      <c r="E159" s="8" t="s">
        <v>17</v>
      </c>
      <c r="F159" s="9">
        <v>32</v>
      </c>
      <c r="G159" s="9"/>
      <c r="H159" s="9"/>
      <c r="I159" s="7">
        <v>20</v>
      </c>
      <c r="J159" s="7"/>
      <c r="K159" s="7"/>
      <c r="L159" s="7" t="s">
        <v>80</v>
      </c>
      <c r="M159" s="122"/>
      <c r="N159" s="122"/>
      <c r="O159" s="122"/>
      <c r="P159" s="96"/>
      <c r="Q159" s="14">
        <v>0.3</v>
      </c>
      <c r="R159" s="93">
        <v>13.308681289632787</v>
      </c>
      <c r="S159" s="93">
        <v>739.41818181818348</v>
      </c>
      <c r="T159" s="122" t="s">
        <v>1518</v>
      </c>
      <c r="U159" s="7"/>
      <c r="V159" s="7"/>
      <c r="W159" s="122"/>
      <c r="X159" s="122"/>
      <c r="Y159" s="122" t="s">
        <v>1518</v>
      </c>
      <c r="Z159" s="7"/>
      <c r="AA159" s="7"/>
      <c r="AB159" s="7"/>
      <c r="AC159" s="7">
        <v>1</v>
      </c>
      <c r="AD159" s="7"/>
      <c r="AE159" s="7"/>
      <c r="AF159" s="7">
        <v>1</v>
      </c>
      <c r="AG159" s="7">
        <v>1</v>
      </c>
      <c r="AH159" s="7"/>
      <c r="AI159" s="7">
        <v>1</v>
      </c>
      <c r="AJ159" s="7"/>
      <c r="AK159" s="7"/>
      <c r="AL159" s="7"/>
      <c r="AM159" s="16">
        <v>44169</v>
      </c>
      <c r="AN159" s="4"/>
      <c r="AO159" s="11" t="s">
        <v>155</v>
      </c>
      <c r="AP159" s="4"/>
      <c r="AQ159" s="4"/>
      <c r="AR159" s="4"/>
      <c r="AS159" s="11">
        <v>600</v>
      </c>
      <c r="AT159" s="11"/>
      <c r="AU159" s="11"/>
      <c r="AV159" s="11"/>
      <c r="AW159" s="4"/>
      <c r="AX159" s="4">
        <f t="shared" si="12"/>
        <v>4</v>
      </c>
      <c r="AY159" s="93"/>
      <c r="AZ159" s="4">
        <v>2</v>
      </c>
    </row>
    <row r="160" spans="2:52" ht="14.25" customHeight="1" x14ac:dyDescent="0.25">
      <c r="B160" s="112" t="s">
        <v>1458</v>
      </c>
      <c r="C160" s="6" t="s">
        <v>1139</v>
      </c>
      <c r="D160" s="9" t="s">
        <v>4</v>
      </c>
      <c r="E160" s="8" t="s">
        <v>17</v>
      </c>
      <c r="F160" s="9">
        <v>32</v>
      </c>
      <c r="G160" s="9"/>
      <c r="H160" s="9"/>
      <c r="I160" s="7">
        <v>20</v>
      </c>
      <c r="J160" s="7"/>
      <c r="K160" s="7"/>
      <c r="L160" s="7" t="s">
        <v>59</v>
      </c>
      <c r="M160" s="122"/>
      <c r="N160" s="122"/>
      <c r="O160" s="122"/>
      <c r="P160" s="96"/>
      <c r="Q160" s="14">
        <v>0.3</v>
      </c>
      <c r="R160" s="93">
        <v>19.963021934449181</v>
      </c>
      <c r="S160" s="93">
        <v>1109.1272727272753</v>
      </c>
      <c r="T160" s="122" t="s">
        <v>1518</v>
      </c>
      <c r="U160" s="7"/>
      <c r="V160" s="7"/>
      <c r="W160" s="122"/>
      <c r="X160" s="122"/>
      <c r="Y160" s="122" t="s">
        <v>1518</v>
      </c>
      <c r="Z160" s="7"/>
      <c r="AA160" s="7"/>
      <c r="AB160" s="7"/>
      <c r="AC160" s="7">
        <v>1</v>
      </c>
      <c r="AD160" s="7"/>
      <c r="AE160" s="7"/>
      <c r="AF160" s="7">
        <v>1</v>
      </c>
      <c r="AG160" s="7">
        <v>1</v>
      </c>
      <c r="AH160" s="7"/>
      <c r="AI160" s="7">
        <v>1</v>
      </c>
      <c r="AJ160" s="7"/>
      <c r="AK160" s="7"/>
      <c r="AL160" s="7"/>
      <c r="AM160" s="16">
        <v>44169</v>
      </c>
      <c r="AN160" s="4"/>
      <c r="AO160" s="11" t="s">
        <v>155</v>
      </c>
      <c r="AP160" s="4"/>
      <c r="AQ160" s="4"/>
      <c r="AR160" s="4"/>
      <c r="AS160" s="11">
        <v>600</v>
      </c>
      <c r="AT160" s="11"/>
      <c r="AU160" s="11"/>
      <c r="AV160" s="11"/>
      <c r="AW160" s="4"/>
      <c r="AX160" s="4">
        <f t="shared" si="12"/>
        <v>4</v>
      </c>
      <c r="AY160" s="93"/>
      <c r="AZ160" s="4">
        <v>3</v>
      </c>
    </row>
    <row r="161" spans="1:52" ht="14.25" customHeight="1" x14ac:dyDescent="0.25">
      <c r="B161" s="116" t="s">
        <v>53</v>
      </c>
      <c r="C161" s="6" t="s">
        <v>1140</v>
      </c>
      <c r="D161" s="54" t="s">
        <v>3</v>
      </c>
      <c r="E161" s="7" t="s">
        <v>19</v>
      </c>
      <c r="F161" s="54">
        <v>3</v>
      </c>
      <c r="G161" s="54">
        <v>7</v>
      </c>
      <c r="H161" s="54"/>
      <c r="I161" s="50"/>
      <c r="J161" s="50"/>
      <c r="K161" s="50"/>
      <c r="L161" s="50"/>
      <c r="M161" s="123"/>
      <c r="N161" s="123"/>
      <c r="O161" s="123"/>
      <c r="P161" s="97"/>
      <c r="Q161" s="55">
        <v>0.5</v>
      </c>
      <c r="R161" s="93">
        <v>0.82925720426922911</v>
      </c>
      <c r="S161" s="93">
        <v>2.7101950710108627</v>
      </c>
      <c r="T161" s="123" t="s">
        <v>1518</v>
      </c>
      <c r="U161" s="50"/>
      <c r="V161" s="50"/>
      <c r="W161" s="123"/>
      <c r="X161" s="123"/>
      <c r="Y161" s="123"/>
      <c r="Z161" s="50"/>
      <c r="AA161" s="50"/>
      <c r="AB161" s="50"/>
      <c r="AC161" s="50">
        <v>1</v>
      </c>
      <c r="AD161" s="50"/>
      <c r="AE161" s="50"/>
      <c r="AF161" s="50"/>
      <c r="AG161" s="50"/>
      <c r="AH161" s="50"/>
      <c r="AI161" s="50"/>
      <c r="AJ161" s="50"/>
      <c r="AK161" s="50"/>
      <c r="AL161" s="50"/>
      <c r="AM161" s="16">
        <v>44169</v>
      </c>
      <c r="AN161" s="51"/>
      <c r="AO161" s="6" t="s">
        <v>1014</v>
      </c>
      <c r="AP161" s="6" t="s">
        <v>1004</v>
      </c>
      <c r="AQ161" s="51"/>
      <c r="AR161" s="51"/>
      <c r="AS161" s="53">
        <v>50</v>
      </c>
      <c r="AT161" s="53">
        <v>75</v>
      </c>
      <c r="AU161" s="53"/>
      <c r="AV161" s="53"/>
      <c r="AW161" s="51"/>
      <c r="AX161" s="4">
        <f t="shared" si="12"/>
        <v>1</v>
      </c>
      <c r="AY161" s="94"/>
      <c r="AZ161" s="51">
        <v>0.75</v>
      </c>
    </row>
    <row r="162" spans="1:52" ht="14.25" customHeight="1" x14ac:dyDescent="0.25">
      <c r="B162" s="112" t="s">
        <v>196</v>
      </c>
      <c r="C162" s="6" t="s">
        <v>1141</v>
      </c>
      <c r="D162" s="8" t="s">
        <v>4</v>
      </c>
      <c r="E162" s="8" t="s">
        <v>17</v>
      </c>
      <c r="F162" s="9">
        <v>5</v>
      </c>
      <c r="G162" s="9"/>
      <c r="H162" s="9"/>
      <c r="I162" s="7"/>
      <c r="J162" s="7"/>
      <c r="K162" s="7"/>
      <c r="L162" s="7" t="s">
        <v>14</v>
      </c>
      <c r="M162" s="122"/>
      <c r="N162" s="122"/>
      <c r="O162" s="122"/>
      <c r="P162" s="96"/>
      <c r="Q162" s="14">
        <v>0.3</v>
      </c>
      <c r="R162" s="93">
        <v>4.2328333617106617</v>
      </c>
      <c r="S162" s="93">
        <v>462.13636363636289</v>
      </c>
      <c r="T162" s="122" t="s">
        <v>1518</v>
      </c>
      <c r="U162" s="7"/>
      <c r="V162" s="7"/>
      <c r="W162" s="122"/>
      <c r="X162" s="122"/>
      <c r="Y162" s="122" t="s">
        <v>1518</v>
      </c>
      <c r="Z162" s="7"/>
      <c r="AA162" s="7">
        <v>1</v>
      </c>
      <c r="AB162" s="7"/>
      <c r="AC162" s="7">
        <v>1</v>
      </c>
      <c r="AD162" s="7"/>
      <c r="AE162" s="7"/>
      <c r="AF162" s="7"/>
      <c r="AG162" s="7"/>
      <c r="AH162" s="7"/>
      <c r="AI162" s="7"/>
      <c r="AJ162" s="7"/>
      <c r="AK162" s="7"/>
      <c r="AL162" s="7"/>
      <c r="AM162" s="16">
        <v>44169</v>
      </c>
      <c r="AN162" s="4"/>
      <c r="AO162" s="6" t="s">
        <v>1012</v>
      </c>
      <c r="AP162" s="4"/>
      <c r="AQ162" s="4"/>
      <c r="AR162" s="4"/>
      <c r="AS162" s="11">
        <v>700</v>
      </c>
      <c r="AT162" s="11"/>
      <c r="AU162" s="11"/>
      <c r="AV162" s="11"/>
      <c r="AW162" s="4"/>
      <c r="AX162" s="4">
        <f t="shared" si="12"/>
        <v>2</v>
      </c>
      <c r="AY162" s="93">
        <v>1</v>
      </c>
      <c r="AZ162" s="4">
        <v>0.6</v>
      </c>
    </row>
    <row r="163" spans="1:52" ht="14.25" customHeight="1" x14ac:dyDescent="0.25">
      <c r="B163" s="92" t="s">
        <v>364</v>
      </c>
      <c r="C163" s="6" t="s">
        <v>1142</v>
      </c>
      <c r="D163" s="7" t="s">
        <v>7</v>
      </c>
      <c r="E163" s="8" t="s">
        <v>17</v>
      </c>
      <c r="F163" s="137" t="s">
        <v>1555</v>
      </c>
      <c r="G163" s="7"/>
      <c r="H163" s="7"/>
      <c r="I163" s="7"/>
      <c r="J163" s="7"/>
      <c r="K163" s="7"/>
      <c r="L163" s="7"/>
      <c r="M163" s="122"/>
      <c r="N163" s="122"/>
      <c r="O163" s="122"/>
      <c r="P163" s="96"/>
      <c r="Q163" s="7"/>
      <c r="R163" s="93">
        <v>1.2478458610138685E-3</v>
      </c>
      <c r="S163" s="93">
        <v>1.8294246575342492</v>
      </c>
      <c r="T163" s="122"/>
      <c r="U163" s="7"/>
      <c r="V163" s="7"/>
      <c r="W163" s="122" t="s">
        <v>1518</v>
      </c>
      <c r="X163" s="122"/>
      <c r="Y163" s="122"/>
      <c r="Z163" s="7"/>
      <c r="AA163" s="7">
        <v>1</v>
      </c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16">
        <v>44169</v>
      </c>
      <c r="AN163" s="4"/>
      <c r="AO163" s="6" t="s">
        <v>1019</v>
      </c>
      <c r="AP163" s="4"/>
      <c r="AQ163" s="4"/>
      <c r="AR163" s="4"/>
      <c r="AS163" s="11">
        <v>480</v>
      </c>
      <c r="AT163" s="11"/>
      <c r="AU163" s="11"/>
      <c r="AV163" s="11"/>
      <c r="AW163" s="4"/>
      <c r="AX163" s="4">
        <f t="shared" si="12"/>
        <v>1</v>
      </c>
      <c r="AY163" s="93"/>
      <c r="AZ163" s="4">
        <v>1</v>
      </c>
    </row>
    <row r="164" spans="1:52" ht="28.5" customHeight="1" x14ac:dyDescent="0.25">
      <c r="B164" s="112" t="s">
        <v>197</v>
      </c>
      <c r="C164" s="6" t="s">
        <v>1143</v>
      </c>
      <c r="D164" s="8" t="s">
        <v>4</v>
      </c>
      <c r="E164" s="8" t="s">
        <v>34</v>
      </c>
      <c r="F164" s="9">
        <v>2</v>
      </c>
      <c r="G164" s="9"/>
      <c r="H164" s="9"/>
      <c r="I164" s="7">
        <v>6</v>
      </c>
      <c r="J164" s="7">
        <v>6</v>
      </c>
      <c r="K164" s="7"/>
      <c r="L164" s="7"/>
      <c r="M164" s="122" t="s">
        <v>1518</v>
      </c>
      <c r="N164" s="122" t="s">
        <v>1518</v>
      </c>
      <c r="O164" s="122"/>
      <c r="P164" s="96" t="s">
        <v>136</v>
      </c>
      <c r="Q164" s="14">
        <v>0.3</v>
      </c>
      <c r="R164" s="93">
        <v>1.6404314340170563</v>
      </c>
      <c r="S164" s="93">
        <v>957.14435146443543</v>
      </c>
      <c r="T164" s="122" t="s">
        <v>1518</v>
      </c>
      <c r="U164" s="7"/>
      <c r="V164" s="7"/>
      <c r="W164" s="122"/>
      <c r="X164" s="122"/>
      <c r="Y164" s="122"/>
      <c r="Z164" s="7"/>
      <c r="AA164" s="7"/>
      <c r="AB164" s="7"/>
      <c r="AC164" s="7"/>
      <c r="AD164" s="7">
        <v>3</v>
      </c>
      <c r="AE164" s="7"/>
      <c r="AF164" s="7"/>
      <c r="AG164" s="7"/>
      <c r="AH164" s="7"/>
      <c r="AI164" s="7"/>
      <c r="AJ164" s="7"/>
      <c r="AK164" s="7"/>
      <c r="AL164" s="7"/>
      <c r="AM164" s="16">
        <v>44169</v>
      </c>
      <c r="AN164" s="4"/>
      <c r="AO164" s="4" t="s">
        <v>137</v>
      </c>
      <c r="AP164" s="4"/>
      <c r="AQ164" s="4"/>
      <c r="AR164" s="4"/>
      <c r="AS164" s="11">
        <v>60</v>
      </c>
      <c r="AT164" s="11"/>
      <c r="AU164" s="11"/>
      <c r="AV164" s="11"/>
      <c r="AW164" s="4" t="s">
        <v>1824</v>
      </c>
      <c r="AX164" s="4">
        <f t="shared" si="12"/>
        <v>3</v>
      </c>
      <c r="AY164" s="93">
        <v>1</v>
      </c>
      <c r="AZ164" s="4">
        <v>0.75</v>
      </c>
    </row>
    <row r="165" spans="1:52" ht="28.5" customHeight="1" x14ac:dyDescent="0.25">
      <c r="B165" s="112" t="s">
        <v>1144</v>
      </c>
      <c r="C165" s="6" t="s">
        <v>1145</v>
      </c>
      <c r="D165" s="8" t="s">
        <v>4</v>
      </c>
      <c r="E165" s="8" t="s">
        <v>17</v>
      </c>
      <c r="F165" s="9">
        <v>2</v>
      </c>
      <c r="G165" s="9"/>
      <c r="H165" s="9"/>
      <c r="I165" s="7"/>
      <c r="J165" s="7">
        <v>6</v>
      </c>
      <c r="K165" s="7"/>
      <c r="L165" s="7"/>
      <c r="M165" s="122"/>
      <c r="N165" s="122"/>
      <c r="O165" s="122"/>
      <c r="P165" s="96"/>
      <c r="Q165" s="7"/>
      <c r="R165" s="93">
        <v>1.15761493138794</v>
      </c>
      <c r="S165" s="93">
        <v>40.13289473684209</v>
      </c>
      <c r="T165" s="122" t="s">
        <v>1518</v>
      </c>
      <c r="U165" s="7"/>
      <c r="V165" s="7"/>
      <c r="W165" s="122"/>
      <c r="X165" s="122"/>
      <c r="Y165" s="122"/>
      <c r="Z165" s="7"/>
      <c r="AA165" s="7"/>
      <c r="AB165" s="7">
        <v>1</v>
      </c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16">
        <v>44169</v>
      </c>
      <c r="AN165" s="4"/>
      <c r="AO165" s="11" t="s">
        <v>198</v>
      </c>
      <c r="AP165" s="4"/>
      <c r="AQ165" s="4"/>
      <c r="AR165" s="4"/>
      <c r="AS165" s="11">
        <v>500</v>
      </c>
      <c r="AT165" s="11"/>
      <c r="AU165" s="11"/>
      <c r="AV165" s="11"/>
      <c r="AW165" s="4"/>
      <c r="AX165" s="4">
        <f t="shared" si="12"/>
        <v>1</v>
      </c>
      <c r="AY165" s="93"/>
      <c r="AZ165" s="4">
        <v>0.03</v>
      </c>
    </row>
    <row r="166" spans="1:52" ht="14.25" customHeight="1" x14ac:dyDescent="0.25">
      <c r="B166" s="112" t="s">
        <v>1146</v>
      </c>
      <c r="C166" s="6" t="s">
        <v>1147</v>
      </c>
      <c r="D166" s="8" t="s">
        <v>4</v>
      </c>
      <c r="E166" s="8" t="s">
        <v>17</v>
      </c>
      <c r="F166" s="9">
        <v>2</v>
      </c>
      <c r="G166" s="9">
        <v>5</v>
      </c>
      <c r="H166" s="9"/>
      <c r="I166" s="7">
        <v>6</v>
      </c>
      <c r="J166" s="7"/>
      <c r="K166" s="7"/>
      <c r="L166" s="7" t="s">
        <v>120</v>
      </c>
      <c r="M166" s="122" t="s">
        <v>1518</v>
      </c>
      <c r="N166" s="122" t="s">
        <v>1518</v>
      </c>
      <c r="O166" s="122"/>
      <c r="P166" s="96"/>
      <c r="Q166" s="14">
        <v>0.3</v>
      </c>
      <c r="R166" s="93">
        <v>10.587643197589829</v>
      </c>
      <c r="S166" s="93">
        <v>132.58069374183199</v>
      </c>
      <c r="T166" s="122" t="s">
        <v>1518</v>
      </c>
      <c r="U166" s="7"/>
      <c r="V166" s="7"/>
      <c r="W166" s="122"/>
      <c r="X166" s="122"/>
      <c r="Y166" s="122"/>
      <c r="Z166" s="7"/>
      <c r="AA166" s="7"/>
      <c r="AB166" s="7">
        <v>1</v>
      </c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16">
        <v>44169</v>
      </c>
      <c r="AN166" s="4"/>
      <c r="AO166" s="11" t="s">
        <v>198</v>
      </c>
      <c r="AP166" s="11" t="s">
        <v>991</v>
      </c>
      <c r="AQ166" s="4"/>
      <c r="AR166" s="4"/>
      <c r="AS166" s="11">
        <v>71</v>
      </c>
      <c r="AT166" s="11">
        <v>714</v>
      </c>
      <c r="AU166" s="11"/>
      <c r="AV166" s="11"/>
      <c r="AW166" s="4"/>
      <c r="AX166" s="4">
        <f t="shared" si="12"/>
        <v>1</v>
      </c>
      <c r="AY166" s="93">
        <v>3</v>
      </c>
      <c r="AZ166" s="4">
        <v>0.63</v>
      </c>
    </row>
    <row r="167" spans="1:52" ht="14.25" customHeight="1" x14ac:dyDescent="0.25">
      <c r="B167" s="112" t="s">
        <v>326</v>
      </c>
      <c r="C167" s="6" t="s">
        <v>1148</v>
      </c>
      <c r="D167" s="8" t="s">
        <v>5</v>
      </c>
      <c r="E167" s="8" t="s">
        <v>1534</v>
      </c>
      <c r="F167" s="8" t="s">
        <v>314</v>
      </c>
      <c r="G167" s="8"/>
      <c r="H167" s="8"/>
      <c r="I167" s="7">
        <v>100</v>
      </c>
      <c r="J167" s="7"/>
      <c r="K167" s="7"/>
      <c r="L167" s="7" t="s">
        <v>14</v>
      </c>
      <c r="M167" s="122"/>
      <c r="N167" s="122"/>
      <c r="O167" s="122"/>
      <c r="P167" s="96"/>
      <c r="Q167" s="7"/>
      <c r="R167" s="93">
        <v>109916.10506377036</v>
      </c>
      <c r="S167" s="93">
        <v>144.67699999999928</v>
      </c>
      <c r="T167" s="122" t="s">
        <v>1518</v>
      </c>
      <c r="U167" s="7">
        <v>2</v>
      </c>
      <c r="V167" s="7"/>
      <c r="W167" s="122"/>
      <c r="X167" s="122"/>
      <c r="Y167" s="122"/>
      <c r="Z167" s="7"/>
      <c r="AA167" s="7"/>
      <c r="AB167" s="7">
        <v>3</v>
      </c>
      <c r="AC167" s="7"/>
      <c r="AD167" s="7"/>
      <c r="AE167" s="7">
        <v>3</v>
      </c>
      <c r="AF167" s="7"/>
      <c r="AG167" s="7"/>
      <c r="AH167" s="7"/>
      <c r="AI167" s="7"/>
      <c r="AJ167" s="7"/>
      <c r="AK167" s="7"/>
      <c r="AL167" s="7"/>
      <c r="AM167" s="16">
        <v>44169</v>
      </c>
      <c r="AN167" s="4"/>
      <c r="AO167" s="11" t="s">
        <v>316</v>
      </c>
      <c r="AP167" s="4"/>
      <c r="AQ167" s="4"/>
      <c r="AR167" s="4"/>
      <c r="AS167" s="11">
        <v>15</v>
      </c>
      <c r="AT167" s="11"/>
      <c r="AU167" s="11"/>
      <c r="AV167" s="11"/>
      <c r="AW167" s="4"/>
      <c r="AX167" s="4">
        <f t="shared" si="12"/>
        <v>6</v>
      </c>
      <c r="AY167" s="93">
        <v>1</v>
      </c>
      <c r="AZ167" s="4">
        <v>0.65</v>
      </c>
    </row>
    <row r="168" spans="1:52" ht="28.5" customHeight="1" x14ac:dyDescent="0.25">
      <c r="B168" s="112" t="s">
        <v>327</v>
      </c>
      <c r="C168" s="6" t="s">
        <v>1148</v>
      </c>
      <c r="D168" s="8" t="s">
        <v>5</v>
      </c>
      <c r="E168" s="8" t="s">
        <v>1534</v>
      </c>
      <c r="F168" s="8" t="s">
        <v>314</v>
      </c>
      <c r="G168" s="8"/>
      <c r="H168" s="8"/>
      <c r="I168" s="7">
        <v>50</v>
      </c>
      <c r="J168" s="7"/>
      <c r="K168" s="7"/>
      <c r="L168" s="7" t="s">
        <v>14</v>
      </c>
      <c r="M168" s="122"/>
      <c r="N168" s="122"/>
      <c r="O168" s="122"/>
      <c r="P168" s="96"/>
      <c r="Q168" s="7"/>
      <c r="R168" s="93">
        <v>84550.850049054119</v>
      </c>
      <c r="S168" s="93">
        <v>111.28999999999944</v>
      </c>
      <c r="T168" s="122" t="s">
        <v>1518</v>
      </c>
      <c r="U168" s="7">
        <v>2</v>
      </c>
      <c r="V168" s="7"/>
      <c r="W168" s="122"/>
      <c r="X168" s="122"/>
      <c r="Y168" s="122"/>
      <c r="Z168" s="7"/>
      <c r="AA168" s="7">
        <v>3</v>
      </c>
      <c r="AB168" s="7">
        <v>3</v>
      </c>
      <c r="AC168" s="7">
        <v>3</v>
      </c>
      <c r="AD168" s="7">
        <v>3</v>
      </c>
      <c r="AE168" s="7">
        <v>3</v>
      </c>
      <c r="AF168" s="7">
        <v>3</v>
      </c>
      <c r="AG168" s="7">
        <v>3</v>
      </c>
      <c r="AH168" s="7">
        <v>3</v>
      </c>
      <c r="AI168" s="7"/>
      <c r="AJ168" s="7"/>
      <c r="AK168" s="7"/>
      <c r="AL168" s="7"/>
      <c r="AM168" s="16">
        <v>44169</v>
      </c>
      <c r="AN168" s="4"/>
      <c r="AO168" s="11" t="s">
        <v>316</v>
      </c>
      <c r="AP168" s="4"/>
      <c r="AQ168" s="4"/>
      <c r="AR168" s="4"/>
      <c r="AS168" s="11">
        <v>15</v>
      </c>
      <c r="AT168" s="11"/>
      <c r="AU168" s="11"/>
      <c r="AV168" s="11"/>
      <c r="AW168" s="4"/>
      <c r="AX168" s="4">
        <f t="shared" si="12"/>
        <v>24</v>
      </c>
      <c r="AY168" s="93">
        <v>1</v>
      </c>
      <c r="AZ168" s="4">
        <v>0.5</v>
      </c>
    </row>
    <row r="169" spans="1:52" ht="14.25" customHeight="1" x14ac:dyDescent="0.25">
      <c r="B169" s="112" t="s">
        <v>199</v>
      </c>
      <c r="C169" s="6" t="s">
        <v>1440</v>
      </c>
      <c r="D169" s="8" t="s">
        <v>4</v>
      </c>
      <c r="E169" s="8" t="s">
        <v>64</v>
      </c>
      <c r="F169" s="9">
        <v>15</v>
      </c>
      <c r="G169" s="9"/>
      <c r="H169" s="9"/>
      <c r="I169" s="7"/>
      <c r="J169" s="7"/>
      <c r="K169" s="7"/>
      <c r="L169" s="7" t="s">
        <v>14</v>
      </c>
      <c r="M169" s="122"/>
      <c r="N169" s="122"/>
      <c r="O169" s="122"/>
      <c r="P169" s="96"/>
      <c r="Q169" s="7"/>
      <c r="R169" s="93">
        <v>7.5491503505291222</v>
      </c>
      <c r="S169" s="93">
        <v>60.653243847874926</v>
      </c>
      <c r="T169" s="122" t="s">
        <v>1518</v>
      </c>
      <c r="U169" s="7"/>
      <c r="V169" s="7"/>
      <c r="W169" s="122"/>
      <c r="X169" s="122"/>
      <c r="Y169" s="122" t="s">
        <v>1518</v>
      </c>
      <c r="Z169" s="7" t="s">
        <v>7</v>
      </c>
      <c r="AA169" s="7">
        <v>1</v>
      </c>
      <c r="AB169" s="7"/>
      <c r="AC169" s="7">
        <v>1</v>
      </c>
      <c r="AD169" s="7"/>
      <c r="AE169" s="7"/>
      <c r="AF169" s="7"/>
      <c r="AG169" s="7"/>
      <c r="AH169" s="7"/>
      <c r="AI169" s="7"/>
      <c r="AJ169" s="7">
        <v>1</v>
      </c>
      <c r="AK169" s="7"/>
      <c r="AL169" s="7"/>
      <c r="AM169" s="16">
        <v>44911</v>
      </c>
      <c r="AN169" s="4"/>
      <c r="AO169" s="11" t="s">
        <v>131</v>
      </c>
      <c r="AP169" s="4"/>
      <c r="AQ169" s="4"/>
      <c r="AR169" s="4"/>
      <c r="AS169" s="11">
        <v>800</v>
      </c>
      <c r="AT169" s="11"/>
      <c r="AU169" s="11"/>
      <c r="AV169" s="11"/>
      <c r="AW169" s="4"/>
      <c r="AX169" s="4">
        <f t="shared" si="12"/>
        <v>3</v>
      </c>
      <c r="AY169" s="93">
        <v>1</v>
      </c>
      <c r="AZ169" s="4">
        <v>5</v>
      </c>
    </row>
    <row r="170" spans="1:52" ht="28.5" customHeight="1" x14ac:dyDescent="0.25">
      <c r="B170" s="112" t="s">
        <v>328</v>
      </c>
      <c r="C170" s="6" t="s">
        <v>1665</v>
      </c>
      <c r="D170" s="8" t="s">
        <v>5</v>
      </c>
      <c r="E170" s="8" t="s">
        <v>54</v>
      </c>
      <c r="F170" s="8" t="s">
        <v>314</v>
      </c>
      <c r="G170" s="8"/>
      <c r="H170" s="8"/>
      <c r="I170" s="7">
        <v>100</v>
      </c>
      <c r="J170" s="7"/>
      <c r="K170" s="7"/>
      <c r="L170" s="7" t="s">
        <v>14</v>
      </c>
      <c r="M170" s="122"/>
      <c r="N170" s="122"/>
      <c r="O170" s="122"/>
      <c r="P170" s="96"/>
      <c r="Q170" s="7"/>
      <c r="R170" s="93">
        <v>112734.46673207216</v>
      </c>
      <c r="S170" s="93">
        <v>148.38666666666592</v>
      </c>
      <c r="T170" s="122" t="s">
        <v>1518</v>
      </c>
      <c r="U170" s="7">
        <v>2</v>
      </c>
      <c r="V170" s="7"/>
      <c r="W170" s="122" t="s">
        <v>1518</v>
      </c>
      <c r="X170" s="122"/>
      <c r="Y170" s="122"/>
      <c r="Z170" s="7"/>
      <c r="AA170" s="7"/>
      <c r="AB170" s="7">
        <v>3</v>
      </c>
      <c r="AC170" s="7"/>
      <c r="AD170" s="7"/>
      <c r="AE170" s="7">
        <v>3</v>
      </c>
      <c r="AF170" s="7"/>
      <c r="AG170" s="7"/>
      <c r="AH170" s="7"/>
      <c r="AI170" s="7"/>
      <c r="AJ170" s="7"/>
      <c r="AK170" s="7"/>
      <c r="AL170" s="7"/>
      <c r="AM170" s="16">
        <v>44169</v>
      </c>
      <c r="AN170" s="4"/>
      <c r="AO170" s="4" t="s">
        <v>316</v>
      </c>
      <c r="AP170" s="4"/>
      <c r="AQ170" s="4"/>
      <c r="AR170" s="4"/>
      <c r="AS170" s="11">
        <v>25</v>
      </c>
      <c r="AT170" s="11"/>
      <c r="AU170" s="11"/>
      <c r="AV170" s="11"/>
      <c r="AW170" s="4"/>
      <c r="AX170" s="4">
        <f t="shared" si="12"/>
        <v>6</v>
      </c>
      <c r="AY170" s="93">
        <v>1</v>
      </c>
      <c r="AZ170" s="4">
        <v>0.4</v>
      </c>
    </row>
    <row r="171" spans="1:52" s="52" customFormat="1" ht="15.75" customHeight="1" x14ac:dyDescent="0.25">
      <c r="A171" s="1"/>
      <c r="B171" s="112" t="s">
        <v>329</v>
      </c>
      <c r="C171" s="6" t="s">
        <v>1665</v>
      </c>
      <c r="D171" s="8" t="s">
        <v>5</v>
      </c>
      <c r="E171" s="8" t="s">
        <v>54</v>
      </c>
      <c r="F171" s="8" t="s">
        <v>314</v>
      </c>
      <c r="G171" s="8"/>
      <c r="H171" s="8"/>
      <c r="I171" s="7">
        <v>50</v>
      </c>
      <c r="J171" s="7"/>
      <c r="K171" s="7"/>
      <c r="L171" s="7" t="s">
        <v>14</v>
      </c>
      <c r="M171" s="122"/>
      <c r="N171" s="122"/>
      <c r="O171" s="122"/>
      <c r="P171" s="96"/>
      <c r="Q171" s="7"/>
      <c r="R171" s="93">
        <v>84550.850049054119</v>
      </c>
      <c r="S171" s="93">
        <v>111.28999999999944</v>
      </c>
      <c r="T171" s="122" t="s">
        <v>1518</v>
      </c>
      <c r="U171" s="7">
        <v>2</v>
      </c>
      <c r="V171" s="7"/>
      <c r="W171" s="122" t="s">
        <v>1518</v>
      </c>
      <c r="X171" s="122"/>
      <c r="Y171" s="122"/>
      <c r="Z171" s="7"/>
      <c r="AA171" s="7">
        <v>3</v>
      </c>
      <c r="AB171" s="7">
        <v>3</v>
      </c>
      <c r="AC171" s="7">
        <v>3</v>
      </c>
      <c r="AD171" s="7">
        <v>3</v>
      </c>
      <c r="AE171" s="7">
        <v>3</v>
      </c>
      <c r="AF171" s="7">
        <v>3</v>
      </c>
      <c r="AG171" s="7">
        <v>3</v>
      </c>
      <c r="AH171" s="7">
        <v>3</v>
      </c>
      <c r="AI171" s="7"/>
      <c r="AJ171" s="7"/>
      <c r="AK171" s="7"/>
      <c r="AL171" s="7"/>
      <c r="AM171" s="16">
        <v>44169</v>
      </c>
      <c r="AN171" s="4"/>
      <c r="AO171" s="4" t="s">
        <v>316</v>
      </c>
      <c r="AP171" s="4"/>
      <c r="AQ171" s="4"/>
      <c r="AR171" s="4"/>
      <c r="AS171" s="11">
        <v>25</v>
      </c>
      <c r="AT171" s="11"/>
      <c r="AU171" s="11"/>
      <c r="AV171" s="11"/>
      <c r="AW171" s="4"/>
      <c r="AX171" s="4">
        <f t="shared" si="12"/>
        <v>24</v>
      </c>
      <c r="AY171" s="93">
        <v>1</v>
      </c>
      <c r="AZ171" s="4">
        <v>0.3</v>
      </c>
    </row>
    <row r="172" spans="1:52" ht="15.75" customHeight="1" x14ac:dyDescent="0.25">
      <c r="A172" s="52"/>
      <c r="B172" s="112" t="s">
        <v>1862</v>
      </c>
      <c r="C172" s="6" t="s">
        <v>1666</v>
      </c>
      <c r="D172" s="8" t="s">
        <v>5</v>
      </c>
      <c r="E172" s="8" t="s">
        <v>17</v>
      </c>
      <c r="F172" s="8" t="s">
        <v>314</v>
      </c>
      <c r="G172" s="8"/>
      <c r="H172" s="8"/>
      <c r="I172" s="7">
        <v>100</v>
      </c>
      <c r="J172" s="7"/>
      <c r="K172" s="7"/>
      <c r="L172" s="7" t="s">
        <v>14</v>
      </c>
      <c r="M172" s="122"/>
      <c r="N172" s="122"/>
      <c r="O172" s="122"/>
      <c r="P172" s="96"/>
      <c r="Q172" s="7"/>
      <c r="R172" s="93">
        <v>112734.46673207216</v>
      </c>
      <c r="S172" s="93">
        <v>148.38666666666592</v>
      </c>
      <c r="T172" s="122" t="s">
        <v>1518</v>
      </c>
      <c r="U172" s="7">
        <v>2</v>
      </c>
      <c r="V172" s="7"/>
      <c r="W172" s="122" t="s">
        <v>1518</v>
      </c>
      <c r="X172" s="122"/>
      <c r="Y172" s="122"/>
      <c r="Z172" s="7"/>
      <c r="AA172" s="7"/>
      <c r="AB172" s="7">
        <v>3</v>
      </c>
      <c r="AC172" s="7"/>
      <c r="AD172" s="7"/>
      <c r="AE172" s="7">
        <v>3</v>
      </c>
      <c r="AF172" s="7"/>
      <c r="AG172" s="7"/>
      <c r="AH172" s="7"/>
      <c r="AI172" s="7"/>
      <c r="AJ172" s="7"/>
      <c r="AK172" s="7"/>
      <c r="AL172" s="7"/>
      <c r="AM172" s="16">
        <v>44911</v>
      </c>
      <c r="AN172" s="4"/>
      <c r="AO172" s="4" t="s">
        <v>316</v>
      </c>
      <c r="AP172" s="4"/>
      <c r="AQ172" s="4"/>
      <c r="AR172" s="4"/>
      <c r="AS172" s="11">
        <v>25</v>
      </c>
      <c r="AT172" s="11"/>
      <c r="AU172" s="11"/>
      <c r="AV172" s="11"/>
      <c r="AW172" s="4"/>
      <c r="AX172" s="4">
        <f t="shared" si="12"/>
        <v>6</v>
      </c>
      <c r="AY172" s="93">
        <v>1</v>
      </c>
      <c r="AZ172" s="4">
        <v>0.4</v>
      </c>
    </row>
    <row r="173" spans="1:52" ht="14.25" customHeight="1" x14ac:dyDescent="0.25">
      <c r="B173" s="112" t="s">
        <v>1863</v>
      </c>
      <c r="C173" s="6" t="s">
        <v>1666</v>
      </c>
      <c r="D173" s="8" t="s">
        <v>5</v>
      </c>
      <c r="E173" s="8" t="s">
        <v>17</v>
      </c>
      <c r="F173" s="8" t="s">
        <v>314</v>
      </c>
      <c r="G173" s="8"/>
      <c r="H173" s="8"/>
      <c r="I173" s="7">
        <v>50</v>
      </c>
      <c r="J173" s="7"/>
      <c r="K173" s="7"/>
      <c r="L173" s="7" t="s">
        <v>14</v>
      </c>
      <c r="M173" s="122"/>
      <c r="N173" s="122"/>
      <c r="O173" s="122"/>
      <c r="P173" s="96"/>
      <c r="Q173" s="7"/>
      <c r="R173" s="93">
        <v>84550.850049054119</v>
      </c>
      <c r="S173" s="93">
        <v>111.28999999999944</v>
      </c>
      <c r="T173" s="122" t="s">
        <v>1518</v>
      </c>
      <c r="U173" s="7">
        <v>2</v>
      </c>
      <c r="V173" s="7"/>
      <c r="W173" s="122" t="s">
        <v>1518</v>
      </c>
      <c r="X173" s="122"/>
      <c r="Y173" s="122"/>
      <c r="Z173" s="7"/>
      <c r="AA173" s="7">
        <v>3</v>
      </c>
      <c r="AB173" s="7">
        <v>3</v>
      </c>
      <c r="AC173" s="7">
        <v>3</v>
      </c>
      <c r="AD173" s="7">
        <v>3</v>
      </c>
      <c r="AE173" s="7">
        <v>3</v>
      </c>
      <c r="AF173" s="7">
        <v>3</v>
      </c>
      <c r="AG173" s="7">
        <v>3</v>
      </c>
      <c r="AH173" s="7">
        <v>3</v>
      </c>
      <c r="AI173" s="7"/>
      <c r="AJ173" s="7"/>
      <c r="AK173" s="7"/>
      <c r="AL173" s="7"/>
      <c r="AM173" s="16">
        <v>44911</v>
      </c>
      <c r="AN173" s="4"/>
      <c r="AO173" s="4" t="s">
        <v>316</v>
      </c>
      <c r="AP173" s="4"/>
      <c r="AQ173" s="4"/>
      <c r="AR173" s="4"/>
      <c r="AS173" s="11">
        <v>25</v>
      </c>
      <c r="AT173" s="11"/>
      <c r="AU173" s="11"/>
      <c r="AV173" s="11"/>
      <c r="AW173" s="4"/>
      <c r="AX173" s="4">
        <f t="shared" si="12"/>
        <v>24</v>
      </c>
      <c r="AY173" s="93">
        <v>1</v>
      </c>
      <c r="AZ173" s="4">
        <v>0.3</v>
      </c>
    </row>
    <row r="174" spans="1:52" ht="14.25" customHeight="1" x14ac:dyDescent="0.25">
      <c r="B174" s="112" t="s">
        <v>1588</v>
      </c>
      <c r="C174" s="6" t="s">
        <v>1589</v>
      </c>
      <c r="D174" s="9" t="s">
        <v>4</v>
      </c>
      <c r="E174" s="8" t="s">
        <v>54</v>
      </c>
      <c r="F174" s="9">
        <v>15</v>
      </c>
      <c r="G174" s="9"/>
      <c r="H174" s="9"/>
      <c r="I174" s="7">
        <v>20</v>
      </c>
      <c r="J174" s="7"/>
      <c r="K174" s="7"/>
      <c r="L174" s="7" t="s">
        <v>80</v>
      </c>
      <c r="M174" s="122" t="s">
        <v>1518</v>
      </c>
      <c r="N174" s="122" t="s">
        <v>1518</v>
      </c>
      <c r="O174" s="122" t="s">
        <v>1518</v>
      </c>
      <c r="P174" s="149" t="s">
        <v>180</v>
      </c>
      <c r="Q174" s="7"/>
      <c r="R174" s="93">
        <v>2.957136781681764</v>
      </c>
      <c r="S174" s="93">
        <v>94.188854041013286</v>
      </c>
      <c r="T174" s="122" t="s">
        <v>1518</v>
      </c>
      <c r="U174" s="7"/>
      <c r="V174" s="7"/>
      <c r="W174" s="122" t="s">
        <v>1518</v>
      </c>
      <c r="X174" s="122"/>
      <c r="Y174" s="122" t="s">
        <v>1518</v>
      </c>
      <c r="Z174" s="7"/>
      <c r="AA174" s="7"/>
      <c r="AB174" s="7"/>
      <c r="AC174" s="7"/>
      <c r="AD174" s="7">
        <v>3</v>
      </c>
      <c r="AE174" s="7"/>
      <c r="AF174" s="7">
        <v>3</v>
      </c>
      <c r="AG174" s="7"/>
      <c r="AH174" s="7"/>
      <c r="AI174" s="7"/>
      <c r="AJ174" s="7"/>
      <c r="AK174" s="7"/>
      <c r="AL174" s="7"/>
      <c r="AM174" s="16">
        <v>44540</v>
      </c>
      <c r="AN174" s="4"/>
      <c r="AO174" s="6" t="s">
        <v>990</v>
      </c>
      <c r="AP174" s="4"/>
      <c r="AQ174" s="4"/>
      <c r="AR174" s="4"/>
      <c r="AS174" s="11">
        <v>960</v>
      </c>
      <c r="AT174" s="11"/>
      <c r="AU174" s="11"/>
      <c r="AV174" s="11"/>
      <c r="AW174" s="4" t="s">
        <v>1825</v>
      </c>
      <c r="AX174" s="4">
        <f t="shared" si="12"/>
        <v>6</v>
      </c>
      <c r="AY174" s="93"/>
      <c r="AZ174" s="4">
        <v>1.6</v>
      </c>
    </row>
    <row r="175" spans="1:52" ht="14.25" customHeight="1" x14ac:dyDescent="0.25">
      <c r="B175" s="116" t="s">
        <v>1587</v>
      </c>
      <c r="C175" s="6" t="s">
        <v>1589</v>
      </c>
      <c r="D175" s="54" t="s">
        <v>4</v>
      </c>
      <c r="E175" s="8" t="s">
        <v>54</v>
      </c>
      <c r="F175" s="9">
        <v>15</v>
      </c>
      <c r="G175" s="9"/>
      <c r="H175" s="9"/>
      <c r="I175" s="7">
        <v>6</v>
      </c>
      <c r="J175" s="50"/>
      <c r="K175" s="50"/>
      <c r="L175" s="7" t="s">
        <v>120</v>
      </c>
      <c r="M175" s="123" t="s">
        <v>1518</v>
      </c>
      <c r="N175" s="122" t="s">
        <v>1518</v>
      </c>
      <c r="O175" s="123" t="s">
        <v>1518</v>
      </c>
      <c r="P175" s="148" t="s">
        <v>180</v>
      </c>
      <c r="Q175" s="50"/>
      <c r="R175" s="93">
        <v>1.8482104885511026</v>
      </c>
      <c r="S175" s="93">
        <v>58.868033775633307</v>
      </c>
      <c r="T175" s="123" t="s">
        <v>1518</v>
      </c>
      <c r="U175" s="50"/>
      <c r="V175" s="50"/>
      <c r="W175" s="123" t="s">
        <v>1518</v>
      </c>
      <c r="X175" s="123"/>
      <c r="Y175" s="123" t="s">
        <v>1518</v>
      </c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16">
        <v>44540</v>
      </c>
      <c r="AN175" s="4"/>
      <c r="AO175" s="6" t="s">
        <v>990</v>
      </c>
      <c r="AP175" s="51"/>
      <c r="AQ175" s="51"/>
      <c r="AR175" s="51"/>
      <c r="AS175" s="53">
        <v>960</v>
      </c>
      <c r="AT175" s="53"/>
      <c r="AU175" s="53"/>
      <c r="AV175" s="53"/>
      <c r="AW175" s="4" t="s">
        <v>1825</v>
      </c>
      <c r="AX175" s="4">
        <f t="shared" si="12"/>
        <v>0</v>
      </c>
      <c r="AY175" s="94"/>
      <c r="AZ175" s="4">
        <v>1</v>
      </c>
    </row>
    <row r="176" spans="1:52" ht="14.25" customHeight="1" x14ac:dyDescent="0.25">
      <c r="B176" s="114" t="s">
        <v>1149</v>
      </c>
      <c r="C176" s="6" t="s">
        <v>1150</v>
      </c>
      <c r="D176" s="8" t="s">
        <v>4</v>
      </c>
      <c r="E176" s="8" t="s">
        <v>17</v>
      </c>
      <c r="F176" s="9">
        <v>1</v>
      </c>
      <c r="G176" s="9"/>
      <c r="H176" s="9"/>
      <c r="I176" s="7"/>
      <c r="J176" s="7"/>
      <c r="K176" s="7"/>
      <c r="L176" s="7"/>
      <c r="M176" s="122" t="s">
        <v>1518</v>
      </c>
      <c r="N176" s="122" t="s">
        <v>1518</v>
      </c>
      <c r="O176" s="122"/>
      <c r="P176" s="96"/>
      <c r="Q176" s="7"/>
      <c r="R176" s="93">
        <v>1.2413294051170814E-2</v>
      </c>
      <c r="S176" s="93">
        <v>33.331421934497818</v>
      </c>
      <c r="T176" s="122" t="s">
        <v>1518</v>
      </c>
      <c r="U176" s="7"/>
      <c r="V176" s="7"/>
      <c r="W176" s="122" t="s">
        <v>1518</v>
      </c>
      <c r="X176" s="122"/>
      <c r="Y176" s="122" t="s">
        <v>1518</v>
      </c>
      <c r="Z176" s="7"/>
      <c r="AA176" s="7">
        <v>1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16">
        <v>44169</v>
      </c>
      <c r="AN176" s="4"/>
      <c r="AO176" s="4" t="s">
        <v>151</v>
      </c>
      <c r="AP176" s="6" t="s">
        <v>300</v>
      </c>
      <c r="AQ176" s="4"/>
      <c r="AR176" s="4"/>
      <c r="AS176" s="11">
        <v>50</v>
      </c>
      <c r="AT176" s="11">
        <v>125</v>
      </c>
      <c r="AU176" s="11"/>
      <c r="AV176" s="11"/>
      <c r="AW176" s="4"/>
      <c r="AX176" s="4">
        <f t="shared" si="12"/>
        <v>1</v>
      </c>
      <c r="AY176" s="93">
        <v>1</v>
      </c>
      <c r="AZ176" s="4">
        <v>1.2</v>
      </c>
    </row>
    <row r="177" spans="1:52" ht="14.25" customHeight="1" x14ac:dyDescent="0.25">
      <c r="B177" s="112" t="s">
        <v>1151</v>
      </c>
      <c r="C177" s="6" t="s">
        <v>1152</v>
      </c>
      <c r="D177" s="8" t="s">
        <v>4</v>
      </c>
      <c r="E177" s="8" t="s">
        <v>17</v>
      </c>
      <c r="F177" s="9" t="s">
        <v>962</v>
      </c>
      <c r="G177" s="9"/>
      <c r="H177" s="9"/>
      <c r="I177" s="7"/>
      <c r="J177" s="7"/>
      <c r="K177" s="7"/>
      <c r="L177" s="7"/>
      <c r="M177" s="122"/>
      <c r="N177" s="122"/>
      <c r="O177" s="122"/>
      <c r="P177" s="96"/>
      <c r="Q177" s="7"/>
      <c r="R177" s="93">
        <v>0.54862255127722548</v>
      </c>
      <c r="S177" s="93">
        <v>22.137822580645185</v>
      </c>
      <c r="T177" s="122" t="s">
        <v>1518</v>
      </c>
      <c r="U177" s="7"/>
      <c r="V177" s="7"/>
      <c r="W177" s="122" t="s">
        <v>1518</v>
      </c>
      <c r="X177" s="122"/>
      <c r="Y177" s="122"/>
      <c r="Z177" s="7"/>
      <c r="AA177" s="7"/>
      <c r="AB177" s="7"/>
      <c r="AC177" s="7"/>
      <c r="AD177" s="7"/>
      <c r="AE177" s="7">
        <v>1</v>
      </c>
      <c r="AF177" s="7"/>
      <c r="AG177" s="7"/>
      <c r="AH177" s="7"/>
      <c r="AI177" s="7"/>
      <c r="AJ177" s="7"/>
      <c r="AK177" s="7">
        <v>1</v>
      </c>
      <c r="AL177" s="7"/>
      <c r="AM177" s="16">
        <v>44887</v>
      </c>
      <c r="AN177" s="4"/>
      <c r="AO177" s="4" t="s">
        <v>177</v>
      </c>
      <c r="AP177" s="4"/>
      <c r="AQ177" s="4"/>
      <c r="AR177" s="4"/>
      <c r="AS177" s="11">
        <v>450</v>
      </c>
      <c r="AT177" s="11"/>
      <c r="AU177" s="11"/>
      <c r="AV177" s="11"/>
      <c r="AW177" s="4"/>
      <c r="AX177" s="4">
        <f t="shared" si="12"/>
        <v>2</v>
      </c>
      <c r="AY177" s="93"/>
      <c r="AZ177" s="4">
        <v>3</v>
      </c>
    </row>
    <row r="178" spans="1:52" ht="14.25" customHeight="1" x14ac:dyDescent="0.25">
      <c r="B178" s="112" t="s">
        <v>200</v>
      </c>
      <c r="C178" s="6" t="s">
        <v>1153</v>
      </c>
      <c r="D178" s="8" t="s">
        <v>4</v>
      </c>
      <c r="E178" s="8" t="s">
        <v>17</v>
      </c>
      <c r="F178" s="9">
        <v>15</v>
      </c>
      <c r="G178" s="9" t="s">
        <v>962</v>
      </c>
      <c r="H178" s="9"/>
      <c r="I178" s="7"/>
      <c r="J178" s="7"/>
      <c r="K178" s="7"/>
      <c r="L178" s="7" t="s">
        <v>14</v>
      </c>
      <c r="M178" s="122" t="s">
        <v>1518</v>
      </c>
      <c r="N178" s="122" t="s">
        <v>1518</v>
      </c>
      <c r="O178" s="122"/>
      <c r="P178" s="96" t="s">
        <v>1522</v>
      </c>
      <c r="Q178" s="7"/>
      <c r="R178" s="93">
        <v>6.6504573401146532</v>
      </c>
      <c r="S178" s="93">
        <v>132.85496691480569</v>
      </c>
      <c r="T178" s="122" t="s">
        <v>1518</v>
      </c>
      <c r="U178" s="7"/>
      <c r="V178" s="7"/>
      <c r="W178" s="122" t="s">
        <v>1518</v>
      </c>
      <c r="X178" s="122"/>
      <c r="Y178" s="122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16">
        <v>44169</v>
      </c>
      <c r="AN178" s="4"/>
      <c r="AO178" s="6" t="s">
        <v>1016</v>
      </c>
      <c r="AP178" s="4" t="s">
        <v>177</v>
      </c>
      <c r="AQ178" s="4"/>
      <c r="AR178" s="4"/>
      <c r="AS178" s="11">
        <v>95.7</v>
      </c>
      <c r="AT178" s="11">
        <v>335</v>
      </c>
      <c r="AU178" s="11"/>
      <c r="AV178" s="11"/>
      <c r="AW178" s="4" t="s">
        <v>1823</v>
      </c>
      <c r="AX178" s="4">
        <f t="shared" si="12"/>
        <v>0</v>
      </c>
      <c r="AY178" s="93"/>
      <c r="AZ178" s="4">
        <v>4</v>
      </c>
    </row>
    <row r="179" spans="1:52" ht="14.25" customHeight="1" x14ac:dyDescent="0.25">
      <c r="B179" s="112" t="s">
        <v>201</v>
      </c>
      <c r="C179" s="6" t="s">
        <v>1154</v>
      </c>
      <c r="D179" s="8" t="s">
        <v>4</v>
      </c>
      <c r="E179" s="8" t="s">
        <v>17</v>
      </c>
      <c r="F179" s="9">
        <v>34</v>
      </c>
      <c r="G179" s="9" t="s">
        <v>962</v>
      </c>
      <c r="H179" s="9"/>
      <c r="I179" s="7"/>
      <c r="J179" s="7"/>
      <c r="K179" s="7"/>
      <c r="L179" s="7"/>
      <c r="M179" s="122"/>
      <c r="N179" s="122"/>
      <c r="O179" s="122"/>
      <c r="P179" s="96"/>
      <c r="Q179" s="7"/>
      <c r="R179" s="93">
        <v>0.45503246007975701</v>
      </c>
      <c r="S179" s="93">
        <v>118.64233064516127</v>
      </c>
      <c r="T179" s="122" t="s">
        <v>1518</v>
      </c>
      <c r="U179" s="7"/>
      <c r="V179" s="7"/>
      <c r="W179" s="122" t="s">
        <v>1518</v>
      </c>
      <c r="X179" s="122"/>
      <c r="Y179" s="122" t="s">
        <v>1518</v>
      </c>
      <c r="Z179" s="7"/>
      <c r="AA179" s="7"/>
      <c r="AB179" s="7"/>
      <c r="AC179" s="7"/>
      <c r="AD179" s="7"/>
      <c r="AE179" s="7">
        <v>1</v>
      </c>
      <c r="AF179" s="7"/>
      <c r="AG179" s="7"/>
      <c r="AH179" s="7"/>
      <c r="AI179" s="7"/>
      <c r="AJ179" s="7"/>
      <c r="AK179" s="7">
        <v>1</v>
      </c>
      <c r="AL179" s="7"/>
      <c r="AM179" s="16">
        <v>44169</v>
      </c>
      <c r="AN179" s="4"/>
      <c r="AO179" s="4" t="s">
        <v>178</v>
      </c>
      <c r="AP179" s="4" t="s">
        <v>177</v>
      </c>
      <c r="AQ179" s="4"/>
      <c r="AR179" s="4"/>
      <c r="AS179" s="11">
        <v>30</v>
      </c>
      <c r="AT179" s="11">
        <v>345</v>
      </c>
      <c r="AU179" s="11"/>
      <c r="AV179" s="11"/>
      <c r="AW179" s="4"/>
      <c r="AX179" s="4">
        <f t="shared" si="12"/>
        <v>2</v>
      </c>
      <c r="AY179" s="93"/>
      <c r="AZ179" s="4">
        <v>3</v>
      </c>
    </row>
    <row r="180" spans="1:52" ht="14.25" customHeight="1" x14ac:dyDescent="0.25">
      <c r="B180" s="112" t="s">
        <v>946</v>
      </c>
      <c r="C180" s="6" t="s">
        <v>1155</v>
      </c>
      <c r="D180" s="8" t="s">
        <v>4</v>
      </c>
      <c r="E180" s="8" t="s">
        <v>13</v>
      </c>
      <c r="F180" s="9">
        <v>4</v>
      </c>
      <c r="G180" s="9"/>
      <c r="H180" s="9"/>
      <c r="I180" s="7"/>
      <c r="J180" s="7"/>
      <c r="K180" s="7"/>
      <c r="L180" s="7"/>
      <c r="M180" s="122"/>
      <c r="N180" s="122"/>
      <c r="O180" s="122"/>
      <c r="P180" s="96"/>
      <c r="Q180" s="7"/>
      <c r="R180" s="93">
        <v>4.5893212685087947E-2</v>
      </c>
      <c r="S180" s="93">
        <v>76.252499999999827</v>
      </c>
      <c r="T180" s="122" t="s">
        <v>1518</v>
      </c>
      <c r="U180" s="7"/>
      <c r="V180" s="7"/>
      <c r="W180" s="122" t="s">
        <v>1518</v>
      </c>
      <c r="X180" s="122"/>
      <c r="Y180" s="122"/>
      <c r="Z180" s="7"/>
      <c r="AA180" s="7">
        <v>1</v>
      </c>
      <c r="AB180" s="7"/>
      <c r="AC180" s="7"/>
      <c r="AD180" s="7">
        <v>1</v>
      </c>
      <c r="AE180" s="7"/>
      <c r="AF180" s="7"/>
      <c r="AG180" s="7"/>
      <c r="AH180" s="7"/>
      <c r="AI180" s="7"/>
      <c r="AJ180" s="7"/>
      <c r="AK180" s="7"/>
      <c r="AL180" s="7"/>
      <c r="AM180" s="16">
        <v>44169</v>
      </c>
      <c r="AN180" s="4"/>
      <c r="AO180" s="4" t="s">
        <v>142</v>
      </c>
      <c r="AP180" s="4"/>
      <c r="AQ180" s="4"/>
      <c r="AR180" s="4"/>
      <c r="AS180" s="11">
        <v>480</v>
      </c>
      <c r="AT180" s="11"/>
      <c r="AU180" s="11"/>
      <c r="AV180" s="11"/>
      <c r="AW180" s="4"/>
      <c r="AX180" s="4">
        <f t="shared" si="12"/>
        <v>2</v>
      </c>
      <c r="AY180" s="93"/>
      <c r="AZ180" s="4">
        <v>0.75</v>
      </c>
    </row>
    <row r="181" spans="1:52" ht="14.25" customHeight="1" x14ac:dyDescent="0.25">
      <c r="B181" s="112" t="s">
        <v>945</v>
      </c>
      <c r="C181" s="6" t="s">
        <v>1156</v>
      </c>
      <c r="D181" s="8" t="s">
        <v>4</v>
      </c>
      <c r="E181" s="8" t="s">
        <v>88</v>
      </c>
      <c r="F181" s="9">
        <v>4</v>
      </c>
      <c r="G181" s="9"/>
      <c r="H181" s="9"/>
      <c r="I181" s="7"/>
      <c r="J181" s="7"/>
      <c r="K181" s="7"/>
      <c r="L181" s="7"/>
      <c r="M181" s="122"/>
      <c r="N181" s="122"/>
      <c r="O181" s="122"/>
      <c r="P181" s="96"/>
      <c r="Q181" s="7"/>
      <c r="R181" s="93">
        <v>4.5893212685087947E-2</v>
      </c>
      <c r="S181" s="93">
        <v>76.252499999999827</v>
      </c>
      <c r="T181" s="122" t="s">
        <v>1518</v>
      </c>
      <c r="U181" s="7"/>
      <c r="V181" s="7"/>
      <c r="W181" s="122" t="s">
        <v>1518</v>
      </c>
      <c r="X181" s="122"/>
      <c r="Y181" s="122"/>
      <c r="Z181" s="7"/>
      <c r="AA181" s="7">
        <v>1</v>
      </c>
      <c r="AB181" s="7"/>
      <c r="AC181" s="7"/>
      <c r="AD181" s="7">
        <v>1</v>
      </c>
      <c r="AE181" s="7"/>
      <c r="AF181" s="7"/>
      <c r="AG181" s="7"/>
      <c r="AH181" s="7"/>
      <c r="AI181" s="7"/>
      <c r="AJ181" s="7"/>
      <c r="AK181" s="7"/>
      <c r="AL181" s="7"/>
      <c r="AM181" s="16">
        <v>44169</v>
      </c>
      <c r="AN181" s="4"/>
      <c r="AO181" s="4" t="s">
        <v>142</v>
      </c>
      <c r="AP181" s="4"/>
      <c r="AQ181" s="4"/>
      <c r="AR181" s="4"/>
      <c r="AS181" s="11">
        <v>480</v>
      </c>
      <c r="AT181" s="11"/>
      <c r="AU181" s="11"/>
      <c r="AV181" s="11"/>
      <c r="AW181" s="4"/>
      <c r="AX181" s="4">
        <f t="shared" si="12"/>
        <v>2</v>
      </c>
      <c r="AY181" s="93"/>
      <c r="AZ181" s="4">
        <v>0.75</v>
      </c>
    </row>
    <row r="182" spans="1:52" ht="14.25" customHeight="1" x14ac:dyDescent="0.25">
      <c r="B182" s="112" t="s">
        <v>1157</v>
      </c>
      <c r="C182" s="6" t="s">
        <v>1158</v>
      </c>
      <c r="D182" s="8" t="s">
        <v>4</v>
      </c>
      <c r="E182" s="8" t="s">
        <v>17</v>
      </c>
      <c r="F182" s="9">
        <v>4</v>
      </c>
      <c r="G182" s="9"/>
      <c r="H182" s="9"/>
      <c r="I182" s="7"/>
      <c r="J182" s="7"/>
      <c r="K182" s="7"/>
      <c r="L182" s="7"/>
      <c r="M182" s="122"/>
      <c r="N182" s="122"/>
      <c r="O182" s="122"/>
      <c r="P182" s="96"/>
      <c r="Q182" s="7"/>
      <c r="R182" s="93">
        <v>4.5893212685087947E-2</v>
      </c>
      <c r="S182" s="93">
        <v>76.252499999999827</v>
      </c>
      <c r="T182" s="122" t="s">
        <v>1518</v>
      </c>
      <c r="U182" s="7"/>
      <c r="V182" s="7"/>
      <c r="W182" s="122" t="s">
        <v>1518</v>
      </c>
      <c r="X182" s="122"/>
      <c r="Y182" s="122"/>
      <c r="Z182" s="7"/>
      <c r="AA182" s="7">
        <v>1</v>
      </c>
      <c r="AB182" s="7"/>
      <c r="AC182" s="7"/>
      <c r="AD182" s="7">
        <v>1</v>
      </c>
      <c r="AE182" s="7"/>
      <c r="AF182" s="7"/>
      <c r="AG182" s="7"/>
      <c r="AH182" s="7"/>
      <c r="AI182" s="7"/>
      <c r="AJ182" s="7"/>
      <c r="AK182" s="7"/>
      <c r="AL182" s="7"/>
      <c r="AM182" s="16">
        <v>44169</v>
      </c>
      <c r="AN182" s="4"/>
      <c r="AO182" s="4" t="s">
        <v>142</v>
      </c>
      <c r="AP182" s="4"/>
      <c r="AQ182" s="4"/>
      <c r="AR182" s="4"/>
      <c r="AS182" s="11">
        <v>480</v>
      </c>
      <c r="AT182" s="11"/>
      <c r="AU182" s="11"/>
      <c r="AV182" s="11"/>
      <c r="AW182" s="4"/>
      <c r="AX182" s="4">
        <f t="shared" si="12"/>
        <v>2</v>
      </c>
      <c r="AY182" s="93"/>
      <c r="AZ182" s="4">
        <v>0.75</v>
      </c>
    </row>
    <row r="183" spans="1:52" ht="14.25" customHeight="1" x14ac:dyDescent="0.25">
      <c r="B183" s="112" t="s">
        <v>1441</v>
      </c>
      <c r="C183" s="6" t="s">
        <v>1442</v>
      </c>
      <c r="D183" s="8" t="s">
        <v>4</v>
      </c>
      <c r="E183" s="8" t="s">
        <v>64</v>
      </c>
      <c r="F183" s="9">
        <v>4</v>
      </c>
      <c r="G183" s="9"/>
      <c r="H183" s="9"/>
      <c r="I183" s="7"/>
      <c r="J183" s="7"/>
      <c r="K183" s="7"/>
      <c r="L183" s="7"/>
      <c r="M183" s="122"/>
      <c r="N183" s="122"/>
      <c r="O183" s="122"/>
      <c r="P183" s="96"/>
      <c r="Q183" s="7"/>
      <c r="R183" s="93">
        <v>5.0687245008221716E-4</v>
      </c>
      <c r="S183" s="93">
        <v>28.888303448275934</v>
      </c>
      <c r="T183" s="122" t="s">
        <v>1518</v>
      </c>
      <c r="U183" s="7"/>
      <c r="V183" s="7"/>
      <c r="W183" s="122"/>
      <c r="X183" s="122"/>
      <c r="Y183" s="122"/>
      <c r="Z183" s="7"/>
      <c r="AA183" s="7"/>
      <c r="AB183" s="7">
        <v>1</v>
      </c>
      <c r="AC183" s="7"/>
      <c r="AD183" s="7"/>
      <c r="AE183" s="7"/>
      <c r="AF183" s="7"/>
      <c r="AG183" s="7"/>
      <c r="AH183" s="7"/>
      <c r="AI183" s="7"/>
      <c r="AJ183" s="7"/>
      <c r="AK183" s="7"/>
      <c r="AL183" s="7">
        <v>1</v>
      </c>
      <c r="AM183" s="16">
        <v>44169</v>
      </c>
      <c r="AN183" s="4"/>
      <c r="AO183" s="11" t="s">
        <v>126</v>
      </c>
      <c r="AP183" s="4"/>
      <c r="AQ183" s="4"/>
      <c r="AR183" s="4"/>
      <c r="AS183" s="11">
        <v>103</v>
      </c>
      <c r="AT183" s="11"/>
      <c r="AU183" s="11"/>
      <c r="AV183" s="11"/>
      <c r="AW183" s="4"/>
      <c r="AX183" s="4">
        <f t="shared" si="12"/>
        <v>2</v>
      </c>
      <c r="AY183" s="93">
        <v>1</v>
      </c>
      <c r="AZ183" s="4">
        <v>1.2</v>
      </c>
    </row>
    <row r="184" spans="1:52" ht="14.25" customHeight="1" x14ac:dyDescent="0.25">
      <c r="B184" s="112" t="s">
        <v>1159</v>
      </c>
      <c r="C184" s="6" t="s">
        <v>1160</v>
      </c>
      <c r="D184" s="9" t="s">
        <v>3</v>
      </c>
      <c r="E184" s="9" t="s">
        <v>54</v>
      </c>
      <c r="F184" s="9">
        <v>3</v>
      </c>
      <c r="G184" s="9"/>
      <c r="H184" s="9"/>
      <c r="I184" s="7"/>
      <c r="J184" s="7"/>
      <c r="K184" s="7"/>
      <c r="L184" s="7" t="s">
        <v>14</v>
      </c>
      <c r="M184" s="122"/>
      <c r="N184" s="122"/>
      <c r="O184" s="122"/>
      <c r="P184" s="96"/>
      <c r="Q184" s="14">
        <v>0.3</v>
      </c>
      <c r="R184" s="93">
        <v>2.0910301679515646</v>
      </c>
      <c r="S184" s="93">
        <v>6.9730576441102894</v>
      </c>
      <c r="T184" s="122" t="s">
        <v>1518</v>
      </c>
      <c r="U184" s="7"/>
      <c r="V184" s="7"/>
      <c r="W184" s="122" t="s">
        <v>1518</v>
      </c>
      <c r="X184" s="124"/>
      <c r="Y184" s="124"/>
      <c r="Z184" s="12"/>
      <c r="AA184" s="7">
        <v>1</v>
      </c>
      <c r="AB184" s="7">
        <v>1</v>
      </c>
      <c r="AC184" s="7">
        <v>1</v>
      </c>
      <c r="AD184" s="7"/>
      <c r="AE184" s="7">
        <v>1</v>
      </c>
      <c r="AF184" s="7"/>
      <c r="AG184" s="7"/>
      <c r="AH184" s="7"/>
      <c r="AI184" s="7"/>
      <c r="AJ184" s="7"/>
      <c r="AK184" s="7"/>
      <c r="AL184" s="7"/>
      <c r="AM184" s="16">
        <v>44169</v>
      </c>
      <c r="AN184" s="4"/>
      <c r="AO184" s="6" t="s">
        <v>1014</v>
      </c>
      <c r="AP184" s="4"/>
      <c r="AQ184" s="4"/>
      <c r="AR184" s="4"/>
      <c r="AS184" s="11">
        <v>250</v>
      </c>
      <c r="AT184" s="11"/>
      <c r="AU184" s="11"/>
      <c r="AV184" s="11"/>
      <c r="AW184" s="4"/>
      <c r="AX184" s="4">
        <f t="shared" si="12"/>
        <v>4</v>
      </c>
      <c r="AY184" s="93"/>
      <c r="AZ184" s="4">
        <v>0.5</v>
      </c>
    </row>
    <row r="185" spans="1:52" s="52" customFormat="1" ht="15.75" customHeight="1" x14ac:dyDescent="0.25">
      <c r="A185" s="1"/>
      <c r="B185" s="112" t="s">
        <v>202</v>
      </c>
      <c r="C185" s="6" t="s">
        <v>1161</v>
      </c>
      <c r="D185" s="8" t="s">
        <v>4</v>
      </c>
      <c r="E185" s="8" t="s">
        <v>54</v>
      </c>
      <c r="F185" s="9">
        <v>12</v>
      </c>
      <c r="G185" s="9"/>
      <c r="H185" s="9"/>
      <c r="I185" s="7"/>
      <c r="J185" s="7"/>
      <c r="K185" s="7"/>
      <c r="L185" s="7"/>
      <c r="M185" s="122"/>
      <c r="N185" s="122"/>
      <c r="O185" s="122"/>
      <c r="P185" s="96"/>
      <c r="Q185" s="14">
        <v>0.3</v>
      </c>
      <c r="R185" s="93">
        <v>25.652657731866491</v>
      </c>
      <c r="S185" s="93">
        <v>330.9570312499996</v>
      </c>
      <c r="T185" s="122" t="s">
        <v>1518</v>
      </c>
      <c r="U185" s="7"/>
      <c r="V185" s="7"/>
      <c r="W185" s="122"/>
      <c r="X185" s="122"/>
      <c r="Y185" s="122"/>
      <c r="Z185" s="7"/>
      <c r="AA185" s="7">
        <v>1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16">
        <v>44169</v>
      </c>
      <c r="AN185" s="4"/>
      <c r="AO185" s="6" t="s">
        <v>999</v>
      </c>
      <c r="AP185" s="4"/>
      <c r="AQ185" s="4"/>
      <c r="AR185" s="4"/>
      <c r="AS185" s="11">
        <v>500</v>
      </c>
      <c r="AT185" s="11"/>
      <c r="AU185" s="11"/>
      <c r="AV185" s="11"/>
      <c r="AW185" s="4"/>
      <c r="AX185" s="4">
        <f t="shared" si="12"/>
        <v>1</v>
      </c>
      <c r="AY185" s="93"/>
      <c r="AZ185" s="4">
        <v>0.375</v>
      </c>
    </row>
    <row r="186" spans="1:52" ht="15.75" customHeight="1" x14ac:dyDescent="0.25">
      <c r="A186" s="52"/>
      <c r="B186" s="112" t="s">
        <v>204</v>
      </c>
      <c r="C186" s="6" t="s">
        <v>1162</v>
      </c>
      <c r="D186" s="8" t="s">
        <v>4</v>
      </c>
      <c r="E186" s="8" t="s">
        <v>29</v>
      </c>
      <c r="F186" s="9">
        <v>4</v>
      </c>
      <c r="G186" s="9"/>
      <c r="H186" s="9"/>
      <c r="I186" s="7"/>
      <c r="J186" s="7"/>
      <c r="K186" s="7"/>
      <c r="L186" s="7"/>
      <c r="M186" s="122"/>
      <c r="N186" s="122"/>
      <c r="O186" s="122"/>
      <c r="P186" s="96"/>
      <c r="Q186" s="7"/>
      <c r="R186" s="93">
        <v>0.39355336380053729</v>
      </c>
      <c r="S186" s="93">
        <v>0.32534399999999936</v>
      </c>
      <c r="T186" s="122" t="s">
        <v>1518</v>
      </c>
      <c r="U186" s="7"/>
      <c r="V186" s="7"/>
      <c r="W186" s="122" t="s">
        <v>1518</v>
      </c>
      <c r="X186" s="122"/>
      <c r="Y186" s="122" t="s">
        <v>1518</v>
      </c>
      <c r="Z186" s="7"/>
      <c r="AA186" s="7">
        <v>1</v>
      </c>
      <c r="AB186" s="7"/>
      <c r="AC186" s="7">
        <v>1</v>
      </c>
      <c r="AD186" s="7"/>
      <c r="AE186" s="7"/>
      <c r="AF186" s="7"/>
      <c r="AG186" s="7">
        <v>1</v>
      </c>
      <c r="AH186" s="7"/>
      <c r="AI186" s="7"/>
      <c r="AJ186" s="7"/>
      <c r="AK186" s="7"/>
      <c r="AL186" s="7">
        <v>1</v>
      </c>
      <c r="AM186" s="16">
        <v>44169</v>
      </c>
      <c r="AN186" s="4"/>
      <c r="AO186" s="11" t="s">
        <v>205</v>
      </c>
      <c r="AP186" s="4"/>
      <c r="AQ186" s="4"/>
      <c r="AR186" s="4"/>
      <c r="AS186" s="11">
        <v>400</v>
      </c>
      <c r="AT186" s="11"/>
      <c r="AU186" s="11"/>
      <c r="AV186" s="11"/>
      <c r="AW186" s="4"/>
      <c r="AX186" s="4">
        <f t="shared" si="12"/>
        <v>4</v>
      </c>
      <c r="AY186" s="93"/>
      <c r="AZ186" s="4">
        <v>4</v>
      </c>
    </row>
    <row r="187" spans="1:52" ht="14.25" customHeight="1" x14ac:dyDescent="0.25">
      <c r="B187" s="112" t="s">
        <v>920</v>
      </c>
      <c r="C187" s="6" t="s">
        <v>1163</v>
      </c>
      <c r="D187" s="9" t="s">
        <v>3</v>
      </c>
      <c r="E187" s="9" t="s">
        <v>26</v>
      </c>
      <c r="F187" s="9">
        <v>40</v>
      </c>
      <c r="G187" s="9">
        <v>45</v>
      </c>
      <c r="H187" s="9"/>
      <c r="I187" s="7"/>
      <c r="J187" s="7"/>
      <c r="K187" s="7"/>
      <c r="L187" s="7"/>
      <c r="M187" s="122"/>
      <c r="N187" s="122"/>
      <c r="O187" s="122"/>
      <c r="P187" s="96"/>
      <c r="Q187" s="7"/>
      <c r="R187" s="93">
        <v>0.70864045903439876</v>
      </c>
      <c r="S187" s="93">
        <v>0.17156515196811159</v>
      </c>
      <c r="T187" s="122"/>
      <c r="U187" s="7"/>
      <c r="V187" s="7"/>
      <c r="W187" s="122"/>
      <c r="X187" s="122"/>
      <c r="Y187" s="122"/>
      <c r="Z187" s="7"/>
      <c r="AA187" s="7"/>
      <c r="AB187" s="7"/>
      <c r="AC187" s="7">
        <v>1</v>
      </c>
      <c r="AD187" s="7"/>
      <c r="AE187" s="7"/>
      <c r="AF187" s="7"/>
      <c r="AG187" s="7"/>
      <c r="AH187" s="7"/>
      <c r="AI187" s="7"/>
      <c r="AJ187" s="7"/>
      <c r="AK187" s="7"/>
      <c r="AL187" s="7"/>
      <c r="AM187" s="16">
        <v>44169</v>
      </c>
      <c r="AN187" s="4"/>
      <c r="AO187" s="6" t="s">
        <v>1001</v>
      </c>
      <c r="AP187" s="4" t="s">
        <v>666</v>
      </c>
      <c r="AQ187" s="4"/>
      <c r="AR187" s="4"/>
      <c r="AS187" s="11">
        <v>225</v>
      </c>
      <c r="AT187" s="11">
        <v>300</v>
      </c>
      <c r="AU187" s="11"/>
      <c r="AV187" s="11"/>
      <c r="AW187" s="4"/>
      <c r="AX187" s="4">
        <f t="shared" si="12"/>
        <v>1</v>
      </c>
      <c r="AY187" s="93"/>
      <c r="AZ187" s="4">
        <v>0.8</v>
      </c>
    </row>
    <row r="188" spans="1:52" ht="14.25" customHeight="1" x14ac:dyDescent="0.25">
      <c r="B188" s="112" t="s">
        <v>206</v>
      </c>
      <c r="C188" s="6" t="s">
        <v>1164</v>
      </c>
      <c r="D188" s="9" t="s">
        <v>4</v>
      </c>
      <c r="E188" s="8" t="s">
        <v>29</v>
      </c>
      <c r="F188" s="9">
        <v>15</v>
      </c>
      <c r="G188" s="9"/>
      <c r="H188" s="9"/>
      <c r="I188" s="7">
        <v>20</v>
      </c>
      <c r="J188" s="7"/>
      <c r="K188" s="7"/>
      <c r="L188" s="7" t="s">
        <v>80</v>
      </c>
      <c r="M188" s="122" t="s">
        <v>1518</v>
      </c>
      <c r="N188" s="122" t="s">
        <v>1518</v>
      </c>
      <c r="O188" s="122" t="s">
        <v>1518</v>
      </c>
      <c r="P188" s="149" t="s">
        <v>180</v>
      </c>
      <c r="Q188" s="7"/>
      <c r="R188" s="93">
        <v>2.957136781681764</v>
      </c>
      <c r="S188" s="93">
        <v>94.188854041013286</v>
      </c>
      <c r="T188" s="122" t="s">
        <v>1518</v>
      </c>
      <c r="U188" s="7"/>
      <c r="V188" s="7"/>
      <c r="W188" s="122" t="s">
        <v>1518</v>
      </c>
      <c r="X188" s="122"/>
      <c r="Y188" s="122" t="s">
        <v>1518</v>
      </c>
      <c r="Z188" s="7"/>
      <c r="AA188" s="7"/>
      <c r="AB188" s="7"/>
      <c r="AC188" s="7"/>
      <c r="AD188" s="7">
        <v>3</v>
      </c>
      <c r="AE188" s="7"/>
      <c r="AF188" s="7">
        <v>3</v>
      </c>
      <c r="AG188" s="7"/>
      <c r="AH188" s="7"/>
      <c r="AI188" s="7"/>
      <c r="AJ188" s="7"/>
      <c r="AK188" s="7"/>
      <c r="AL188" s="7"/>
      <c r="AM188" s="16">
        <v>44169</v>
      </c>
      <c r="AN188" s="4"/>
      <c r="AO188" s="6" t="s">
        <v>990</v>
      </c>
      <c r="AP188" s="4"/>
      <c r="AQ188" s="4"/>
      <c r="AR188" s="4"/>
      <c r="AS188" s="11">
        <v>960</v>
      </c>
      <c r="AT188" s="11"/>
      <c r="AU188" s="11"/>
      <c r="AV188" s="11"/>
      <c r="AW188" s="4" t="s">
        <v>1825</v>
      </c>
      <c r="AX188" s="4">
        <f t="shared" si="12"/>
        <v>6</v>
      </c>
      <c r="AY188" s="93"/>
      <c r="AZ188" s="4">
        <v>1.6</v>
      </c>
    </row>
    <row r="189" spans="1:52" ht="14.25" customHeight="1" x14ac:dyDescent="0.25">
      <c r="B189" s="116" t="s">
        <v>931</v>
      </c>
      <c r="C189" s="6" t="s">
        <v>1164</v>
      </c>
      <c r="D189" s="54" t="s">
        <v>4</v>
      </c>
      <c r="E189" s="8" t="s">
        <v>29</v>
      </c>
      <c r="F189" s="9">
        <v>15</v>
      </c>
      <c r="G189" s="9"/>
      <c r="H189" s="9"/>
      <c r="I189" s="7">
        <v>6</v>
      </c>
      <c r="J189" s="50"/>
      <c r="K189" s="50"/>
      <c r="L189" s="7" t="s">
        <v>120</v>
      </c>
      <c r="M189" s="123" t="s">
        <v>1518</v>
      </c>
      <c r="N189" s="122" t="s">
        <v>1518</v>
      </c>
      <c r="O189" s="123" t="s">
        <v>1518</v>
      </c>
      <c r="P189" s="148" t="s">
        <v>180</v>
      </c>
      <c r="Q189" s="50"/>
      <c r="R189" s="93">
        <v>1.8482104885511026</v>
      </c>
      <c r="S189" s="93">
        <v>58.868033775633307</v>
      </c>
      <c r="T189" s="123" t="s">
        <v>1518</v>
      </c>
      <c r="U189" s="50"/>
      <c r="V189" s="50"/>
      <c r="W189" s="123" t="s">
        <v>1518</v>
      </c>
      <c r="X189" s="123"/>
      <c r="Y189" s="123" t="s">
        <v>1518</v>
      </c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16">
        <v>44169</v>
      </c>
      <c r="AN189" s="4"/>
      <c r="AO189" s="6" t="s">
        <v>990</v>
      </c>
      <c r="AP189" s="51"/>
      <c r="AQ189" s="51"/>
      <c r="AR189" s="51"/>
      <c r="AS189" s="53">
        <v>960</v>
      </c>
      <c r="AT189" s="53"/>
      <c r="AU189" s="53"/>
      <c r="AV189" s="53"/>
      <c r="AW189" s="4" t="s">
        <v>1825</v>
      </c>
      <c r="AX189" s="4">
        <f t="shared" si="12"/>
        <v>0</v>
      </c>
      <c r="AY189" s="94"/>
      <c r="AZ189" s="4">
        <v>1</v>
      </c>
    </row>
    <row r="190" spans="1:52" ht="14.25" customHeight="1" x14ac:dyDescent="0.25">
      <c r="B190" s="112" t="s">
        <v>1640</v>
      </c>
      <c r="C190" s="6" t="s">
        <v>1642</v>
      </c>
      <c r="D190" s="8" t="s">
        <v>4</v>
      </c>
      <c r="E190" s="9"/>
      <c r="F190" s="9">
        <v>14</v>
      </c>
      <c r="G190" s="9"/>
      <c r="H190" s="9"/>
      <c r="I190" s="7">
        <v>20</v>
      </c>
      <c r="J190" s="7">
        <v>20</v>
      </c>
      <c r="K190" s="7"/>
      <c r="L190" s="7" t="s">
        <v>80</v>
      </c>
      <c r="M190" s="122"/>
      <c r="N190" s="122"/>
      <c r="O190" s="122"/>
      <c r="P190" s="96"/>
      <c r="Q190" s="7"/>
      <c r="R190" s="93">
        <v>8.2530898715917562</v>
      </c>
      <c r="S190" s="93">
        <v>769.78714285714273</v>
      </c>
      <c r="T190" s="122" t="s">
        <v>1518</v>
      </c>
      <c r="U190" s="7"/>
      <c r="V190" s="7"/>
      <c r="W190" s="122" t="s">
        <v>1518</v>
      </c>
      <c r="X190" s="122"/>
      <c r="Y190" s="122"/>
      <c r="Z190" s="7"/>
      <c r="AA190" s="7"/>
      <c r="AB190" s="7"/>
      <c r="AC190" s="7">
        <v>1</v>
      </c>
      <c r="AD190" s="7"/>
      <c r="AE190" s="7"/>
      <c r="AF190" s="7"/>
      <c r="AG190" s="7"/>
      <c r="AH190" s="7"/>
      <c r="AI190" s="7"/>
      <c r="AJ190" s="7"/>
      <c r="AK190" s="7"/>
      <c r="AL190" s="7"/>
      <c r="AM190" s="16">
        <v>44540</v>
      </c>
      <c r="AN190" s="4"/>
      <c r="AO190" s="6" t="s">
        <v>1025</v>
      </c>
      <c r="AP190" s="4"/>
      <c r="AQ190" s="4"/>
      <c r="AR190" s="4"/>
      <c r="AS190" s="11">
        <v>10.6</v>
      </c>
      <c r="AT190" s="11"/>
      <c r="AU190" s="11"/>
      <c r="AV190" s="11"/>
      <c r="AW190" s="4"/>
      <c r="AX190" s="4">
        <f t="shared" si="12"/>
        <v>1</v>
      </c>
      <c r="AY190" s="93">
        <v>2</v>
      </c>
      <c r="AZ190" s="4">
        <v>2</v>
      </c>
    </row>
    <row r="191" spans="1:52" ht="14.25" customHeight="1" x14ac:dyDescent="0.25">
      <c r="B191" s="112" t="s">
        <v>1641</v>
      </c>
      <c r="C191" s="6" t="s">
        <v>1642</v>
      </c>
      <c r="D191" s="8" t="s">
        <v>4</v>
      </c>
      <c r="E191" s="9"/>
      <c r="F191" s="9">
        <v>14</v>
      </c>
      <c r="G191" s="9"/>
      <c r="H191" s="9"/>
      <c r="I191" s="7">
        <v>6</v>
      </c>
      <c r="J191" s="7">
        <v>6</v>
      </c>
      <c r="K191" s="7"/>
      <c r="L191" s="7" t="s">
        <v>120</v>
      </c>
      <c r="M191" s="122"/>
      <c r="N191" s="122"/>
      <c r="O191" s="122"/>
      <c r="P191" s="96"/>
      <c r="Q191" s="7"/>
      <c r="R191" s="93">
        <v>8.2530898715917562</v>
      </c>
      <c r="S191" s="93">
        <v>769.78714285714273</v>
      </c>
      <c r="T191" s="122" t="s">
        <v>1518</v>
      </c>
      <c r="U191" s="7"/>
      <c r="V191" s="7"/>
      <c r="W191" s="122" t="s">
        <v>1518</v>
      </c>
      <c r="X191" s="122"/>
      <c r="Y191" s="122"/>
      <c r="Z191" s="7"/>
      <c r="AA191" s="7"/>
      <c r="AB191" s="7"/>
      <c r="AC191" s="7">
        <v>1</v>
      </c>
      <c r="AD191" s="7"/>
      <c r="AE191" s="7"/>
      <c r="AF191" s="7"/>
      <c r="AG191" s="7"/>
      <c r="AH191" s="7"/>
      <c r="AI191" s="7"/>
      <c r="AJ191" s="7"/>
      <c r="AK191" s="7"/>
      <c r="AL191" s="7"/>
      <c r="AM191" s="16">
        <v>44540</v>
      </c>
      <c r="AN191" s="4"/>
      <c r="AO191" s="6" t="s">
        <v>1025</v>
      </c>
      <c r="AP191" s="4"/>
      <c r="AQ191" s="4"/>
      <c r="AR191" s="4"/>
      <c r="AS191" s="11">
        <v>10.6</v>
      </c>
      <c r="AT191" s="11"/>
      <c r="AU191" s="11"/>
      <c r="AV191" s="11"/>
      <c r="AW191" s="4"/>
      <c r="AX191" s="4">
        <f t="shared" si="12"/>
        <v>1</v>
      </c>
      <c r="AY191" s="93">
        <v>2</v>
      </c>
      <c r="AZ191" s="4">
        <v>2</v>
      </c>
    </row>
    <row r="192" spans="1:52" ht="14.25" customHeight="1" x14ac:dyDescent="0.25">
      <c r="B192" s="112" t="s">
        <v>207</v>
      </c>
      <c r="C192" s="6" t="s">
        <v>1165</v>
      </c>
      <c r="D192" s="9" t="s">
        <v>4</v>
      </c>
      <c r="E192" s="9" t="s">
        <v>13</v>
      </c>
      <c r="F192" s="9">
        <v>4</v>
      </c>
      <c r="G192" s="9">
        <v>4</v>
      </c>
      <c r="H192" s="9"/>
      <c r="I192" s="7">
        <v>6</v>
      </c>
      <c r="J192" s="7"/>
      <c r="K192" s="7">
        <v>20</v>
      </c>
      <c r="L192" s="7" t="s">
        <v>14</v>
      </c>
      <c r="M192" s="122"/>
      <c r="N192" s="122"/>
      <c r="O192" s="122"/>
      <c r="P192" s="96"/>
      <c r="Q192" s="7"/>
      <c r="R192" s="93">
        <v>3.0372510994003705</v>
      </c>
      <c r="S192" s="93">
        <v>406.42916940789496</v>
      </c>
      <c r="T192" s="122" t="s">
        <v>1518</v>
      </c>
      <c r="U192" s="7"/>
      <c r="V192" s="7"/>
      <c r="W192" s="122" t="s">
        <v>1518</v>
      </c>
      <c r="X192" s="122"/>
      <c r="Y192" s="122" t="s">
        <v>1518</v>
      </c>
      <c r="Z192" s="7" t="s">
        <v>7</v>
      </c>
      <c r="AA192" s="7">
        <v>1</v>
      </c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>
        <v>1</v>
      </c>
      <c r="AM192" s="16">
        <v>44540</v>
      </c>
      <c r="AN192" s="4"/>
      <c r="AO192" s="6" t="s">
        <v>1022</v>
      </c>
      <c r="AP192" s="6" t="s">
        <v>112</v>
      </c>
      <c r="AQ192" s="4"/>
      <c r="AR192" s="4"/>
      <c r="AS192" s="11">
        <v>350</v>
      </c>
      <c r="AT192" s="11">
        <v>160</v>
      </c>
      <c r="AU192" s="11"/>
      <c r="AV192" s="11"/>
      <c r="AW192" s="4"/>
      <c r="AX192" s="4">
        <f t="shared" si="12"/>
        <v>2</v>
      </c>
      <c r="AY192" s="93"/>
      <c r="AZ192" s="4">
        <v>3</v>
      </c>
    </row>
    <row r="193" spans="2:52" ht="14.25" customHeight="1" x14ac:dyDescent="0.25">
      <c r="B193" s="114" t="s">
        <v>1166</v>
      </c>
      <c r="C193" s="6" t="s">
        <v>1167</v>
      </c>
      <c r="D193" s="8" t="s">
        <v>6</v>
      </c>
      <c r="E193" s="8" t="s">
        <v>54</v>
      </c>
      <c r="F193" s="8"/>
      <c r="G193" s="8"/>
      <c r="H193" s="8"/>
      <c r="I193" s="7"/>
      <c r="J193" s="7"/>
      <c r="K193" s="7"/>
      <c r="L193" s="7"/>
      <c r="M193" s="122"/>
      <c r="N193" s="122"/>
      <c r="O193" s="122"/>
      <c r="P193" s="96" t="s">
        <v>352</v>
      </c>
      <c r="Q193" s="7"/>
      <c r="R193" s="93">
        <v>3.8850512249202587E-3</v>
      </c>
      <c r="S193" s="93">
        <v>6.8940707964601847E-2</v>
      </c>
      <c r="T193" s="122"/>
      <c r="U193" s="7"/>
      <c r="V193" s="7"/>
      <c r="W193" s="122"/>
      <c r="X193" s="122"/>
      <c r="Y193" s="122" t="s">
        <v>1518</v>
      </c>
      <c r="Z193" s="7"/>
      <c r="AA193" s="7">
        <v>2</v>
      </c>
      <c r="AB193" s="7">
        <v>2</v>
      </c>
      <c r="AC193" s="7">
        <v>2</v>
      </c>
      <c r="AD193" s="7">
        <v>2</v>
      </c>
      <c r="AE193" s="7">
        <v>2</v>
      </c>
      <c r="AF193" s="7">
        <v>2</v>
      </c>
      <c r="AG193" s="7">
        <v>2</v>
      </c>
      <c r="AH193" s="7">
        <v>2</v>
      </c>
      <c r="AI193" s="7">
        <v>2</v>
      </c>
      <c r="AJ193" s="7">
        <v>2</v>
      </c>
      <c r="AK193" s="7">
        <v>2</v>
      </c>
      <c r="AL193" s="7">
        <v>2</v>
      </c>
      <c r="AM193" s="16">
        <v>44169</v>
      </c>
      <c r="AN193" s="4"/>
      <c r="AO193" s="4" t="s">
        <v>356</v>
      </c>
      <c r="AP193" s="4"/>
      <c r="AQ193" s="4"/>
      <c r="AR193" s="4"/>
      <c r="AS193" s="11">
        <v>50</v>
      </c>
      <c r="AT193" s="11"/>
      <c r="AU193" s="11"/>
      <c r="AV193" s="11"/>
      <c r="AW193" s="4"/>
      <c r="AX193" s="4">
        <f t="shared" si="12"/>
        <v>24</v>
      </c>
      <c r="AY193" s="93"/>
      <c r="AZ193" s="4">
        <v>7</v>
      </c>
    </row>
    <row r="194" spans="2:52" ht="14.25" customHeight="1" x14ac:dyDescent="0.25">
      <c r="B194" s="112" t="s">
        <v>1168</v>
      </c>
      <c r="C194" s="6" t="s">
        <v>1169</v>
      </c>
      <c r="D194" s="8" t="s">
        <v>4</v>
      </c>
      <c r="E194" s="8" t="s">
        <v>13</v>
      </c>
      <c r="F194" s="9">
        <v>6</v>
      </c>
      <c r="G194" s="9"/>
      <c r="H194" s="9"/>
      <c r="I194" s="7"/>
      <c r="J194" s="7">
        <v>3</v>
      </c>
      <c r="K194" s="7"/>
      <c r="L194" s="7"/>
      <c r="M194" s="122" t="s">
        <v>1518</v>
      </c>
      <c r="N194" s="122" t="s">
        <v>1518</v>
      </c>
      <c r="O194" s="122" t="s">
        <v>1518</v>
      </c>
      <c r="P194" s="96" t="s">
        <v>1521</v>
      </c>
      <c r="Q194" s="7"/>
      <c r="R194" s="93">
        <v>1.0963567907586515E-2</v>
      </c>
      <c r="S194" s="93">
        <v>74.844761538461754</v>
      </c>
      <c r="T194" s="122" t="s">
        <v>1518</v>
      </c>
      <c r="U194" s="7"/>
      <c r="V194" s="7"/>
      <c r="W194" s="122" t="s">
        <v>1518</v>
      </c>
      <c r="X194" s="122"/>
      <c r="Y194" s="122" t="s">
        <v>1518</v>
      </c>
      <c r="Z194" s="7"/>
      <c r="AA194" s="7">
        <v>1</v>
      </c>
      <c r="AB194" s="7"/>
      <c r="AC194" s="7">
        <v>1</v>
      </c>
      <c r="AD194" s="7">
        <v>1</v>
      </c>
      <c r="AE194" s="7"/>
      <c r="AF194" s="7"/>
      <c r="AG194" s="7">
        <v>1</v>
      </c>
      <c r="AH194" s="7">
        <v>1</v>
      </c>
      <c r="AI194" s="7"/>
      <c r="AJ194" s="7"/>
      <c r="AK194" s="7"/>
      <c r="AL194" s="7">
        <v>1</v>
      </c>
      <c r="AM194" s="16">
        <v>44169</v>
      </c>
      <c r="AN194" s="16"/>
      <c r="AO194" s="4" t="s">
        <v>161</v>
      </c>
      <c r="AP194" s="4"/>
      <c r="AQ194" s="4"/>
      <c r="AR194" s="4"/>
      <c r="AS194" s="11">
        <v>870</v>
      </c>
      <c r="AT194" s="11"/>
      <c r="AU194" s="11"/>
      <c r="AV194" s="11"/>
      <c r="AW194" s="4"/>
      <c r="AX194" s="4">
        <f t="shared" si="12"/>
        <v>6</v>
      </c>
      <c r="AY194" s="93"/>
      <c r="AZ194" s="4">
        <v>1.1000000000000001</v>
      </c>
    </row>
    <row r="195" spans="2:52" ht="14.25" customHeight="1" x14ac:dyDescent="0.25">
      <c r="B195" s="112" t="s">
        <v>208</v>
      </c>
      <c r="C195" s="6" t="s">
        <v>1170</v>
      </c>
      <c r="D195" s="8" t="s">
        <v>4</v>
      </c>
      <c r="E195" s="9" t="s">
        <v>26</v>
      </c>
      <c r="F195" s="9">
        <v>4</v>
      </c>
      <c r="G195" s="9">
        <v>4</v>
      </c>
      <c r="H195" s="9"/>
      <c r="I195" s="7"/>
      <c r="J195" s="7"/>
      <c r="K195" s="7"/>
      <c r="L195" s="7"/>
      <c r="M195" s="122" t="s">
        <v>1518</v>
      </c>
      <c r="N195" s="122" t="s">
        <v>1518</v>
      </c>
      <c r="O195" s="122"/>
      <c r="P195" s="96"/>
      <c r="Q195" s="7"/>
      <c r="R195" s="93">
        <v>3.3386464489884443E-3</v>
      </c>
      <c r="S195" s="93">
        <v>44.97838674947316</v>
      </c>
      <c r="T195" s="122" t="s">
        <v>1518</v>
      </c>
      <c r="U195" s="7"/>
      <c r="V195" s="7"/>
      <c r="W195" s="122"/>
      <c r="X195" s="122"/>
      <c r="Y195" s="122"/>
      <c r="Z195" s="7"/>
      <c r="AA195" s="7"/>
      <c r="AB195" s="7"/>
      <c r="AC195" s="7"/>
      <c r="AD195" s="7"/>
      <c r="AE195" s="7">
        <v>1</v>
      </c>
      <c r="AF195" s="7"/>
      <c r="AG195" s="7"/>
      <c r="AH195" s="7"/>
      <c r="AI195" s="7"/>
      <c r="AJ195" s="7"/>
      <c r="AK195" s="7"/>
      <c r="AL195" s="7"/>
      <c r="AM195" s="16">
        <v>44169</v>
      </c>
      <c r="AN195" s="4"/>
      <c r="AO195" s="11" t="s">
        <v>126</v>
      </c>
      <c r="AP195" s="11" t="s">
        <v>209</v>
      </c>
      <c r="AQ195" s="4"/>
      <c r="AR195" s="4"/>
      <c r="AS195" s="11">
        <v>267</v>
      </c>
      <c r="AT195" s="11">
        <v>67</v>
      </c>
      <c r="AU195" s="11"/>
      <c r="AV195" s="11"/>
      <c r="AW195" s="4"/>
      <c r="AX195" s="4">
        <f t="shared" si="12"/>
        <v>1</v>
      </c>
      <c r="AY195" s="93">
        <v>1</v>
      </c>
      <c r="AZ195" s="4">
        <v>0.35</v>
      </c>
    </row>
    <row r="196" spans="2:52" ht="14.25" customHeight="1" x14ac:dyDescent="0.25">
      <c r="B196" s="112" t="s">
        <v>55</v>
      </c>
      <c r="C196" s="6" t="s">
        <v>1171</v>
      </c>
      <c r="D196" s="9" t="s">
        <v>3</v>
      </c>
      <c r="E196" s="8" t="s">
        <v>29</v>
      </c>
      <c r="F196" s="9">
        <v>3</v>
      </c>
      <c r="G196" s="9">
        <v>7</v>
      </c>
      <c r="H196" s="9"/>
      <c r="I196" s="7">
        <v>20</v>
      </c>
      <c r="J196" s="7"/>
      <c r="K196" s="7"/>
      <c r="L196" s="7" t="s">
        <v>14</v>
      </c>
      <c r="M196" s="122"/>
      <c r="N196" s="122"/>
      <c r="O196" s="122"/>
      <c r="P196" s="96"/>
      <c r="Q196" s="14">
        <v>0.5</v>
      </c>
      <c r="R196" s="93">
        <v>20.166795872253839</v>
      </c>
      <c r="S196" s="93">
        <v>3.3255684365781741</v>
      </c>
      <c r="T196" s="122" t="s">
        <v>1518</v>
      </c>
      <c r="U196" s="7"/>
      <c r="V196" s="7"/>
      <c r="W196" s="122" t="s">
        <v>1518</v>
      </c>
      <c r="X196" s="124"/>
      <c r="Y196" s="122" t="s">
        <v>1518</v>
      </c>
      <c r="Z196" s="12"/>
      <c r="AA196" s="7">
        <v>1</v>
      </c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16">
        <v>44169</v>
      </c>
      <c r="AN196" s="4"/>
      <c r="AO196" s="4" t="s">
        <v>15</v>
      </c>
      <c r="AP196" s="4" t="s">
        <v>56</v>
      </c>
      <c r="AQ196" s="4"/>
      <c r="AR196" s="4"/>
      <c r="AS196" s="11">
        <v>150</v>
      </c>
      <c r="AT196" s="11">
        <v>75</v>
      </c>
      <c r="AU196" s="4"/>
      <c r="AV196" s="4"/>
      <c r="AW196" s="4"/>
      <c r="AX196" s="4">
        <f t="shared" si="12"/>
        <v>1</v>
      </c>
      <c r="AY196" s="93" t="s">
        <v>935</v>
      </c>
      <c r="AZ196" s="4">
        <v>1</v>
      </c>
    </row>
    <row r="197" spans="2:52" ht="14.25" customHeight="1" x14ac:dyDescent="0.25">
      <c r="B197" s="112" t="s">
        <v>1920</v>
      </c>
      <c r="C197" s="6" t="s">
        <v>1921</v>
      </c>
      <c r="D197" s="8" t="s">
        <v>4</v>
      </c>
      <c r="E197" s="8"/>
      <c r="F197" s="9">
        <v>1</v>
      </c>
      <c r="G197" s="9"/>
      <c r="H197" s="9"/>
      <c r="I197" s="7"/>
      <c r="J197" s="7"/>
      <c r="K197" s="7"/>
      <c r="L197" s="7"/>
      <c r="M197" s="122"/>
      <c r="N197" s="122"/>
      <c r="O197" s="122"/>
      <c r="P197" s="96"/>
      <c r="Q197" s="7"/>
      <c r="R197" s="93">
        <v>0.14315582950778333</v>
      </c>
      <c r="S197" s="93">
        <v>34.914148351648379</v>
      </c>
      <c r="T197" s="122" t="s">
        <v>1518</v>
      </c>
      <c r="U197" s="7"/>
      <c r="V197" s="7"/>
      <c r="W197" s="122" t="s">
        <v>1518</v>
      </c>
      <c r="X197" s="122"/>
      <c r="Y197" s="122" t="s">
        <v>1518</v>
      </c>
      <c r="Z197" s="7"/>
      <c r="AA197" s="7"/>
      <c r="AB197" s="7">
        <v>1</v>
      </c>
      <c r="AC197" s="7">
        <v>1</v>
      </c>
      <c r="AD197" s="7"/>
      <c r="AE197" s="7">
        <v>1</v>
      </c>
      <c r="AF197" s="7">
        <v>1</v>
      </c>
      <c r="AG197" s="7">
        <v>1</v>
      </c>
      <c r="AH197" s="7">
        <v>1</v>
      </c>
      <c r="AI197" s="7">
        <v>1</v>
      </c>
      <c r="AJ197" s="7"/>
      <c r="AK197" s="7">
        <v>1</v>
      </c>
      <c r="AL197" s="7"/>
      <c r="AM197" s="16">
        <v>44169</v>
      </c>
      <c r="AN197" s="4"/>
      <c r="AO197" s="6" t="s">
        <v>1023</v>
      </c>
      <c r="AP197" s="4"/>
      <c r="AQ197" s="4"/>
      <c r="AR197" s="4"/>
      <c r="AS197" s="11">
        <v>50</v>
      </c>
      <c r="AT197" s="11"/>
      <c r="AU197" s="11"/>
      <c r="AV197" s="11"/>
      <c r="AW197" s="4"/>
      <c r="AX197" s="4">
        <f t="shared" si="12"/>
        <v>8</v>
      </c>
      <c r="AY197" s="93"/>
      <c r="AZ197" s="4">
        <v>0.75</v>
      </c>
    </row>
    <row r="198" spans="2:52" ht="14.25" customHeight="1" x14ac:dyDescent="0.25">
      <c r="B198" s="113" t="s">
        <v>1172</v>
      </c>
      <c r="C198" s="6" t="s">
        <v>1173</v>
      </c>
      <c r="D198" s="7" t="s">
        <v>3</v>
      </c>
      <c r="E198" s="8" t="s">
        <v>17</v>
      </c>
      <c r="F198" s="7">
        <v>22</v>
      </c>
      <c r="G198" s="7">
        <v>40</v>
      </c>
      <c r="H198" s="7"/>
      <c r="I198" s="7">
        <v>6</v>
      </c>
      <c r="J198" s="7"/>
      <c r="K198" s="7"/>
      <c r="L198" s="7" t="s">
        <v>14</v>
      </c>
      <c r="M198" s="122"/>
      <c r="N198" s="122"/>
      <c r="O198" s="122"/>
      <c r="P198" s="96"/>
      <c r="Q198" s="7"/>
      <c r="R198" s="93">
        <v>4.1794724500867968</v>
      </c>
      <c r="S198" s="93">
        <v>0.16371995555555557</v>
      </c>
      <c r="T198" s="122" t="s">
        <v>1518</v>
      </c>
      <c r="U198" s="7"/>
      <c r="V198" s="7"/>
      <c r="W198" s="122"/>
      <c r="X198" s="122"/>
      <c r="Y198" s="122"/>
      <c r="Z198" s="7"/>
      <c r="AA198" s="7"/>
      <c r="AB198" s="7"/>
      <c r="AC198" s="7">
        <v>1</v>
      </c>
      <c r="AD198" s="7"/>
      <c r="AE198" s="7"/>
      <c r="AF198" s="7"/>
      <c r="AG198" s="7"/>
      <c r="AH198" s="7"/>
      <c r="AI198" s="7"/>
      <c r="AJ198" s="7"/>
      <c r="AK198" s="7"/>
      <c r="AL198" s="7"/>
      <c r="AM198" s="16">
        <v>44169</v>
      </c>
      <c r="AN198" s="4"/>
      <c r="AO198" s="4" t="s">
        <v>57</v>
      </c>
      <c r="AP198" s="6" t="s">
        <v>1001</v>
      </c>
      <c r="AQ198" s="4"/>
      <c r="AR198" s="4"/>
      <c r="AS198" s="11">
        <v>180</v>
      </c>
      <c r="AT198" s="11">
        <v>180</v>
      </c>
      <c r="AU198" s="11"/>
      <c r="AV198" s="11"/>
      <c r="AW198" s="4"/>
      <c r="AX198" s="4">
        <f t="shared" si="12"/>
        <v>1</v>
      </c>
      <c r="AY198" s="93"/>
      <c r="AZ198" s="4">
        <v>1</v>
      </c>
    </row>
    <row r="199" spans="2:52" ht="14.25" customHeight="1" x14ac:dyDescent="0.25">
      <c r="B199" s="92" t="s">
        <v>365</v>
      </c>
      <c r="C199" s="6" t="s">
        <v>1667</v>
      </c>
      <c r="D199" s="7" t="s">
        <v>7</v>
      </c>
      <c r="E199" s="9" t="s">
        <v>26</v>
      </c>
      <c r="F199" s="137" t="s">
        <v>1555</v>
      </c>
      <c r="G199" s="7"/>
      <c r="H199" s="7"/>
      <c r="I199" s="7"/>
      <c r="J199" s="7"/>
      <c r="K199" s="7"/>
      <c r="L199" s="7"/>
      <c r="M199" s="122"/>
      <c r="N199" s="122"/>
      <c r="O199" s="122"/>
      <c r="P199" s="96"/>
      <c r="Q199" s="7"/>
      <c r="R199" s="93">
        <v>1.7157880588940693E-3</v>
      </c>
      <c r="S199" s="93">
        <v>2.5154589041095927</v>
      </c>
      <c r="T199" s="122" t="s">
        <v>1518</v>
      </c>
      <c r="U199" s="7"/>
      <c r="V199" s="7"/>
      <c r="W199" s="122" t="s">
        <v>1518</v>
      </c>
      <c r="X199" s="122"/>
      <c r="Y199" s="122"/>
      <c r="Z199" s="7"/>
      <c r="AA199" s="7">
        <v>1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16">
        <v>44169</v>
      </c>
      <c r="AN199" s="4"/>
      <c r="AO199" s="6" t="s">
        <v>1019</v>
      </c>
      <c r="AP199" s="4"/>
      <c r="AQ199" s="4"/>
      <c r="AR199" s="4"/>
      <c r="AS199" s="11">
        <v>660</v>
      </c>
      <c r="AT199" s="11"/>
      <c r="AU199" s="11"/>
      <c r="AV199" s="11"/>
      <c r="AW199" s="4"/>
      <c r="AX199" s="4">
        <f t="shared" ref="AX199:AX264" si="18">SUM(AA199:AL199)</f>
        <v>1</v>
      </c>
      <c r="AY199" s="93"/>
      <c r="AZ199" s="4">
        <v>0.75</v>
      </c>
    </row>
    <row r="200" spans="2:52" ht="14.25" customHeight="1" x14ac:dyDescent="0.25">
      <c r="B200" s="112" t="s">
        <v>210</v>
      </c>
      <c r="C200" s="6" t="s">
        <v>1174</v>
      </c>
      <c r="D200" s="8" t="s">
        <v>4</v>
      </c>
      <c r="E200" s="8" t="s">
        <v>29</v>
      </c>
      <c r="F200" s="9">
        <v>2</v>
      </c>
      <c r="G200" s="9">
        <v>27</v>
      </c>
      <c r="H200" s="9"/>
      <c r="I200" s="7">
        <v>6</v>
      </c>
      <c r="J200" s="7">
        <v>6</v>
      </c>
      <c r="K200" s="7"/>
      <c r="L200" s="7" t="s">
        <v>14</v>
      </c>
      <c r="M200" s="122" t="s">
        <v>1518</v>
      </c>
      <c r="N200" s="122" t="s">
        <v>1518</v>
      </c>
      <c r="O200" s="122"/>
      <c r="P200" s="96" t="s">
        <v>136</v>
      </c>
      <c r="Q200" s="14">
        <v>0.3</v>
      </c>
      <c r="R200" s="93">
        <v>2.636930249038028</v>
      </c>
      <c r="S200" s="93">
        <v>5683.8514281567986</v>
      </c>
      <c r="T200" s="122" t="s">
        <v>1518</v>
      </c>
      <c r="U200" s="7"/>
      <c r="V200" s="7"/>
      <c r="W200" s="122"/>
      <c r="X200" s="122"/>
      <c r="Y200" s="122"/>
      <c r="Z200" s="7"/>
      <c r="AA200" s="7"/>
      <c r="AB200" s="7"/>
      <c r="AC200" s="7"/>
      <c r="AD200" s="7">
        <v>3</v>
      </c>
      <c r="AE200" s="7"/>
      <c r="AF200" s="7"/>
      <c r="AG200" s="7"/>
      <c r="AH200" s="7"/>
      <c r="AI200" s="7"/>
      <c r="AJ200" s="7"/>
      <c r="AK200" s="7"/>
      <c r="AL200" s="7"/>
      <c r="AM200" s="16">
        <v>44169</v>
      </c>
      <c r="AN200" s="4"/>
      <c r="AO200" s="4" t="s">
        <v>137</v>
      </c>
      <c r="AP200" s="6" t="s">
        <v>989</v>
      </c>
      <c r="AQ200" s="4"/>
      <c r="AR200" s="4"/>
      <c r="AS200" s="11">
        <v>30</v>
      </c>
      <c r="AT200" s="11">
        <v>75</v>
      </c>
      <c r="AU200" s="11"/>
      <c r="AV200" s="11"/>
      <c r="AW200" s="4" t="s">
        <v>1824</v>
      </c>
      <c r="AX200" s="4">
        <f t="shared" si="18"/>
        <v>3</v>
      </c>
      <c r="AY200" s="93">
        <v>1</v>
      </c>
      <c r="AZ200" s="4">
        <v>2</v>
      </c>
    </row>
    <row r="201" spans="2:52" ht="14.25" customHeight="1" x14ac:dyDescent="0.25">
      <c r="B201" s="114" t="s">
        <v>1600</v>
      </c>
      <c r="C201" s="6" t="s">
        <v>1601</v>
      </c>
      <c r="D201" s="8" t="s">
        <v>5</v>
      </c>
      <c r="E201" s="9" t="s">
        <v>17</v>
      </c>
      <c r="F201" s="8">
        <v>5</v>
      </c>
      <c r="G201" s="8"/>
      <c r="H201" s="8"/>
      <c r="I201" s="7"/>
      <c r="J201" s="7"/>
      <c r="K201" s="7"/>
      <c r="L201" s="7"/>
      <c r="M201" s="122"/>
      <c r="N201" s="122"/>
      <c r="O201" s="122"/>
      <c r="P201" s="96"/>
      <c r="Q201" s="7"/>
      <c r="R201" s="93">
        <v>11.141451527874835</v>
      </c>
      <c r="S201" s="93">
        <v>593.54666666666719</v>
      </c>
      <c r="T201" s="122" t="s">
        <v>1518</v>
      </c>
      <c r="U201" s="7">
        <v>1</v>
      </c>
      <c r="V201" s="7"/>
      <c r="W201" s="122"/>
      <c r="X201" s="122"/>
      <c r="Y201" s="122"/>
      <c r="Z201" s="7"/>
      <c r="AA201" s="7">
        <v>1</v>
      </c>
      <c r="AB201" s="7"/>
      <c r="AC201" s="7">
        <v>1</v>
      </c>
      <c r="AD201" s="7">
        <v>3</v>
      </c>
      <c r="AE201" s="7">
        <v>1</v>
      </c>
      <c r="AF201" s="7"/>
      <c r="AG201" s="7"/>
      <c r="AH201" s="7"/>
      <c r="AI201" s="7"/>
      <c r="AJ201" s="7"/>
      <c r="AK201" s="7"/>
      <c r="AL201" s="7"/>
      <c r="AM201" s="16">
        <v>44540</v>
      </c>
      <c r="AN201" s="4"/>
      <c r="AO201" s="11" t="s">
        <v>318</v>
      </c>
      <c r="AP201" s="4"/>
      <c r="AQ201" s="4"/>
      <c r="AR201" s="4"/>
      <c r="AS201" s="11">
        <v>480</v>
      </c>
      <c r="AT201" s="11"/>
      <c r="AU201" s="11"/>
      <c r="AV201" s="11"/>
      <c r="AW201" s="4"/>
      <c r="AX201" s="4">
        <f t="shared" si="18"/>
        <v>6</v>
      </c>
      <c r="AY201" s="93" t="s">
        <v>936</v>
      </c>
      <c r="AZ201" s="4">
        <v>0.2</v>
      </c>
    </row>
    <row r="202" spans="2:52" ht="14.25" customHeight="1" x14ac:dyDescent="0.25">
      <c r="B202" s="112" t="s">
        <v>58</v>
      </c>
      <c r="C202" s="6" t="s">
        <v>1175</v>
      </c>
      <c r="D202" s="9" t="s">
        <v>3</v>
      </c>
      <c r="E202" s="9" t="s">
        <v>29</v>
      </c>
      <c r="F202" s="9">
        <v>4</v>
      </c>
      <c r="G202" s="9">
        <v>29</v>
      </c>
      <c r="H202" s="9"/>
      <c r="I202" s="7">
        <v>20</v>
      </c>
      <c r="J202" s="7"/>
      <c r="K202" s="7"/>
      <c r="L202" s="7" t="s">
        <v>59</v>
      </c>
      <c r="M202" s="122"/>
      <c r="N202" s="122"/>
      <c r="O202" s="122"/>
      <c r="P202" s="96"/>
      <c r="Q202" s="7"/>
      <c r="R202" s="93">
        <v>6.4697591345702818</v>
      </c>
      <c r="S202" s="93">
        <v>23.464363295883892</v>
      </c>
      <c r="T202" s="122" t="s">
        <v>1518</v>
      </c>
      <c r="U202" s="7"/>
      <c r="V202" s="7"/>
      <c r="W202" s="122" t="s">
        <v>1518</v>
      </c>
      <c r="X202" s="122" t="s">
        <v>1518</v>
      </c>
      <c r="Y202" s="122" t="s">
        <v>1518</v>
      </c>
      <c r="Z202" s="7"/>
      <c r="AA202" s="7"/>
      <c r="AB202" s="7"/>
      <c r="AC202" s="7">
        <v>1</v>
      </c>
      <c r="AD202" s="7"/>
      <c r="AE202" s="7"/>
      <c r="AF202" s="7"/>
      <c r="AG202" s="7"/>
      <c r="AH202" s="7"/>
      <c r="AI202" s="7"/>
      <c r="AJ202" s="7"/>
      <c r="AK202" s="7"/>
      <c r="AL202" s="7"/>
      <c r="AM202" s="16">
        <v>44169</v>
      </c>
      <c r="AN202" s="4"/>
      <c r="AO202" s="6" t="s">
        <v>1024</v>
      </c>
      <c r="AP202" s="11" t="s">
        <v>60</v>
      </c>
      <c r="AQ202" s="11"/>
      <c r="AR202" s="4"/>
      <c r="AS202" s="11">
        <v>194</v>
      </c>
      <c r="AT202" s="11">
        <v>400</v>
      </c>
      <c r="AU202" s="11"/>
      <c r="AV202" s="11"/>
      <c r="AW202" s="4"/>
      <c r="AX202" s="4">
        <f t="shared" si="18"/>
        <v>1</v>
      </c>
      <c r="AY202" s="93"/>
      <c r="AZ202" s="4">
        <v>0.5</v>
      </c>
    </row>
    <row r="203" spans="2:52" ht="14.25" customHeight="1" x14ac:dyDescent="0.25">
      <c r="B203" s="112" t="s">
        <v>1499</v>
      </c>
      <c r="C203" s="6" t="s">
        <v>1176</v>
      </c>
      <c r="D203" s="8" t="s">
        <v>4</v>
      </c>
      <c r="E203" s="8" t="s">
        <v>232</v>
      </c>
      <c r="F203" s="9">
        <v>2</v>
      </c>
      <c r="G203" s="9"/>
      <c r="H203" s="9"/>
      <c r="I203" s="7">
        <v>6</v>
      </c>
      <c r="J203" s="7"/>
      <c r="K203" s="7"/>
      <c r="L203" s="7" t="s">
        <v>14</v>
      </c>
      <c r="M203" s="122"/>
      <c r="N203" s="122"/>
      <c r="O203" s="122"/>
      <c r="P203" s="96"/>
      <c r="Q203" s="7"/>
      <c r="R203" s="93">
        <v>3.495152312259183</v>
      </c>
      <c r="S203" s="93">
        <v>182.93661941489336</v>
      </c>
      <c r="T203" s="122" t="s">
        <v>1518</v>
      </c>
      <c r="U203" s="7"/>
      <c r="V203" s="7"/>
      <c r="W203" s="122"/>
      <c r="X203" s="122"/>
      <c r="Y203" s="122" t="s">
        <v>1518</v>
      </c>
      <c r="Z203" s="7"/>
      <c r="AA203" s="7"/>
      <c r="AB203" s="7"/>
      <c r="AC203" s="7"/>
      <c r="AD203" s="7">
        <v>1</v>
      </c>
      <c r="AE203" s="7"/>
      <c r="AF203" s="7"/>
      <c r="AG203" s="7"/>
      <c r="AH203" s="7"/>
      <c r="AI203" s="7"/>
      <c r="AJ203" s="7"/>
      <c r="AK203" s="7"/>
      <c r="AL203" s="7"/>
      <c r="AM203" s="16">
        <v>44911</v>
      </c>
      <c r="AN203" s="4"/>
      <c r="AO203" s="11" t="s">
        <v>195</v>
      </c>
      <c r="AP203" s="11" t="s">
        <v>211</v>
      </c>
      <c r="AQ203" s="4"/>
      <c r="AR203" s="4"/>
      <c r="AS203" s="11">
        <v>22.5</v>
      </c>
      <c r="AT203" s="11">
        <v>22.5</v>
      </c>
      <c r="AU203" s="11"/>
      <c r="AV203" s="11"/>
      <c r="AW203" s="4"/>
      <c r="AX203" s="4">
        <f t="shared" si="18"/>
        <v>1</v>
      </c>
      <c r="AY203" s="93">
        <v>1</v>
      </c>
      <c r="AZ203" s="4">
        <v>1.5</v>
      </c>
    </row>
    <row r="204" spans="2:52" ht="14.25" customHeight="1" x14ac:dyDescent="0.25">
      <c r="B204" s="112" t="s">
        <v>1483</v>
      </c>
      <c r="C204" s="6" t="s">
        <v>1176</v>
      </c>
      <c r="D204" s="8" t="s">
        <v>4</v>
      </c>
      <c r="E204" s="8" t="s">
        <v>232</v>
      </c>
      <c r="F204" s="9">
        <v>2</v>
      </c>
      <c r="G204" s="9"/>
      <c r="H204" s="9"/>
      <c r="I204" s="7">
        <v>6</v>
      </c>
      <c r="J204" s="7"/>
      <c r="K204" s="7"/>
      <c r="L204" s="7" t="s">
        <v>120</v>
      </c>
      <c r="M204" s="122"/>
      <c r="N204" s="122"/>
      <c r="O204" s="122"/>
      <c r="P204" s="96"/>
      <c r="Q204" s="7"/>
      <c r="R204" s="93">
        <v>4.6602030830122443</v>
      </c>
      <c r="S204" s="93">
        <v>243.91549255319114</v>
      </c>
      <c r="T204" s="122" t="s">
        <v>1518</v>
      </c>
      <c r="U204" s="7"/>
      <c r="V204" s="7"/>
      <c r="W204" s="122"/>
      <c r="X204" s="122"/>
      <c r="Y204" s="122" t="s">
        <v>1518</v>
      </c>
      <c r="Z204" s="7"/>
      <c r="AA204" s="7"/>
      <c r="AB204" s="7"/>
      <c r="AC204" s="7"/>
      <c r="AD204" s="7">
        <v>1</v>
      </c>
      <c r="AE204" s="7"/>
      <c r="AF204" s="7"/>
      <c r="AG204" s="7"/>
      <c r="AH204" s="7"/>
      <c r="AI204" s="7"/>
      <c r="AJ204" s="7"/>
      <c r="AK204" s="7"/>
      <c r="AL204" s="7"/>
      <c r="AM204" s="16">
        <v>44911</v>
      </c>
      <c r="AN204" s="4"/>
      <c r="AO204" s="11" t="s">
        <v>195</v>
      </c>
      <c r="AP204" s="11" t="s">
        <v>211</v>
      </c>
      <c r="AQ204" s="4"/>
      <c r="AR204" s="4"/>
      <c r="AS204" s="11">
        <v>22.5</v>
      </c>
      <c r="AT204" s="11">
        <v>22.5</v>
      </c>
      <c r="AU204" s="11"/>
      <c r="AV204" s="11"/>
      <c r="AW204" s="4"/>
      <c r="AX204" s="4">
        <f t="shared" si="18"/>
        <v>1</v>
      </c>
      <c r="AY204" s="93">
        <v>1</v>
      </c>
      <c r="AZ204" s="4">
        <v>2</v>
      </c>
    </row>
    <row r="205" spans="2:52" ht="14.25" customHeight="1" x14ac:dyDescent="0.25">
      <c r="B205" s="112" t="s">
        <v>1485</v>
      </c>
      <c r="C205" s="6" t="s">
        <v>1177</v>
      </c>
      <c r="D205" s="8" t="s">
        <v>4</v>
      </c>
      <c r="E205" s="8" t="s">
        <v>21</v>
      </c>
      <c r="F205" s="9">
        <v>2</v>
      </c>
      <c r="G205" s="9">
        <v>2</v>
      </c>
      <c r="H205" s="9">
        <v>2</v>
      </c>
      <c r="I205" s="7">
        <v>6</v>
      </c>
      <c r="J205" s="7"/>
      <c r="K205" s="7"/>
      <c r="L205" s="7" t="s">
        <v>120</v>
      </c>
      <c r="M205" s="122"/>
      <c r="N205" s="122"/>
      <c r="O205" s="122"/>
      <c r="P205" s="96"/>
      <c r="Q205" s="7"/>
      <c r="R205" s="93">
        <v>6.2345495090956806</v>
      </c>
      <c r="S205" s="93">
        <v>513.60257703594948</v>
      </c>
      <c r="T205" s="122" t="s">
        <v>1518</v>
      </c>
      <c r="U205" s="7"/>
      <c r="V205" s="7"/>
      <c r="W205" s="122" t="s">
        <v>1518</v>
      </c>
      <c r="X205" s="122"/>
      <c r="Y205" s="122"/>
      <c r="Z205" s="7"/>
      <c r="AA205" s="7"/>
      <c r="AB205" s="7"/>
      <c r="AC205" s="7"/>
      <c r="AD205" s="7">
        <v>1</v>
      </c>
      <c r="AE205" s="7"/>
      <c r="AF205" s="7"/>
      <c r="AG205" s="7"/>
      <c r="AH205" s="7"/>
      <c r="AI205" s="7"/>
      <c r="AJ205" s="7"/>
      <c r="AK205" s="7"/>
      <c r="AL205" s="7"/>
      <c r="AM205" s="16">
        <v>44169</v>
      </c>
      <c r="AN205" s="4"/>
      <c r="AO205" s="11" t="s">
        <v>195</v>
      </c>
      <c r="AP205" s="11" t="s">
        <v>116</v>
      </c>
      <c r="AQ205" s="4" t="s">
        <v>133</v>
      </c>
      <c r="AR205" s="4"/>
      <c r="AS205" s="11">
        <v>30</v>
      </c>
      <c r="AT205" s="11">
        <v>10</v>
      </c>
      <c r="AU205" s="11">
        <v>1</v>
      </c>
      <c r="AV205" s="11"/>
      <c r="AW205" s="4"/>
      <c r="AX205" s="4">
        <f t="shared" si="18"/>
        <v>1</v>
      </c>
      <c r="AY205" s="93">
        <v>1</v>
      </c>
      <c r="AZ205" s="4">
        <v>1.5</v>
      </c>
    </row>
    <row r="206" spans="2:52" ht="14.25" customHeight="1" x14ac:dyDescent="0.25">
      <c r="B206" s="112" t="s">
        <v>1484</v>
      </c>
      <c r="C206" s="6" t="s">
        <v>1177</v>
      </c>
      <c r="D206" s="8" t="s">
        <v>4</v>
      </c>
      <c r="E206" s="8" t="s">
        <v>21</v>
      </c>
      <c r="F206" s="9">
        <v>2</v>
      </c>
      <c r="G206" s="9">
        <v>2</v>
      </c>
      <c r="H206" s="9">
        <v>2</v>
      </c>
      <c r="I206" s="7">
        <v>6</v>
      </c>
      <c r="J206" s="7"/>
      <c r="K206" s="7"/>
      <c r="L206" s="7" t="s">
        <v>14</v>
      </c>
      <c r="M206" s="122"/>
      <c r="N206" s="122"/>
      <c r="O206" s="122"/>
      <c r="P206" s="96"/>
      <c r="Q206" s="7"/>
      <c r="R206" s="93">
        <v>5.1954579242464005</v>
      </c>
      <c r="S206" s="93">
        <v>428.00214752995788</v>
      </c>
      <c r="T206" s="122" t="s">
        <v>1518</v>
      </c>
      <c r="U206" s="7"/>
      <c r="V206" s="7"/>
      <c r="W206" s="122" t="s">
        <v>1518</v>
      </c>
      <c r="X206" s="122"/>
      <c r="Y206" s="122"/>
      <c r="Z206" s="7"/>
      <c r="AA206" s="7"/>
      <c r="AB206" s="7"/>
      <c r="AC206" s="7"/>
      <c r="AD206" s="7">
        <v>1</v>
      </c>
      <c r="AE206" s="7"/>
      <c r="AF206" s="7"/>
      <c r="AG206" s="7"/>
      <c r="AH206" s="7"/>
      <c r="AI206" s="7"/>
      <c r="AJ206" s="7"/>
      <c r="AK206" s="7"/>
      <c r="AL206" s="7"/>
      <c r="AM206" s="16">
        <v>44169</v>
      </c>
      <c r="AN206" s="4"/>
      <c r="AO206" s="11" t="s">
        <v>195</v>
      </c>
      <c r="AP206" s="11" t="s">
        <v>116</v>
      </c>
      <c r="AQ206" s="4" t="s">
        <v>133</v>
      </c>
      <c r="AR206" s="4"/>
      <c r="AS206" s="11">
        <v>30</v>
      </c>
      <c r="AT206" s="11">
        <v>10</v>
      </c>
      <c r="AU206" s="11">
        <v>1</v>
      </c>
      <c r="AV206" s="11"/>
      <c r="AW206" s="4"/>
      <c r="AX206" s="4">
        <f t="shared" si="18"/>
        <v>1</v>
      </c>
      <c r="AY206" s="93">
        <v>1</v>
      </c>
      <c r="AZ206" s="4">
        <v>1.25</v>
      </c>
    </row>
    <row r="207" spans="2:52" ht="14.25" customHeight="1" x14ac:dyDescent="0.25">
      <c r="B207" s="112" t="s">
        <v>1858</v>
      </c>
      <c r="C207" s="6" t="s">
        <v>1859</v>
      </c>
      <c r="D207" s="8" t="s">
        <v>3</v>
      </c>
      <c r="E207" s="8" t="s">
        <v>17</v>
      </c>
      <c r="F207" s="8">
        <v>3</v>
      </c>
      <c r="G207" s="8"/>
      <c r="H207" s="8"/>
      <c r="I207" s="7"/>
      <c r="J207" s="7"/>
      <c r="K207" s="7"/>
      <c r="L207" s="7"/>
      <c r="M207" s="122"/>
      <c r="N207" s="122"/>
      <c r="O207" s="122"/>
      <c r="P207" s="96"/>
      <c r="Q207" s="7"/>
      <c r="R207" s="93">
        <v>9.4472523381920789E-2</v>
      </c>
      <c r="S207" s="93">
        <v>0.4946222222222228</v>
      </c>
      <c r="T207" s="122" t="s">
        <v>1518</v>
      </c>
      <c r="U207" s="7"/>
      <c r="V207" s="7"/>
      <c r="W207" s="122" t="s">
        <v>1518</v>
      </c>
      <c r="X207" s="122" t="s">
        <v>1518</v>
      </c>
      <c r="Y207" s="122"/>
      <c r="Z207" s="7"/>
      <c r="AA207" s="7">
        <v>1</v>
      </c>
      <c r="AB207" s="7">
        <v>1</v>
      </c>
      <c r="AC207" s="7"/>
      <c r="AD207" s="7"/>
      <c r="AE207" s="7">
        <v>1</v>
      </c>
      <c r="AF207" s="7"/>
      <c r="AG207" s="7"/>
      <c r="AH207" s="7"/>
      <c r="AI207" s="7"/>
      <c r="AJ207" s="7"/>
      <c r="AK207" s="7"/>
      <c r="AL207" s="7"/>
      <c r="AM207" s="16">
        <v>45262</v>
      </c>
      <c r="AN207" s="4"/>
      <c r="AO207" s="11" t="s">
        <v>15</v>
      </c>
      <c r="AP207" s="4"/>
      <c r="AQ207" s="4"/>
      <c r="AR207" s="4"/>
      <c r="AS207" s="11">
        <v>250</v>
      </c>
      <c r="AT207" s="11"/>
      <c r="AU207" s="11"/>
      <c r="AV207" s="11"/>
      <c r="AW207" s="4"/>
      <c r="AX207" s="4">
        <f t="shared" si="18"/>
        <v>3</v>
      </c>
      <c r="AY207" s="93" t="s">
        <v>936</v>
      </c>
      <c r="AZ207" s="4">
        <v>0.8</v>
      </c>
    </row>
    <row r="208" spans="2:52" ht="14.25" customHeight="1" x14ac:dyDescent="0.25">
      <c r="B208" s="112" t="s">
        <v>416</v>
      </c>
      <c r="C208" s="6" t="s">
        <v>1178</v>
      </c>
      <c r="D208" s="8" t="s">
        <v>118</v>
      </c>
      <c r="E208" s="8" t="s">
        <v>29</v>
      </c>
      <c r="F208" s="8"/>
      <c r="G208" s="8"/>
      <c r="H208" s="8"/>
      <c r="I208" s="7">
        <v>6</v>
      </c>
      <c r="J208" s="7"/>
      <c r="K208" s="7"/>
      <c r="L208" s="7"/>
      <c r="M208" s="122"/>
      <c r="N208" s="122"/>
      <c r="O208" s="122"/>
      <c r="P208" s="96"/>
      <c r="Q208" s="7"/>
      <c r="R208" s="93">
        <v>0</v>
      </c>
      <c r="S208" s="93">
        <v>0</v>
      </c>
      <c r="T208" s="122" t="s">
        <v>1518</v>
      </c>
      <c r="U208" s="7"/>
      <c r="V208" s="7"/>
      <c r="W208" s="122" t="s">
        <v>1518</v>
      </c>
      <c r="X208" s="122"/>
      <c r="Y208" s="122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16">
        <v>44169</v>
      </c>
      <c r="AN208" s="4"/>
      <c r="AO208" s="11" t="s">
        <v>417</v>
      </c>
      <c r="AP208" s="11"/>
      <c r="AQ208" s="4"/>
      <c r="AR208" s="4"/>
      <c r="AS208" s="11">
        <v>765</v>
      </c>
      <c r="AT208" s="11"/>
      <c r="AU208" s="11"/>
      <c r="AV208" s="11"/>
      <c r="AW208" s="4"/>
      <c r="AX208" s="4">
        <f t="shared" si="18"/>
        <v>0</v>
      </c>
      <c r="AY208" s="93"/>
      <c r="AZ208" s="4">
        <v>0.2</v>
      </c>
    </row>
    <row r="209" spans="2:52" ht="14.25" customHeight="1" x14ac:dyDescent="0.25">
      <c r="B209" s="92" t="s">
        <v>1179</v>
      </c>
      <c r="C209" s="6" t="s">
        <v>1180</v>
      </c>
      <c r="D209" s="7" t="s">
        <v>7</v>
      </c>
      <c r="E209" s="7" t="s">
        <v>366</v>
      </c>
      <c r="F209" s="137" t="s">
        <v>1555</v>
      </c>
      <c r="G209" s="7"/>
      <c r="H209" s="7"/>
      <c r="I209" s="7"/>
      <c r="J209" s="7"/>
      <c r="K209" s="7"/>
      <c r="L209" s="7"/>
      <c r="M209" s="122"/>
      <c r="N209" s="122"/>
      <c r="O209" s="122"/>
      <c r="P209" s="96"/>
      <c r="Q209" s="7"/>
      <c r="R209" s="93">
        <v>1.2478458610138685E-3</v>
      </c>
      <c r="S209" s="93">
        <v>1.8294246575342492</v>
      </c>
      <c r="T209" s="122"/>
      <c r="U209" s="7"/>
      <c r="V209" s="7"/>
      <c r="W209" s="122" t="s">
        <v>1518</v>
      </c>
      <c r="X209" s="122"/>
      <c r="Y209" s="122"/>
      <c r="Z209" s="7"/>
      <c r="AA209" s="7">
        <v>1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16">
        <v>44169</v>
      </c>
      <c r="AN209" s="4"/>
      <c r="AO209" s="6" t="s">
        <v>1019</v>
      </c>
      <c r="AP209" s="11"/>
      <c r="AQ209" s="4"/>
      <c r="AR209" s="4"/>
      <c r="AS209" s="11">
        <v>480</v>
      </c>
      <c r="AT209" s="11"/>
      <c r="AU209" s="11"/>
      <c r="AV209" s="11"/>
      <c r="AW209" s="4"/>
      <c r="AX209" s="4">
        <f t="shared" si="18"/>
        <v>1</v>
      </c>
      <c r="AY209" s="93"/>
      <c r="AZ209" s="4">
        <v>1</v>
      </c>
    </row>
    <row r="210" spans="2:52" ht="14.25" customHeight="1" x14ac:dyDescent="0.25">
      <c r="B210" s="112" t="s">
        <v>1181</v>
      </c>
      <c r="C210" s="6" t="s">
        <v>1613</v>
      </c>
      <c r="D210" s="9" t="s">
        <v>3</v>
      </c>
      <c r="E210" s="9" t="s">
        <v>26</v>
      </c>
      <c r="F210" s="9">
        <v>3</v>
      </c>
      <c r="G210" s="9">
        <v>5</v>
      </c>
      <c r="H210" s="9"/>
      <c r="I210" s="7">
        <v>50</v>
      </c>
      <c r="J210" s="7"/>
      <c r="K210" s="7"/>
      <c r="L210" s="7" t="s">
        <v>14</v>
      </c>
      <c r="M210" s="122"/>
      <c r="N210" s="122"/>
      <c r="O210" s="122"/>
      <c r="P210" s="96"/>
      <c r="Q210" s="14">
        <v>0.3</v>
      </c>
      <c r="R210" s="93">
        <v>37.375827607941588</v>
      </c>
      <c r="S210" s="93">
        <v>5.7598972022447539</v>
      </c>
      <c r="T210" s="122" t="s">
        <v>1518</v>
      </c>
      <c r="U210" s="7"/>
      <c r="V210" s="7"/>
      <c r="W210" s="122" t="s">
        <v>1518</v>
      </c>
      <c r="X210" s="122"/>
      <c r="Y210" s="122"/>
      <c r="Z210" s="7"/>
      <c r="AA210" s="7"/>
      <c r="AB210" s="7">
        <v>1</v>
      </c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16">
        <v>44540</v>
      </c>
      <c r="AN210" s="4"/>
      <c r="AO210" s="6" t="s">
        <v>1014</v>
      </c>
      <c r="AP210" s="6" t="s">
        <v>1013</v>
      </c>
      <c r="AQ210" s="4"/>
      <c r="AR210" s="4"/>
      <c r="AS210" s="11">
        <v>100</v>
      </c>
      <c r="AT210" s="11">
        <v>375</v>
      </c>
      <c r="AU210" s="11"/>
      <c r="AV210" s="11"/>
      <c r="AW210" s="4"/>
      <c r="AX210" s="4">
        <f t="shared" si="18"/>
        <v>1</v>
      </c>
      <c r="AY210" s="93">
        <v>2</v>
      </c>
      <c r="AZ210" s="4">
        <v>1</v>
      </c>
    </row>
    <row r="211" spans="2:52" ht="14.25" customHeight="1" x14ac:dyDescent="0.25">
      <c r="B211" s="112" t="s">
        <v>1182</v>
      </c>
      <c r="C211" s="6" t="s">
        <v>1183</v>
      </c>
      <c r="D211" s="8" t="s">
        <v>4</v>
      </c>
      <c r="E211" s="8" t="s">
        <v>17</v>
      </c>
      <c r="F211" s="9">
        <v>4</v>
      </c>
      <c r="G211" s="9">
        <v>4</v>
      </c>
      <c r="H211" s="9"/>
      <c r="I211" s="7">
        <v>6</v>
      </c>
      <c r="J211" s="7"/>
      <c r="K211" s="7">
        <v>6</v>
      </c>
      <c r="L211" s="7" t="s">
        <v>14</v>
      </c>
      <c r="M211" s="122"/>
      <c r="N211" s="122"/>
      <c r="O211" s="122"/>
      <c r="P211" s="96"/>
      <c r="Q211" s="7"/>
      <c r="R211" s="93">
        <v>2.6944291739012294</v>
      </c>
      <c r="S211" s="93">
        <v>381.78506373355282</v>
      </c>
      <c r="T211" s="122" t="s">
        <v>1518</v>
      </c>
      <c r="U211" s="7"/>
      <c r="V211" s="7"/>
      <c r="W211" s="122" t="s">
        <v>1518</v>
      </c>
      <c r="X211" s="122"/>
      <c r="Y211" s="122" t="s">
        <v>1518</v>
      </c>
      <c r="Z211" s="7" t="s">
        <v>7</v>
      </c>
      <c r="AA211" s="7">
        <v>1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>
        <v>1</v>
      </c>
      <c r="AM211" s="16">
        <v>44169</v>
      </c>
      <c r="AN211" s="4"/>
      <c r="AO211" s="6" t="s">
        <v>1022</v>
      </c>
      <c r="AP211" s="6" t="s">
        <v>112</v>
      </c>
      <c r="AQ211" s="4"/>
      <c r="AR211" s="4"/>
      <c r="AS211" s="11">
        <v>405</v>
      </c>
      <c r="AT211" s="11">
        <v>170</v>
      </c>
      <c r="AU211" s="11"/>
      <c r="AV211" s="11"/>
      <c r="AW211" s="4"/>
      <c r="AX211" s="4">
        <f t="shared" si="18"/>
        <v>2</v>
      </c>
      <c r="AY211" s="93"/>
      <c r="AZ211" s="4">
        <v>2.5</v>
      </c>
    </row>
    <row r="212" spans="2:52" ht="14.25" customHeight="1" x14ac:dyDescent="0.25">
      <c r="B212" s="112" t="s">
        <v>1184</v>
      </c>
      <c r="C212" s="6" t="s">
        <v>1185</v>
      </c>
      <c r="D212" s="8" t="s">
        <v>4</v>
      </c>
      <c r="E212" s="8" t="s">
        <v>29</v>
      </c>
      <c r="F212" s="9">
        <v>2</v>
      </c>
      <c r="G212" s="9">
        <v>2</v>
      </c>
      <c r="H212" s="9"/>
      <c r="I212" s="7"/>
      <c r="J212" s="7">
        <v>20</v>
      </c>
      <c r="K212" s="7"/>
      <c r="L212" s="7"/>
      <c r="M212" s="122"/>
      <c r="N212" s="122"/>
      <c r="O212" s="122"/>
      <c r="P212" s="96"/>
      <c r="Q212" s="14">
        <v>0.3</v>
      </c>
      <c r="R212" s="93">
        <v>1.239852873217363</v>
      </c>
      <c r="S212" s="93">
        <v>669.93793185763934</v>
      </c>
      <c r="T212" s="122" t="s">
        <v>1518</v>
      </c>
      <c r="U212" s="7"/>
      <c r="V212" s="7"/>
      <c r="W212" s="122" t="s">
        <v>1518</v>
      </c>
      <c r="X212" s="122" t="s">
        <v>1518</v>
      </c>
      <c r="Y212" s="122"/>
      <c r="Z212" s="7"/>
      <c r="AA212" s="7">
        <v>1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16">
        <v>45232</v>
      </c>
      <c r="AN212" s="11" t="s">
        <v>1861</v>
      </c>
      <c r="AO212" s="11" t="s">
        <v>123</v>
      </c>
      <c r="AP212" s="106" t="s">
        <v>1009</v>
      </c>
      <c r="AQ212" s="4"/>
      <c r="AR212" s="4"/>
      <c r="AS212" s="11">
        <v>143</v>
      </c>
      <c r="AT212" s="11">
        <v>143</v>
      </c>
      <c r="AU212" s="11"/>
      <c r="AV212" s="11"/>
      <c r="AW212" s="4"/>
      <c r="AX212" s="4">
        <f t="shared" si="18"/>
        <v>1</v>
      </c>
      <c r="AY212" s="93"/>
      <c r="AZ212" s="4">
        <v>3.5000000000000003E-2</v>
      </c>
    </row>
    <row r="213" spans="2:52" ht="14.25" customHeight="1" x14ac:dyDescent="0.25">
      <c r="B213" s="112" t="s">
        <v>1943</v>
      </c>
      <c r="C213" s="6" t="s">
        <v>1186</v>
      </c>
      <c r="D213" s="8" t="s">
        <v>4</v>
      </c>
      <c r="E213" s="8" t="s">
        <v>29</v>
      </c>
      <c r="F213" s="9">
        <v>2</v>
      </c>
      <c r="G213" s="9"/>
      <c r="H213" s="9"/>
      <c r="I213" s="7"/>
      <c r="J213" s="7">
        <v>20</v>
      </c>
      <c r="K213" s="7"/>
      <c r="L213" s="7"/>
      <c r="M213" s="122"/>
      <c r="N213" s="122"/>
      <c r="O213" s="122"/>
      <c r="P213" s="96"/>
      <c r="Q213" s="7"/>
      <c r="R213" s="93">
        <v>0.38427039868695306</v>
      </c>
      <c r="S213" s="93">
        <v>893.58398437500034</v>
      </c>
      <c r="T213" s="122" t="s">
        <v>1518</v>
      </c>
      <c r="U213" s="7"/>
      <c r="V213" s="7"/>
      <c r="W213" s="122" t="s">
        <v>1518</v>
      </c>
      <c r="X213" s="122" t="s">
        <v>1518</v>
      </c>
      <c r="Y213" s="122"/>
      <c r="Z213" s="7"/>
      <c r="AA213" s="7">
        <v>1</v>
      </c>
      <c r="AB213" s="7"/>
      <c r="AC213" s="7"/>
      <c r="AD213" s="7"/>
      <c r="AE213" s="7"/>
      <c r="AF213" s="7">
        <v>1</v>
      </c>
      <c r="AG213" s="7"/>
      <c r="AH213" s="7"/>
      <c r="AI213" s="7"/>
      <c r="AJ213" s="7"/>
      <c r="AK213" s="7"/>
      <c r="AL213" s="7"/>
      <c r="AM213" s="16">
        <v>45232</v>
      </c>
      <c r="AN213" s="4"/>
      <c r="AO213" s="106" t="s">
        <v>1009</v>
      </c>
      <c r="AP213" s="11"/>
      <c r="AQ213" s="4"/>
      <c r="AR213" s="4"/>
      <c r="AS213" s="11">
        <v>500</v>
      </c>
      <c r="AT213" s="11"/>
      <c r="AU213" s="11"/>
      <c r="AV213" s="11"/>
      <c r="AW213" s="4"/>
      <c r="AX213" s="4">
        <f t="shared" si="18"/>
        <v>2</v>
      </c>
      <c r="AY213" s="93"/>
      <c r="AZ213" s="4">
        <v>4.4999999999999998E-2</v>
      </c>
    </row>
    <row r="214" spans="2:52" ht="14.25" customHeight="1" x14ac:dyDescent="0.25">
      <c r="B214" s="112" t="s">
        <v>1944</v>
      </c>
      <c r="C214" s="6" t="s">
        <v>1186</v>
      </c>
      <c r="D214" s="8" t="s">
        <v>4</v>
      </c>
      <c r="E214" s="8" t="s">
        <v>29</v>
      </c>
      <c r="F214" s="9">
        <v>2</v>
      </c>
      <c r="G214" s="9"/>
      <c r="H214" s="9"/>
      <c r="I214" s="7"/>
      <c r="J214" s="7">
        <v>50</v>
      </c>
      <c r="K214" s="7"/>
      <c r="L214" s="7"/>
      <c r="M214" s="122"/>
      <c r="N214" s="122"/>
      <c r="O214" s="122"/>
      <c r="P214" s="96"/>
      <c r="Q214" s="7"/>
      <c r="R214" s="93">
        <v>0.51236053158260408</v>
      </c>
      <c r="S214" s="93">
        <v>1191.4453125000005</v>
      </c>
      <c r="T214" s="122" t="s">
        <v>1518</v>
      </c>
      <c r="U214" s="7"/>
      <c r="V214" s="7"/>
      <c r="W214" s="122" t="s">
        <v>1518</v>
      </c>
      <c r="X214" s="122" t="s">
        <v>1518</v>
      </c>
      <c r="Y214" s="122"/>
      <c r="Z214" s="7"/>
      <c r="AA214" s="7">
        <v>1</v>
      </c>
      <c r="AB214" s="7"/>
      <c r="AC214" s="7"/>
      <c r="AD214" s="7"/>
      <c r="AE214" s="7"/>
      <c r="AF214" s="7">
        <v>1</v>
      </c>
      <c r="AG214" s="7"/>
      <c r="AH214" s="7"/>
      <c r="AI214" s="7"/>
      <c r="AJ214" s="7"/>
      <c r="AK214" s="7"/>
      <c r="AL214" s="7"/>
      <c r="AM214" s="16">
        <v>45232</v>
      </c>
      <c r="AN214" s="4"/>
      <c r="AO214" s="106" t="s">
        <v>1009</v>
      </c>
      <c r="AP214" s="11"/>
      <c r="AQ214" s="4"/>
      <c r="AR214" s="4"/>
      <c r="AS214" s="11">
        <v>500</v>
      </c>
      <c r="AT214" s="11"/>
      <c r="AU214" s="11"/>
      <c r="AV214" s="11"/>
      <c r="AW214" s="4"/>
      <c r="AX214" s="4">
        <f t="shared" ref="AX214" si="19">SUM(AA214:AL214)</f>
        <v>2</v>
      </c>
      <c r="AY214" s="93"/>
      <c r="AZ214" s="4">
        <v>0.06</v>
      </c>
    </row>
    <row r="215" spans="2:52" ht="14.25" customHeight="1" x14ac:dyDescent="0.25">
      <c r="B215" s="112" t="s">
        <v>212</v>
      </c>
      <c r="C215" s="6" t="s">
        <v>1668</v>
      </c>
      <c r="D215" s="8" t="s">
        <v>4</v>
      </c>
      <c r="E215" s="8"/>
      <c r="F215" s="9">
        <v>2</v>
      </c>
      <c r="G215" s="9">
        <v>12</v>
      </c>
      <c r="H215" s="9"/>
      <c r="I215" s="7"/>
      <c r="J215" s="7"/>
      <c r="K215" s="7"/>
      <c r="L215" s="7" t="s">
        <v>14</v>
      </c>
      <c r="M215" s="122" t="s">
        <v>1518</v>
      </c>
      <c r="N215" s="122" t="s">
        <v>1518</v>
      </c>
      <c r="O215" s="122"/>
      <c r="P215" s="96" t="s">
        <v>213</v>
      </c>
      <c r="Q215" s="14">
        <v>0.3</v>
      </c>
      <c r="R215" s="93">
        <v>14.135274677878289</v>
      </c>
      <c r="S215" s="93">
        <v>188.80920698924706</v>
      </c>
      <c r="T215" s="122" t="s">
        <v>1518</v>
      </c>
      <c r="U215" s="7"/>
      <c r="V215" s="7"/>
      <c r="W215" s="122"/>
      <c r="X215" s="122"/>
      <c r="Y215" s="122"/>
      <c r="Z215" s="7"/>
      <c r="AA215" s="7">
        <v>1</v>
      </c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16">
        <v>44169</v>
      </c>
      <c r="AN215" s="4"/>
      <c r="AO215" s="4" t="s">
        <v>214</v>
      </c>
      <c r="AP215" s="6" t="s">
        <v>999</v>
      </c>
      <c r="AQ215" s="4"/>
      <c r="AR215" s="4"/>
      <c r="AS215" s="11">
        <v>15</v>
      </c>
      <c r="AT215" s="11">
        <v>100</v>
      </c>
      <c r="AU215" s="11"/>
      <c r="AV215" s="11"/>
      <c r="AW215" s="4"/>
      <c r="AX215" s="4">
        <f t="shared" si="18"/>
        <v>1</v>
      </c>
      <c r="AY215" s="93"/>
      <c r="AZ215" s="4">
        <v>1</v>
      </c>
    </row>
    <row r="216" spans="2:52" ht="14.25" customHeight="1" x14ac:dyDescent="0.25">
      <c r="B216" s="112" t="s">
        <v>61</v>
      </c>
      <c r="C216" s="6" t="s">
        <v>1683</v>
      </c>
      <c r="D216" s="9" t="s">
        <v>3</v>
      </c>
      <c r="E216" s="8" t="s">
        <v>62</v>
      </c>
      <c r="F216" s="9">
        <v>3</v>
      </c>
      <c r="G216" s="9">
        <v>11</v>
      </c>
      <c r="H216" s="9"/>
      <c r="I216" s="7"/>
      <c r="J216" s="7"/>
      <c r="K216" s="7"/>
      <c r="L216" s="7" t="s">
        <v>14</v>
      </c>
      <c r="M216" s="122"/>
      <c r="N216" s="122"/>
      <c r="O216" s="122"/>
      <c r="P216" s="96"/>
      <c r="Q216" s="7"/>
      <c r="R216" s="93">
        <v>2.1078893954554552</v>
      </c>
      <c r="S216" s="93">
        <v>41.104593434343435</v>
      </c>
      <c r="T216" s="122" t="s">
        <v>1518</v>
      </c>
      <c r="U216" s="7"/>
      <c r="V216" s="7"/>
      <c r="W216" s="122" t="s">
        <v>1518</v>
      </c>
      <c r="X216" s="122" t="s">
        <v>1518</v>
      </c>
      <c r="Y216" s="122"/>
      <c r="Z216" s="7"/>
      <c r="AA216" s="7">
        <v>1</v>
      </c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16">
        <v>44169</v>
      </c>
      <c r="AN216" s="4"/>
      <c r="AO216" s="4" t="s">
        <v>15</v>
      </c>
      <c r="AP216" s="4" t="s">
        <v>951</v>
      </c>
      <c r="AQ216" s="4"/>
      <c r="AR216" s="4"/>
      <c r="AS216" s="11">
        <v>100</v>
      </c>
      <c r="AT216" s="11">
        <v>100</v>
      </c>
      <c r="AU216" s="11"/>
      <c r="AV216" s="11"/>
      <c r="AW216" s="4"/>
      <c r="AX216" s="4">
        <f t="shared" si="18"/>
        <v>1</v>
      </c>
      <c r="AY216" s="93">
        <v>1</v>
      </c>
      <c r="AZ216" s="4">
        <v>1.25</v>
      </c>
    </row>
    <row r="217" spans="2:52" ht="14.25" customHeight="1" x14ac:dyDescent="0.25">
      <c r="B217" s="92" t="s">
        <v>367</v>
      </c>
      <c r="C217" s="6" t="s">
        <v>1187</v>
      </c>
      <c r="D217" s="7" t="s">
        <v>7</v>
      </c>
      <c r="E217" s="7" t="s">
        <v>13</v>
      </c>
      <c r="F217" s="137" t="s">
        <v>1555</v>
      </c>
      <c r="G217" s="7"/>
      <c r="H217" s="7"/>
      <c r="I217" s="7"/>
      <c r="J217" s="7"/>
      <c r="K217" s="7">
        <v>3</v>
      </c>
      <c r="L217" s="7"/>
      <c r="M217" s="122"/>
      <c r="N217" s="122"/>
      <c r="O217" s="122"/>
      <c r="P217" s="96"/>
      <c r="Q217" s="7"/>
      <c r="R217" s="93">
        <v>0.38589731059337279</v>
      </c>
      <c r="S217" s="93">
        <v>22.369290000000003</v>
      </c>
      <c r="T217" s="122" t="s">
        <v>1518</v>
      </c>
      <c r="U217" s="7"/>
      <c r="V217" s="7"/>
      <c r="W217" s="122"/>
      <c r="X217" s="122"/>
      <c r="Y217" s="122"/>
      <c r="Z217" s="7" t="s">
        <v>7</v>
      </c>
      <c r="AA217" s="7"/>
      <c r="AB217" s="7"/>
      <c r="AC217" s="7">
        <v>1</v>
      </c>
      <c r="AD217" s="7"/>
      <c r="AE217" s="7"/>
      <c r="AF217" s="7"/>
      <c r="AG217" s="7"/>
      <c r="AH217" s="7"/>
      <c r="AI217" s="7"/>
      <c r="AJ217" s="7"/>
      <c r="AK217" s="7"/>
      <c r="AL217" s="7"/>
      <c r="AM217" s="16">
        <v>45232</v>
      </c>
      <c r="AN217" s="4"/>
      <c r="AO217" s="4" t="s">
        <v>368</v>
      </c>
      <c r="AP217" s="4"/>
      <c r="AQ217" s="4"/>
      <c r="AR217" s="4"/>
      <c r="AS217" s="11">
        <v>804</v>
      </c>
      <c r="AT217" s="11"/>
      <c r="AU217" s="11"/>
      <c r="AV217" s="11"/>
      <c r="AW217" s="4"/>
      <c r="AX217" s="4">
        <f t="shared" si="18"/>
        <v>1</v>
      </c>
      <c r="AY217" s="93"/>
      <c r="AZ217" s="4">
        <v>5</v>
      </c>
    </row>
    <row r="218" spans="2:52" ht="14.25" customHeight="1" x14ac:dyDescent="0.25">
      <c r="B218" s="112" t="s">
        <v>63</v>
      </c>
      <c r="C218" s="6" t="s">
        <v>1188</v>
      </c>
      <c r="D218" s="9" t="s">
        <v>3</v>
      </c>
      <c r="E218" s="9" t="s">
        <v>17</v>
      </c>
      <c r="F218" s="9">
        <v>3</v>
      </c>
      <c r="G218" s="9"/>
      <c r="H218" s="9"/>
      <c r="I218" s="7"/>
      <c r="J218" s="7"/>
      <c r="K218" s="7"/>
      <c r="L218" s="7"/>
      <c r="M218" s="122"/>
      <c r="N218" s="122"/>
      <c r="O218" s="122"/>
      <c r="P218" s="96"/>
      <c r="Q218" s="14">
        <v>0.3</v>
      </c>
      <c r="R218" s="93">
        <v>2.5722121980865613</v>
      </c>
      <c r="S218" s="93">
        <v>7.5604619565217348</v>
      </c>
      <c r="T218" s="122" t="s">
        <v>1518</v>
      </c>
      <c r="U218" s="7"/>
      <c r="V218" s="7"/>
      <c r="W218" s="122" t="s">
        <v>1518</v>
      </c>
      <c r="X218" s="122"/>
      <c r="Y218" s="122" t="s">
        <v>1518</v>
      </c>
      <c r="Z218" s="7"/>
      <c r="AA218" s="7">
        <v>1</v>
      </c>
      <c r="AB218" s="7"/>
      <c r="AC218" s="7"/>
      <c r="AD218" s="7"/>
      <c r="AE218" s="7">
        <v>1</v>
      </c>
      <c r="AF218" s="7"/>
      <c r="AG218" s="7">
        <v>1</v>
      </c>
      <c r="AH218" s="7"/>
      <c r="AI218" s="7">
        <v>1</v>
      </c>
      <c r="AJ218" s="7"/>
      <c r="AK218" s="7"/>
      <c r="AL218" s="7"/>
      <c r="AM218" s="16">
        <v>44169</v>
      </c>
      <c r="AN218" s="4"/>
      <c r="AO218" s="4" t="s">
        <v>41</v>
      </c>
      <c r="AP218" s="4"/>
      <c r="AQ218" s="4"/>
      <c r="AR218" s="4"/>
      <c r="AS218" s="11">
        <v>250</v>
      </c>
      <c r="AT218" s="11"/>
      <c r="AU218" s="11"/>
      <c r="AV218" s="11"/>
      <c r="AW218" s="4"/>
      <c r="AX218" s="4">
        <f t="shared" si="18"/>
        <v>4</v>
      </c>
      <c r="AY218" s="93">
        <v>1</v>
      </c>
      <c r="AZ218" s="4">
        <v>1</v>
      </c>
    </row>
    <row r="219" spans="2:52" ht="14.25" customHeight="1" x14ac:dyDescent="0.25">
      <c r="B219" s="112" t="s">
        <v>1878</v>
      </c>
      <c r="C219" s="6" t="s">
        <v>1189</v>
      </c>
      <c r="D219" s="8" t="s">
        <v>4</v>
      </c>
      <c r="E219" s="8" t="s">
        <v>54</v>
      </c>
      <c r="F219" s="9">
        <v>2</v>
      </c>
      <c r="G219" s="9"/>
      <c r="H219" s="9"/>
      <c r="I219" s="7"/>
      <c r="J219" s="7">
        <v>50</v>
      </c>
      <c r="K219" s="7"/>
      <c r="L219" s="7"/>
      <c r="M219" s="122"/>
      <c r="N219" s="122"/>
      <c r="O219" s="122"/>
      <c r="P219" s="96"/>
      <c r="Q219" s="14">
        <v>0.3</v>
      </c>
      <c r="R219" s="93">
        <v>1.8451533392447528</v>
      </c>
      <c r="S219" s="93">
        <v>753.11111111111154</v>
      </c>
      <c r="T219" s="122" t="s">
        <v>1518</v>
      </c>
      <c r="U219" s="7"/>
      <c r="V219" s="7"/>
      <c r="W219" s="122"/>
      <c r="X219" s="122"/>
      <c r="Y219" s="122"/>
      <c r="Z219" s="7"/>
      <c r="AA219" s="7">
        <v>1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16">
        <v>44540</v>
      </c>
      <c r="AN219" s="4" t="s">
        <v>1860</v>
      </c>
      <c r="AO219" s="11" t="s">
        <v>123</v>
      </c>
      <c r="AP219" s="4"/>
      <c r="AQ219" s="4"/>
      <c r="AR219" s="4"/>
      <c r="AS219" s="11">
        <v>200</v>
      </c>
      <c r="AT219" s="11"/>
      <c r="AU219" s="11"/>
      <c r="AV219" s="11"/>
      <c r="AW219" s="4"/>
      <c r="AX219" s="4">
        <f t="shared" si="18"/>
        <v>1</v>
      </c>
      <c r="AY219" s="93">
        <v>1</v>
      </c>
      <c r="AZ219" s="4">
        <v>0.04</v>
      </c>
    </row>
    <row r="220" spans="2:52" ht="14.25" customHeight="1" x14ac:dyDescent="0.25">
      <c r="B220" s="112" t="s">
        <v>1877</v>
      </c>
      <c r="C220" s="6" t="s">
        <v>1189</v>
      </c>
      <c r="D220" s="8" t="s">
        <v>4</v>
      </c>
      <c r="E220" s="8" t="s">
        <v>54</v>
      </c>
      <c r="F220" s="9">
        <v>2</v>
      </c>
      <c r="G220" s="9"/>
      <c r="H220" s="9"/>
      <c r="I220" s="7"/>
      <c r="J220" s="7">
        <v>20</v>
      </c>
      <c r="K220" s="7"/>
      <c r="L220" s="7"/>
      <c r="M220" s="122"/>
      <c r="N220" s="122"/>
      <c r="O220" s="122"/>
      <c r="P220" s="96"/>
      <c r="Q220" s="14">
        <v>0.3</v>
      </c>
      <c r="R220" s="93">
        <v>1.1532208370279704</v>
      </c>
      <c r="S220" s="93">
        <v>470.69444444444468</v>
      </c>
      <c r="T220" s="122" t="s">
        <v>1518</v>
      </c>
      <c r="U220" s="7"/>
      <c r="V220" s="7"/>
      <c r="W220" s="122"/>
      <c r="X220" s="122"/>
      <c r="Y220" s="122"/>
      <c r="Z220" s="7"/>
      <c r="AA220" s="7">
        <v>1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16">
        <v>44540</v>
      </c>
      <c r="AN220" s="4" t="s">
        <v>1860</v>
      </c>
      <c r="AO220" s="11" t="s">
        <v>123</v>
      </c>
      <c r="AP220" s="4"/>
      <c r="AQ220" s="4"/>
      <c r="AR220" s="4"/>
      <c r="AS220" s="11">
        <v>200</v>
      </c>
      <c r="AT220" s="11"/>
      <c r="AU220" s="11"/>
      <c r="AV220" s="11"/>
      <c r="AW220" s="4"/>
      <c r="AX220" s="4">
        <f t="shared" si="18"/>
        <v>1</v>
      </c>
      <c r="AY220" s="93">
        <v>1</v>
      </c>
      <c r="AZ220" s="4">
        <v>2.5000000000000001E-2</v>
      </c>
    </row>
    <row r="221" spans="2:52" ht="14.25" customHeight="1" x14ac:dyDescent="0.25">
      <c r="B221" s="112" t="s">
        <v>1486</v>
      </c>
      <c r="C221" s="6" t="s">
        <v>1190</v>
      </c>
      <c r="D221" s="8" t="s">
        <v>4</v>
      </c>
      <c r="E221" s="8" t="s">
        <v>26</v>
      </c>
      <c r="F221" s="9">
        <v>14</v>
      </c>
      <c r="G221" s="9"/>
      <c r="H221" s="9"/>
      <c r="I221" s="7">
        <v>20</v>
      </c>
      <c r="J221" s="7">
        <v>20</v>
      </c>
      <c r="K221" s="7"/>
      <c r="L221" s="7" t="s">
        <v>80</v>
      </c>
      <c r="M221" s="122"/>
      <c r="N221" s="122"/>
      <c r="O221" s="122"/>
      <c r="P221" s="96"/>
      <c r="Q221" s="7"/>
      <c r="R221" s="93">
        <v>16.506179743183516</v>
      </c>
      <c r="S221" s="93">
        <v>1539.5742857142859</v>
      </c>
      <c r="T221" s="122" t="s">
        <v>1518</v>
      </c>
      <c r="U221" s="7"/>
      <c r="V221" s="7"/>
      <c r="W221" s="122" t="s">
        <v>1518</v>
      </c>
      <c r="X221" s="122"/>
      <c r="Y221" s="122"/>
      <c r="Z221" s="7"/>
      <c r="AA221" s="7"/>
      <c r="AB221" s="7"/>
      <c r="AC221" s="7">
        <v>1</v>
      </c>
      <c r="AD221" s="7"/>
      <c r="AE221" s="7"/>
      <c r="AF221" s="7"/>
      <c r="AG221" s="7"/>
      <c r="AH221" s="7"/>
      <c r="AI221" s="7"/>
      <c r="AJ221" s="7"/>
      <c r="AK221" s="7"/>
      <c r="AL221" s="7"/>
      <c r="AM221" s="16">
        <v>44169</v>
      </c>
      <c r="AN221" s="4"/>
      <c r="AO221" s="6" t="s">
        <v>1025</v>
      </c>
      <c r="AP221" s="4"/>
      <c r="AQ221" s="4"/>
      <c r="AR221" s="4"/>
      <c r="AS221" s="11">
        <v>26.5</v>
      </c>
      <c r="AT221" s="11"/>
      <c r="AU221" s="11"/>
      <c r="AV221" s="11"/>
      <c r="AW221" s="4"/>
      <c r="AX221" s="4">
        <f t="shared" si="18"/>
        <v>1</v>
      </c>
      <c r="AY221" s="93"/>
      <c r="AZ221" s="4">
        <v>1.6</v>
      </c>
    </row>
    <row r="222" spans="2:52" ht="14.25" customHeight="1" x14ac:dyDescent="0.25">
      <c r="B222" s="112" t="s">
        <v>1487</v>
      </c>
      <c r="C222" s="6" t="s">
        <v>1190</v>
      </c>
      <c r="D222" s="8" t="s">
        <v>4</v>
      </c>
      <c r="E222" s="8" t="s">
        <v>26</v>
      </c>
      <c r="F222" s="9">
        <v>14</v>
      </c>
      <c r="G222" s="9"/>
      <c r="H222" s="9"/>
      <c r="I222" s="7">
        <v>6</v>
      </c>
      <c r="J222" s="7">
        <v>6</v>
      </c>
      <c r="K222" s="7"/>
      <c r="L222" s="7" t="s">
        <v>120</v>
      </c>
      <c r="M222" s="122"/>
      <c r="N222" s="122"/>
      <c r="O222" s="122"/>
      <c r="P222" s="96"/>
      <c r="Q222" s="7"/>
      <c r="R222" s="93">
        <v>16.506179743183516</v>
      </c>
      <c r="S222" s="93">
        <v>1539.5742857142859</v>
      </c>
      <c r="T222" s="122" t="s">
        <v>1518</v>
      </c>
      <c r="U222" s="7"/>
      <c r="V222" s="7"/>
      <c r="W222" s="122" t="s">
        <v>1518</v>
      </c>
      <c r="X222" s="122"/>
      <c r="Y222" s="122"/>
      <c r="Z222" s="7"/>
      <c r="AA222" s="7"/>
      <c r="AB222" s="7"/>
      <c r="AC222" s="7">
        <v>1</v>
      </c>
      <c r="AD222" s="7"/>
      <c r="AE222" s="7"/>
      <c r="AF222" s="7"/>
      <c r="AG222" s="7"/>
      <c r="AH222" s="7"/>
      <c r="AI222" s="7"/>
      <c r="AJ222" s="7"/>
      <c r="AK222" s="7"/>
      <c r="AL222" s="7"/>
      <c r="AM222" s="16">
        <v>44169</v>
      </c>
      <c r="AN222" s="4"/>
      <c r="AO222" s="6" t="s">
        <v>1025</v>
      </c>
      <c r="AP222" s="4"/>
      <c r="AQ222" s="4"/>
      <c r="AR222" s="4"/>
      <c r="AS222" s="11">
        <v>26.5</v>
      </c>
      <c r="AT222" s="11"/>
      <c r="AU222" s="11"/>
      <c r="AV222" s="11"/>
      <c r="AW222" s="4"/>
      <c r="AX222" s="4">
        <f t="shared" si="18"/>
        <v>1</v>
      </c>
      <c r="AY222" s="93"/>
      <c r="AZ222" s="4">
        <v>1.6</v>
      </c>
    </row>
    <row r="223" spans="2:52" ht="14.25" customHeight="1" x14ac:dyDescent="0.25">
      <c r="B223" s="112" t="s">
        <v>1488</v>
      </c>
      <c r="C223" s="6" t="s">
        <v>1191</v>
      </c>
      <c r="D223" s="8" t="s">
        <v>4</v>
      </c>
      <c r="E223" s="9" t="s">
        <v>26</v>
      </c>
      <c r="F223" s="9">
        <v>14</v>
      </c>
      <c r="G223" s="9"/>
      <c r="H223" s="9"/>
      <c r="I223" s="7">
        <v>20</v>
      </c>
      <c r="J223" s="7">
        <v>20</v>
      </c>
      <c r="K223" s="7"/>
      <c r="L223" s="7" t="s">
        <v>80</v>
      </c>
      <c r="M223" s="122"/>
      <c r="N223" s="122"/>
      <c r="O223" s="122"/>
      <c r="P223" s="96"/>
      <c r="Q223" s="7"/>
      <c r="R223" s="93">
        <v>8.2530898715917562</v>
      </c>
      <c r="S223" s="93">
        <v>769.78714285714273</v>
      </c>
      <c r="T223" s="122" t="s">
        <v>1518</v>
      </c>
      <c r="U223" s="7"/>
      <c r="V223" s="7"/>
      <c r="W223" s="122" t="s">
        <v>1518</v>
      </c>
      <c r="X223" s="122"/>
      <c r="Y223" s="122"/>
      <c r="Z223" s="7"/>
      <c r="AA223" s="7"/>
      <c r="AB223" s="7"/>
      <c r="AC223" s="7">
        <v>1</v>
      </c>
      <c r="AD223" s="7"/>
      <c r="AE223" s="7"/>
      <c r="AF223" s="7"/>
      <c r="AG223" s="7"/>
      <c r="AH223" s="7"/>
      <c r="AI223" s="7"/>
      <c r="AJ223" s="7"/>
      <c r="AK223" s="7"/>
      <c r="AL223" s="7"/>
      <c r="AM223" s="16">
        <v>44169</v>
      </c>
      <c r="AN223" s="4"/>
      <c r="AO223" s="6" t="s">
        <v>1025</v>
      </c>
      <c r="AP223" s="4"/>
      <c r="AQ223" s="4"/>
      <c r="AR223" s="4"/>
      <c r="AS223" s="11">
        <v>10.6</v>
      </c>
      <c r="AT223" s="11"/>
      <c r="AU223" s="11"/>
      <c r="AV223" s="11"/>
      <c r="AW223" s="4"/>
      <c r="AX223" s="4">
        <f t="shared" si="18"/>
        <v>1</v>
      </c>
      <c r="AY223" s="93">
        <v>2</v>
      </c>
      <c r="AZ223" s="4">
        <v>2</v>
      </c>
    </row>
    <row r="224" spans="2:52" ht="14.25" customHeight="1" x14ac:dyDescent="0.25">
      <c r="B224" s="112" t="s">
        <v>1489</v>
      </c>
      <c r="C224" s="6" t="s">
        <v>1191</v>
      </c>
      <c r="D224" s="8" t="s">
        <v>4</v>
      </c>
      <c r="E224" s="9" t="s">
        <v>26</v>
      </c>
      <c r="F224" s="9">
        <v>14</v>
      </c>
      <c r="G224" s="9"/>
      <c r="H224" s="9"/>
      <c r="I224" s="7">
        <v>6</v>
      </c>
      <c r="J224" s="7">
        <v>6</v>
      </c>
      <c r="K224" s="7"/>
      <c r="L224" s="7" t="s">
        <v>120</v>
      </c>
      <c r="M224" s="122"/>
      <c r="N224" s="122"/>
      <c r="O224" s="122"/>
      <c r="P224" s="96"/>
      <c r="Q224" s="7"/>
      <c r="R224" s="93">
        <v>8.2530898715917562</v>
      </c>
      <c r="S224" s="93">
        <v>769.78714285714273</v>
      </c>
      <c r="T224" s="122" t="s">
        <v>1518</v>
      </c>
      <c r="U224" s="7"/>
      <c r="V224" s="7"/>
      <c r="W224" s="122" t="s">
        <v>1518</v>
      </c>
      <c r="X224" s="122"/>
      <c r="Y224" s="122"/>
      <c r="Z224" s="7"/>
      <c r="AA224" s="7"/>
      <c r="AB224" s="7"/>
      <c r="AC224" s="7">
        <v>1</v>
      </c>
      <c r="AD224" s="7"/>
      <c r="AE224" s="7"/>
      <c r="AF224" s="7"/>
      <c r="AG224" s="7"/>
      <c r="AH224" s="7"/>
      <c r="AI224" s="7"/>
      <c r="AJ224" s="7"/>
      <c r="AK224" s="7"/>
      <c r="AL224" s="7"/>
      <c r="AM224" s="16">
        <v>44169</v>
      </c>
      <c r="AN224" s="4"/>
      <c r="AO224" s="6" t="s">
        <v>1025</v>
      </c>
      <c r="AP224" s="4"/>
      <c r="AQ224" s="4"/>
      <c r="AR224" s="4"/>
      <c r="AS224" s="11">
        <v>10.6</v>
      </c>
      <c r="AT224" s="11"/>
      <c r="AU224" s="11"/>
      <c r="AV224" s="11"/>
      <c r="AW224" s="4"/>
      <c r="AX224" s="4">
        <f t="shared" si="18"/>
        <v>1</v>
      </c>
      <c r="AY224" s="93">
        <v>2</v>
      </c>
      <c r="AZ224" s="4">
        <v>2</v>
      </c>
    </row>
    <row r="225" spans="2:52" ht="14.25" customHeight="1" x14ac:dyDescent="0.25">
      <c r="B225" s="112" t="s">
        <v>65</v>
      </c>
      <c r="C225" s="6" t="s">
        <v>1192</v>
      </c>
      <c r="D225" s="9" t="s">
        <v>3</v>
      </c>
      <c r="E225" s="8" t="s">
        <v>1538</v>
      </c>
      <c r="F225" s="9">
        <v>11</v>
      </c>
      <c r="G225" s="9"/>
      <c r="H225" s="9"/>
      <c r="I225" s="7"/>
      <c r="J225" s="7"/>
      <c r="K225" s="7"/>
      <c r="L225" s="7"/>
      <c r="M225" s="122"/>
      <c r="N225" s="122"/>
      <c r="O225" s="122"/>
      <c r="P225" s="96"/>
      <c r="Q225" s="7"/>
      <c r="R225" s="93">
        <v>8.793589967851446</v>
      </c>
      <c r="S225" s="93">
        <v>5.9449786324786382</v>
      </c>
      <c r="T225" s="122" t="s">
        <v>1518</v>
      </c>
      <c r="U225" s="7"/>
      <c r="V225" s="7"/>
      <c r="W225" s="122"/>
      <c r="X225" s="122"/>
      <c r="Y225" s="122"/>
      <c r="Z225" s="7"/>
      <c r="AA225" s="7"/>
      <c r="AB225" s="7"/>
      <c r="AC225" s="7">
        <v>1</v>
      </c>
      <c r="AD225" s="7"/>
      <c r="AE225" s="7"/>
      <c r="AF225" s="7"/>
      <c r="AG225" s="7"/>
      <c r="AH225" s="7"/>
      <c r="AI225" s="7"/>
      <c r="AJ225" s="7"/>
      <c r="AK225" s="7"/>
      <c r="AL225" s="7"/>
      <c r="AM225" s="16">
        <v>44169</v>
      </c>
      <c r="AN225" s="4"/>
      <c r="AO225" s="11" t="s">
        <v>22</v>
      </c>
      <c r="AP225" s="4"/>
      <c r="AQ225" s="4"/>
      <c r="AR225" s="4"/>
      <c r="AS225" s="11">
        <v>500</v>
      </c>
      <c r="AT225" s="11"/>
      <c r="AU225" s="11"/>
      <c r="AV225" s="11"/>
      <c r="AW225" s="4"/>
      <c r="AX225" s="4">
        <f t="shared" si="18"/>
        <v>1</v>
      </c>
      <c r="AY225" s="93"/>
      <c r="AZ225" s="4">
        <v>0.25</v>
      </c>
    </row>
    <row r="226" spans="2:52" ht="14.25" customHeight="1" x14ac:dyDescent="0.25">
      <c r="B226" s="112" t="s">
        <v>2041</v>
      </c>
      <c r="C226" s="6" t="s">
        <v>2042</v>
      </c>
      <c r="D226" s="9" t="s">
        <v>4</v>
      </c>
      <c r="E226" s="9" t="s">
        <v>109</v>
      </c>
      <c r="F226" s="9">
        <v>2</v>
      </c>
      <c r="G226" s="9"/>
      <c r="H226" s="9"/>
      <c r="I226" s="7"/>
      <c r="J226" s="7">
        <v>6</v>
      </c>
      <c r="K226" s="7"/>
      <c r="L226" s="7"/>
      <c r="M226" s="122"/>
      <c r="N226" s="122"/>
      <c r="O226" s="122"/>
      <c r="P226" s="96"/>
      <c r="Q226" s="7"/>
      <c r="R226" s="93">
        <f t="shared" ref="R226" si="20">+BN226</f>
        <v>0</v>
      </c>
      <c r="S226" s="93">
        <f t="shared" ref="S226" si="21">+BS226</f>
        <v>0</v>
      </c>
      <c r="T226" s="122" t="s">
        <v>1518</v>
      </c>
      <c r="U226" s="7"/>
      <c r="V226" s="7"/>
      <c r="W226" s="122"/>
      <c r="X226" s="122"/>
      <c r="Y226" s="122"/>
      <c r="Z226" s="7"/>
      <c r="AA226" s="7">
        <v>1</v>
      </c>
      <c r="AB226" s="7"/>
      <c r="AC226" s="7"/>
      <c r="AD226" s="7">
        <v>1</v>
      </c>
      <c r="AE226" s="7"/>
      <c r="AF226" s="7"/>
      <c r="AG226" s="7"/>
      <c r="AH226" s="7"/>
      <c r="AI226" s="7"/>
      <c r="AJ226" s="7"/>
      <c r="AK226" s="7"/>
      <c r="AL226" s="7"/>
      <c r="AM226" s="16">
        <v>45295</v>
      </c>
      <c r="AN226" s="4"/>
      <c r="AO226" s="6" t="s">
        <v>1010</v>
      </c>
      <c r="AP226" s="4"/>
      <c r="AQ226" s="4"/>
      <c r="AR226" s="4"/>
      <c r="AS226" s="11">
        <v>50</v>
      </c>
      <c r="AT226" s="11"/>
      <c r="AU226" s="11"/>
      <c r="AV226" s="11"/>
      <c r="AW226" s="4"/>
      <c r="AX226" s="4">
        <f t="shared" ref="AX226" si="22">SUM(AA226:AL226)</f>
        <v>2</v>
      </c>
      <c r="AY226" s="93">
        <v>1</v>
      </c>
      <c r="AZ226" s="267">
        <v>0.125</v>
      </c>
    </row>
    <row r="227" spans="2:52" ht="14.25" customHeight="1" x14ac:dyDescent="0.25">
      <c r="B227" s="112" t="s">
        <v>1193</v>
      </c>
      <c r="C227" s="6" t="s">
        <v>1194</v>
      </c>
      <c r="D227" s="9" t="s">
        <v>3</v>
      </c>
      <c r="E227" s="9" t="s">
        <v>13</v>
      </c>
      <c r="F227" s="9" t="s">
        <v>25</v>
      </c>
      <c r="G227" s="9"/>
      <c r="H227" s="9"/>
      <c r="I227" s="7"/>
      <c r="J227" s="7"/>
      <c r="K227" s="7"/>
      <c r="L227" s="7"/>
      <c r="M227" s="122"/>
      <c r="N227" s="122"/>
      <c r="O227" s="122"/>
      <c r="P227" s="96"/>
      <c r="Q227" s="14">
        <v>0.5</v>
      </c>
      <c r="R227" s="93">
        <v>59.390889830678617</v>
      </c>
      <c r="S227" s="93">
        <v>1.4018850828729341</v>
      </c>
      <c r="T227" s="122" t="s">
        <v>1518</v>
      </c>
      <c r="U227" s="7"/>
      <c r="V227" s="7"/>
      <c r="W227" s="122"/>
      <c r="X227" s="122"/>
      <c r="Y227" s="122" t="s">
        <v>1518</v>
      </c>
      <c r="Z227" s="7"/>
      <c r="AA227" s="7"/>
      <c r="AB227" s="7"/>
      <c r="AC227" s="7">
        <v>1</v>
      </c>
      <c r="AD227" s="7"/>
      <c r="AE227" s="7"/>
      <c r="AF227" s="7"/>
      <c r="AG227" s="7"/>
      <c r="AH227" s="7"/>
      <c r="AI227" s="7"/>
      <c r="AJ227" s="7"/>
      <c r="AK227" s="7"/>
      <c r="AL227" s="7"/>
      <c r="AM227" s="16">
        <v>44169</v>
      </c>
      <c r="AN227" s="4"/>
      <c r="AO227" s="4" t="s">
        <v>49</v>
      </c>
      <c r="AP227" s="4"/>
      <c r="AQ227" s="4"/>
      <c r="AR227" s="4"/>
      <c r="AS227" s="11">
        <v>380</v>
      </c>
      <c r="AT227" s="11"/>
      <c r="AU227" s="11"/>
      <c r="AV227" s="11"/>
      <c r="AW227" s="4"/>
      <c r="AX227" s="4">
        <f t="shared" si="18"/>
        <v>1</v>
      </c>
      <c r="AY227" s="93"/>
      <c r="AZ227" s="4">
        <v>3</v>
      </c>
    </row>
    <row r="228" spans="2:52" ht="14.25" customHeight="1" x14ac:dyDescent="0.25">
      <c r="B228" s="112" t="s">
        <v>216</v>
      </c>
      <c r="C228" s="6" t="s">
        <v>1195</v>
      </c>
      <c r="D228" s="8" t="s">
        <v>4</v>
      </c>
      <c r="E228" s="9" t="s">
        <v>13</v>
      </c>
      <c r="F228" s="9">
        <v>4</v>
      </c>
      <c r="G228" s="9"/>
      <c r="H228" s="9"/>
      <c r="I228" s="7"/>
      <c r="J228" s="7"/>
      <c r="K228" s="7"/>
      <c r="L228" s="7"/>
      <c r="M228" s="122"/>
      <c r="N228" s="122"/>
      <c r="O228" s="122"/>
      <c r="P228" s="96"/>
      <c r="Q228" s="7"/>
      <c r="R228" s="93">
        <v>0.42816364513334831</v>
      </c>
      <c r="S228" s="93">
        <v>187.50614754098456</v>
      </c>
      <c r="T228" s="122" t="s">
        <v>1518</v>
      </c>
      <c r="U228" s="7"/>
      <c r="V228" s="7"/>
      <c r="W228" s="122" t="s">
        <v>1518</v>
      </c>
      <c r="X228" s="122"/>
      <c r="Y228" s="122"/>
      <c r="Z228" s="7"/>
      <c r="AA228" s="7">
        <v>1</v>
      </c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16">
        <v>44169</v>
      </c>
      <c r="AN228" s="4"/>
      <c r="AO228" s="4" t="s">
        <v>215</v>
      </c>
      <c r="AP228" s="4"/>
      <c r="AQ228" s="4"/>
      <c r="AR228" s="4"/>
      <c r="AS228" s="11">
        <v>200</v>
      </c>
      <c r="AT228" s="11"/>
      <c r="AU228" s="11"/>
      <c r="AV228" s="11"/>
      <c r="AW228" s="4"/>
      <c r="AX228" s="4">
        <f t="shared" si="18"/>
        <v>1</v>
      </c>
      <c r="AY228" s="93"/>
      <c r="AZ228" s="4">
        <v>0.9</v>
      </c>
    </row>
    <row r="229" spans="2:52" s="52" customFormat="1" ht="15" customHeight="1" x14ac:dyDescent="0.25">
      <c r="B229" s="112" t="s">
        <v>217</v>
      </c>
      <c r="C229" s="6" t="s">
        <v>1196</v>
      </c>
      <c r="D229" s="8" t="s">
        <v>4</v>
      </c>
      <c r="E229" s="8" t="s">
        <v>64</v>
      </c>
      <c r="F229" s="9">
        <v>4</v>
      </c>
      <c r="G229" s="9"/>
      <c r="H229" s="9"/>
      <c r="I229" s="7"/>
      <c r="J229" s="7"/>
      <c r="K229" s="7"/>
      <c r="L229" s="7"/>
      <c r="M229" s="122"/>
      <c r="N229" s="122"/>
      <c r="O229" s="122"/>
      <c r="P229" s="96"/>
      <c r="Q229" s="7"/>
      <c r="R229" s="93">
        <v>0.42816364513334831</v>
      </c>
      <c r="S229" s="93">
        <v>187.50614754098456</v>
      </c>
      <c r="T229" s="122" t="s">
        <v>1518</v>
      </c>
      <c r="U229" s="7"/>
      <c r="V229" s="7"/>
      <c r="W229" s="122" t="s">
        <v>1518</v>
      </c>
      <c r="X229" s="122"/>
      <c r="Y229" s="122"/>
      <c r="Z229" s="7"/>
      <c r="AA229" s="7">
        <v>1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16">
        <v>44169</v>
      </c>
      <c r="AN229" s="4"/>
      <c r="AO229" s="4" t="s">
        <v>215</v>
      </c>
      <c r="AP229" s="4"/>
      <c r="AQ229" s="4"/>
      <c r="AR229" s="4"/>
      <c r="AS229" s="11">
        <v>200</v>
      </c>
      <c r="AT229" s="11"/>
      <c r="AU229" s="11"/>
      <c r="AV229" s="11"/>
      <c r="AW229" s="4"/>
      <c r="AX229" s="4">
        <f t="shared" si="18"/>
        <v>1</v>
      </c>
      <c r="AY229" s="93"/>
      <c r="AZ229" s="4">
        <v>0.9</v>
      </c>
    </row>
    <row r="230" spans="2:52" s="52" customFormat="1" ht="15" customHeight="1" x14ac:dyDescent="0.25">
      <c r="B230" s="112" t="s">
        <v>218</v>
      </c>
      <c r="C230" s="6" t="s">
        <v>1197</v>
      </c>
      <c r="D230" s="8" t="s">
        <v>4</v>
      </c>
      <c r="E230" s="7" t="s">
        <v>19</v>
      </c>
      <c r="F230" s="9">
        <v>1</v>
      </c>
      <c r="G230" s="9"/>
      <c r="H230" s="9"/>
      <c r="I230" s="7"/>
      <c r="J230" s="7"/>
      <c r="K230" s="7"/>
      <c r="L230" s="7"/>
      <c r="M230" s="122"/>
      <c r="N230" s="122"/>
      <c r="O230" s="122"/>
      <c r="P230" s="96"/>
      <c r="Q230" s="7"/>
      <c r="R230" s="93">
        <v>1.4351105541832885E-3</v>
      </c>
      <c r="S230" s="93">
        <v>104.81443298969072</v>
      </c>
      <c r="T230" s="122" t="s">
        <v>1518</v>
      </c>
      <c r="U230" s="7"/>
      <c r="V230" s="7"/>
      <c r="W230" s="122" t="s">
        <v>1518</v>
      </c>
      <c r="X230" s="122"/>
      <c r="Y230" s="122" t="s">
        <v>1518</v>
      </c>
      <c r="Z230" s="7"/>
      <c r="AA230" s="7"/>
      <c r="AB230" s="7">
        <v>1</v>
      </c>
      <c r="AC230" s="7">
        <v>1</v>
      </c>
      <c r="AD230" s="7"/>
      <c r="AE230" s="7">
        <v>1</v>
      </c>
      <c r="AF230" s="7">
        <v>1</v>
      </c>
      <c r="AG230" s="7">
        <v>1</v>
      </c>
      <c r="AH230" s="7">
        <v>1</v>
      </c>
      <c r="AI230" s="7">
        <v>1</v>
      </c>
      <c r="AJ230" s="7"/>
      <c r="AK230" s="7">
        <v>1</v>
      </c>
      <c r="AL230" s="7"/>
      <c r="AM230" s="16">
        <v>44169</v>
      </c>
      <c r="AN230" s="4"/>
      <c r="AO230" s="13" t="s">
        <v>1026</v>
      </c>
      <c r="AP230" s="4"/>
      <c r="AQ230" s="4"/>
      <c r="AR230" s="4"/>
      <c r="AS230" s="11">
        <v>100</v>
      </c>
      <c r="AT230" s="11"/>
      <c r="AU230" s="11"/>
      <c r="AV230" s="11"/>
      <c r="AW230" s="4"/>
      <c r="AX230" s="4">
        <f t="shared" si="18"/>
        <v>8</v>
      </c>
      <c r="AY230" s="93"/>
      <c r="AZ230" s="4">
        <v>2</v>
      </c>
    </row>
    <row r="231" spans="2:52" ht="14.25" customHeight="1" x14ac:dyDescent="0.25">
      <c r="B231" s="112" t="s">
        <v>1198</v>
      </c>
      <c r="C231" s="6" t="s">
        <v>1199</v>
      </c>
      <c r="D231" s="8" t="s">
        <v>3</v>
      </c>
      <c r="E231" s="7" t="s">
        <v>19</v>
      </c>
      <c r="F231" s="8">
        <v>40</v>
      </c>
      <c r="G231" s="8"/>
      <c r="H231" s="8"/>
      <c r="I231" s="7"/>
      <c r="J231" s="7"/>
      <c r="K231" s="7"/>
      <c r="L231" s="7"/>
      <c r="M231" s="122"/>
      <c r="N231" s="122"/>
      <c r="O231" s="122"/>
      <c r="P231" s="96"/>
      <c r="Q231" s="7"/>
      <c r="R231" s="93">
        <v>0.29825997782780167</v>
      </c>
      <c r="S231" s="93">
        <v>0.10304629629629623</v>
      </c>
      <c r="T231" s="122"/>
      <c r="U231" s="7"/>
      <c r="V231" s="7"/>
      <c r="W231" s="122" t="s">
        <v>1518</v>
      </c>
      <c r="X231" s="122"/>
      <c r="Y231" s="122"/>
      <c r="Z231" s="7"/>
      <c r="AA231" s="7"/>
      <c r="AB231" s="7"/>
      <c r="AC231" s="7">
        <v>1</v>
      </c>
      <c r="AD231" s="7"/>
      <c r="AE231" s="7"/>
      <c r="AF231" s="7"/>
      <c r="AG231" s="7"/>
      <c r="AH231" s="7"/>
      <c r="AI231" s="7"/>
      <c r="AJ231" s="7"/>
      <c r="AK231" s="7">
        <v>1</v>
      </c>
      <c r="AL231" s="7"/>
      <c r="AM231" s="16">
        <v>44540</v>
      </c>
      <c r="AN231" s="4"/>
      <c r="AO231" s="13" t="s">
        <v>1001</v>
      </c>
      <c r="AP231" s="4"/>
      <c r="AQ231" s="4"/>
      <c r="AR231" s="4"/>
      <c r="AS231" s="11">
        <v>150</v>
      </c>
      <c r="AT231" s="11"/>
      <c r="AU231" s="11"/>
      <c r="AV231" s="11"/>
      <c r="AW231" s="4"/>
      <c r="AX231" s="4">
        <f t="shared" si="18"/>
        <v>2</v>
      </c>
      <c r="AY231" s="93"/>
      <c r="AZ231" s="4">
        <v>1</v>
      </c>
    </row>
    <row r="232" spans="2:52" ht="14.25" customHeight="1" x14ac:dyDescent="0.25">
      <c r="B232" s="112" t="s">
        <v>219</v>
      </c>
      <c r="C232" s="6" t="s">
        <v>1200</v>
      </c>
      <c r="D232" s="8" t="s">
        <v>4</v>
      </c>
      <c r="E232" s="9" t="s">
        <v>17</v>
      </c>
      <c r="F232" s="9">
        <v>1</v>
      </c>
      <c r="G232" s="9"/>
      <c r="H232" s="9"/>
      <c r="I232" s="7"/>
      <c r="J232" s="7"/>
      <c r="K232" s="7"/>
      <c r="L232" s="7"/>
      <c r="M232" s="122"/>
      <c r="N232" s="122"/>
      <c r="O232" s="122"/>
      <c r="P232" s="96"/>
      <c r="Q232" s="7"/>
      <c r="R232" s="93">
        <v>0.96147165134955359</v>
      </c>
      <c r="S232" s="93">
        <v>67.680243750906783</v>
      </c>
      <c r="T232" s="122" t="s">
        <v>1518</v>
      </c>
      <c r="U232" s="7"/>
      <c r="V232" s="7"/>
      <c r="W232" s="122"/>
      <c r="X232" s="122"/>
      <c r="Y232" s="122" t="s">
        <v>1518</v>
      </c>
      <c r="Z232" s="7"/>
      <c r="AA232" s="7">
        <v>1</v>
      </c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16">
        <v>44169</v>
      </c>
      <c r="AN232" s="4"/>
      <c r="AO232" s="6" t="s">
        <v>1027</v>
      </c>
      <c r="AP232" s="6" t="s">
        <v>300</v>
      </c>
      <c r="AQ232" s="4"/>
      <c r="AR232" s="4"/>
      <c r="AS232" s="11">
        <v>69</v>
      </c>
      <c r="AT232" s="11">
        <v>34.5</v>
      </c>
      <c r="AU232" s="11"/>
      <c r="AV232" s="11"/>
      <c r="AW232" s="4"/>
      <c r="AX232" s="4">
        <f t="shared" si="18"/>
        <v>1</v>
      </c>
      <c r="AY232" s="93">
        <v>1</v>
      </c>
      <c r="AZ232" s="4">
        <v>1.2</v>
      </c>
    </row>
    <row r="233" spans="2:52" ht="14.25" customHeight="1" x14ac:dyDescent="0.25">
      <c r="B233" s="116" t="s">
        <v>220</v>
      </c>
      <c r="C233" s="6" t="s">
        <v>1201</v>
      </c>
      <c r="D233" s="54" t="s">
        <v>4</v>
      </c>
      <c r="E233" s="9" t="s">
        <v>13</v>
      </c>
      <c r="F233" s="9">
        <v>15</v>
      </c>
      <c r="G233" s="9"/>
      <c r="H233" s="9"/>
      <c r="I233" s="7">
        <v>20</v>
      </c>
      <c r="J233" s="50"/>
      <c r="K233" s="50"/>
      <c r="L233" s="7" t="s">
        <v>80</v>
      </c>
      <c r="M233" s="123" t="s">
        <v>1518</v>
      </c>
      <c r="N233" s="122" t="s">
        <v>1518</v>
      </c>
      <c r="O233" s="123" t="s">
        <v>1518</v>
      </c>
      <c r="P233" s="148" t="s">
        <v>180</v>
      </c>
      <c r="Q233" s="50"/>
      <c r="R233" s="93">
        <v>2.957136781681764</v>
      </c>
      <c r="S233" s="93">
        <v>94.188854041013286</v>
      </c>
      <c r="T233" s="123" t="s">
        <v>1518</v>
      </c>
      <c r="U233" s="50"/>
      <c r="V233" s="50"/>
      <c r="W233" s="123" t="s">
        <v>1518</v>
      </c>
      <c r="X233" s="123"/>
      <c r="Y233" s="123" t="s">
        <v>1518</v>
      </c>
      <c r="Z233" s="50"/>
      <c r="AA233" s="50"/>
      <c r="AB233" s="50"/>
      <c r="AC233" s="50"/>
      <c r="AD233" s="50">
        <v>3</v>
      </c>
      <c r="AE233" s="50"/>
      <c r="AF233" s="50">
        <v>3</v>
      </c>
      <c r="AG233" s="50"/>
      <c r="AH233" s="50"/>
      <c r="AI233" s="50"/>
      <c r="AJ233" s="50"/>
      <c r="AK233" s="50"/>
      <c r="AL233" s="50"/>
      <c r="AM233" s="16">
        <v>44169</v>
      </c>
      <c r="AN233" s="4"/>
      <c r="AO233" s="6" t="s">
        <v>990</v>
      </c>
      <c r="AP233" s="51"/>
      <c r="AQ233" s="51"/>
      <c r="AR233" s="51"/>
      <c r="AS233" s="53">
        <v>960</v>
      </c>
      <c r="AT233" s="53"/>
      <c r="AU233" s="53"/>
      <c r="AV233" s="53"/>
      <c r="AW233" s="4" t="s">
        <v>1825</v>
      </c>
      <c r="AX233" s="4">
        <f t="shared" si="18"/>
        <v>6</v>
      </c>
      <c r="AY233" s="94"/>
      <c r="AZ233" s="4">
        <v>1.6</v>
      </c>
    </row>
    <row r="234" spans="2:52" ht="14.25" customHeight="1" x14ac:dyDescent="0.25">
      <c r="B234" s="116" t="s">
        <v>670</v>
      </c>
      <c r="C234" s="6" t="s">
        <v>1201</v>
      </c>
      <c r="D234" s="54" t="s">
        <v>4</v>
      </c>
      <c r="E234" s="9" t="s">
        <v>13</v>
      </c>
      <c r="F234" s="9">
        <v>15</v>
      </c>
      <c r="G234" s="9"/>
      <c r="H234" s="9"/>
      <c r="I234" s="7">
        <v>6</v>
      </c>
      <c r="J234" s="50"/>
      <c r="K234" s="50"/>
      <c r="L234" s="7" t="s">
        <v>120</v>
      </c>
      <c r="M234" s="123" t="s">
        <v>1518</v>
      </c>
      <c r="N234" s="122" t="s">
        <v>1518</v>
      </c>
      <c r="O234" s="123" t="s">
        <v>1518</v>
      </c>
      <c r="P234" s="97" t="s">
        <v>180</v>
      </c>
      <c r="Q234" s="50"/>
      <c r="R234" s="93">
        <v>1.8482104885511026</v>
      </c>
      <c r="S234" s="93">
        <v>58.868033775633307</v>
      </c>
      <c r="T234" s="123" t="s">
        <v>1518</v>
      </c>
      <c r="U234" s="50"/>
      <c r="V234" s="50"/>
      <c r="W234" s="123" t="s">
        <v>1518</v>
      </c>
      <c r="X234" s="123"/>
      <c r="Y234" s="123" t="s">
        <v>1518</v>
      </c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16">
        <v>44169</v>
      </c>
      <c r="AN234" s="4"/>
      <c r="AO234" s="6" t="s">
        <v>990</v>
      </c>
      <c r="AP234" s="51"/>
      <c r="AQ234" s="51"/>
      <c r="AR234" s="51"/>
      <c r="AS234" s="53">
        <v>960</v>
      </c>
      <c r="AT234" s="53"/>
      <c r="AU234" s="53"/>
      <c r="AV234" s="53"/>
      <c r="AW234" s="4" t="s">
        <v>1825</v>
      </c>
      <c r="AX234" s="4">
        <f t="shared" si="18"/>
        <v>0</v>
      </c>
      <c r="AY234" s="94"/>
      <c r="AZ234" s="4">
        <v>1</v>
      </c>
    </row>
    <row r="235" spans="2:52" ht="14.25" customHeight="1" x14ac:dyDescent="0.25">
      <c r="B235" s="112" t="s">
        <v>1202</v>
      </c>
      <c r="C235" s="6" t="s">
        <v>1964</v>
      </c>
      <c r="D235" s="9" t="s">
        <v>4</v>
      </c>
      <c r="E235" s="9" t="s">
        <v>13</v>
      </c>
      <c r="F235" s="9">
        <v>15</v>
      </c>
      <c r="G235" s="9"/>
      <c r="H235" s="9"/>
      <c r="I235" s="7"/>
      <c r="J235" s="7"/>
      <c r="K235" s="7"/>
      <c r="L235" s="7"/>
      <c r="M235" s="122"/>
      <c r="N235" s="122"/>
      <c r="O235" s="122"/>
      <c r="P235" s="96"/>
      <c r="Q235" s="14"/>
      <c r="R235" s="93">
        <v>8.0546301395273971</v>
      </c>
      <c r="S235" s="93">
        <v>254.17500000000004</v>
      </c>
      <c r="T235" s="122" t="s">
        <v>1518</v>
      </c>
      <c r="U235" s="7"/>
      <c r="V235" s="7"/>
      <c r="W235" s="122" t="s">
        <v>1518</v>
      </c>
      <c r="X235" s="122"/>
      <c r="Y235" s="122" t="s">
        <v>1518</v>
      </c>
      <c r="Z235" s="7"/>
      <c r="AA235" s="7"/>
      <c r="AB235" s="7">
        <v>1</v>
      </c>
      <c r="AC235" s="7"/>
      <c r="AD235" s="7">
        <v>1</v>
      </c>
      <c r="AE235" s="7"/>
      <c r="AF235" s="7">
        <v>1</v>
      </c>
      <c r="AG235" s="7"/>
      <c r="AH235" s="7">
        <v>1</v>
      </c>
      <c r="AI235" s="7">
        <v>1</v>
      </c>
      <c r="AJ235" s="7"/>
      <c r="AK235" s="7"/>
      <c r="AL235" s="7"/>
      <c r="AM235" s="16">
        <v>44169</v>
      </c>
      <c r="AN235" s="4"/>
      <c r="AO235" s="6" t="s">
        <v>1008</v>
      </c>
      <c r="AP235" s="4"/>
      <c r="AQ235" s="4"/>
      <c r="AR235" s="4"/>
      <c r="AS235" s="11">
        <v>720</v>
      </c>
      <c r="AT235" s="11"/>
      <c r="AU235" s="11"/>
      <c r="AV235" s="11"/>
      <c r="AW235" s="4"/>
      <c r="AX235" s="4">
        <f t="shared" si="18"/>
        <v>5</v>
      </c>
      <c r="AY235" s="93"/>
      <c r="AZ235" s="4">
        <v>1.4</v>
      </c>
    </row>
    <row r="236" spans="2:52" ht="24" customHeight="1" x14ac:dyDescent="0.25">
      <c r="B236" s="112" t="s">
        <v>66</v>
      </c>
      <c r="C236" s="6" t="s">
        <v>1203</v>
      </c>
      <c r="D236" s="8" t="s">
        <v>3</v>
      </c>
      <c r="E236" s="9" t="s">
        <v>26</v>
      </c>
      <c r="F236" s="8">
        <v>7</v>
      </c>
      <c r="G236" s="8"/>
      <c r="H236" s="8"/>
      <c r="I236" s="7"/>
      <c r="J236" s="7"/>
      <c r="K236" s="7"/>
      <c r="L236" s="7"/>
      <c r="M236" s="122" t="s">
        <v>1518</v>
      </c>
      <c r="N236" s="122" t="s">
        <v>1518</v>
      </c>
      <c r="O236" s="122"/>
      <c r="P236" s="96"/>
      <c r="Q236" s="7"/>
      <c r="R236" s="93">
        <v>0</v>
      </c>
      <c r="S236" s="93">
        <v>0</v>
      </c>
      <c r="T236" s="122" t="s">
        <v>1518</v>
      </c>
      <c r="U236" s="7"/>
      <c r="V236" s="7"/>
      <c r="W236" s="122"/>
      <c r="X236" s="122"/>
      <c r="Y236" s="122"/>
      <c r="Z236" s="7"/>
      <c r="AA236" s="7"/>
      <c r="AB236" s="7"/>
      <c r="AC236" s="7">
        <v>1</v>
      </c>
      <c r="AD236" s="7"/>
      <c r="AE236" s="7"/>
      <c r="AF236" s="7"/>
      <c r="AG236" s="7"/>
      <c r="AH236" s="7"/>
      <c r="AI236" s="7"/>
      <c r="AJ236" s="7"/>
      <c r="AK236" s="7"/>
      <c r="AL236" s="7"/>
      <c r="AM236" s="16">
        <v>44169</v>
      </c>
      <c r="AN236" s="4"/>
      <c r="AO236" s="4" t="s">
        <v>67</v>
      </c>
      <c r="AP236" s="4"/>
      <c r="AQ236" s="4"/>
      <c r="AR236" s="4"/>
      <c r="AS236" s="11">
        <v>460</v>
      </c>
      <c r="AT236" s="11"/>
      <c r="AU236" s="11"/>
      <c r="AV236" s="11"/>
      <c r="AW236" s="4"/>
      <c r="AX236" s="4">
        <f t="shared" si="18"/>
        <v>1</v>
      </c>
      <c r="AY236" s="93"/>
      <c r="AZ236" s="4"/>
    </row>
    <row r="237" spans="2:52" ht="36" customHeight="1" x14ac:dyDescent="0.25">
      <c r="B237" s="112" t="s">
        <v>68</v>
      </c>
      <c r="C237" s="6" t="s">
        <v>1204</v>
      </c>
      <c r="D237" s="8" t="s">
        <v>3</v>
      </c>
      <c r="E237" s="9" t="s">
        <v>26</v>
      </c>
      <c r="F237" s="8" t="s">
        <v>25</v>
      </c>
      <c r="G237" s="8"/>
      <c r="H237" s="8"/>
      <c r="I237" s="7"/>
      <c r="J237" s="7"/>
      <c r="K237" s="7"/>
      <c r="L237" s="7"/>
      <c r="M237" s="122"/>
      <c r="N237" s="122"/>
      <c r="O237" s="122"/>
      <c r="P237" s="96"/>
      <c r="Q237" s="14">
        <v>0.5</v>
      </c>
      <c r="R237" s="93">
        <v>46.887544603167356</v>
      </c>
      <c r="S237" s="93">
        <v>0.45056680161943419</v>
      </c>
      <c r="T237" s="122" t="s">
        <v>1518</v>
      </c>
      <c r="U237" s="7"/>
      <c r="V237" s="7"/>
      <c r="W237" s="122" t="s">
        <v>1518</v>
      </c>
      <c r="X237" s="122"/>
      <c r="Y237" s="122" t="s">
        <v>1518</v>
      </c>
      <c r="Z237" s="7" t="s">
        <v>7</v>
      </c>
      <c r="AA237" s="7"/>
      <c r="AB237" s="7">
        <v>1</v>
      </c>
      <c r="AC237" s="7">
        <v>1</v>
      </c>
      <c r="AD237" s="7"/>
      <c r="AE237" s="7"/>
      <c r="AF237" s="7"/>
      <c r="AG237" s="7"/>
      <c r="AH237" s="7"/>
      <c r="AI237" s="7"/>
      <c r="AJ237" s="7"/>
      <c r="AK237" s="7"/>
      <c r="AL237" s="7"/>
      <c r="AM237" s="16">
        <v>44169</v>
      </c>
      <c r="AN237" s="4"/>
      <c r="AO237" s="4" t="s">
        <v>69</v>
      </c>
      <c r="AP237" s="4"/>
      <c r="AQ237" s="4"/>
      <c r="AR237" s="4"/>
      <c r="AS237" s="11">
        <v>300</v>
      </c>
      <c r="AT237" s="11"/>
      <c r="AU237" s="11"/>
      <c r="AV237" s="11"/>
      <c r="AW237" s="4"/>
      <c r="AX237" s="4">
        <f t="shared" si="18"/>
        <v>2</v>
      </c>
      <c r="AY237" s="93"/>
      <c r="AZ237" s="4">
        <v>3</v>
      </c>
    </row>
    <row r="238" spans="2:52" ht="14.25" customHeight="1" x14ac:dyDescent="0.25">
      <c r="B238" s="112" t="s">
        <v>221</v>
      </c>
      <c r="C238" s="6" t="s">
        <v>1205</v>
      </c>
      <c r="D238" s="8" t="s">
        <v>4</v>
      </c>
      <c r="E238" s="8" t="s">
        <v>29</v>
      </c>
      <c r="F238" s="9">
        <v>1</v>
      </c>
      <c r="G238" s="9"/>
      <c r="H238" s="9"/>
      <c r="I238" s="7"/>
      <c r="J238" s="7"/>
      <c r="K238" s="7"/>
      <c r="L238" s="7"/>
      <c r="M238" s="122"/>
      <c r="N238" s="122"/>
      <c r="O238" s="122"/>
      <c r="P238" s="96"/>
      <c r="Q238" s="7"/>
      <c r="R238" s="93">
        <v>0.10543701414231428</v>
      </c>
      <c r="S238" s="93">
        <v>69.828296703296587</v>
      </c>
      <c r="T238" s="122" t="s">
        <v>1518</v>
      </c>
      <c r="U238" s="7"/>
      <c r="V238" s="7"/>
      <c r="W238" s="122"/>
      <c r="X238" s="122"/>
      <c r="Y238" s="122"/>
      <c r="Z238" s="7"/>
      <c r="AA238" s="7"/>
      <c r="AB238" s="7">
        <v>1</v>
      </c>
      <c r="AC238" s="7">
        <v>1</v>
      </c>
      <c r="AD238" s="7"/>
      <c r="AE238" s="7">
        <v>1</v>
      </c>
      <c r="AF238" s="7">
        <v>1</v>
      </c>
      <c r="AG238" s="7">
        <v>1</v>
      </c>
      <c r="AH238" s="7">
        <v>1</v>
      </c>
      <c r="AI238" s="7">
        <v>1</v>
      </c>
      <c r="AJ238" s="7"/>
      <c r="AK238" s="7">
        <v>1</v>
      </c>
      <c r="AL238" s="7"/>
      <c r="AM238" s="16">
        <v>44169</v>
      </c>
      <c r="AN238" s="4"/>
      <c r="AO238" s="6" t="s">
        <v>1028</v>
      </c>
      <c r="AP238" s="4"/>
      <c r="AQ238" s="4"/>
      <c r="AR238" s="4"/>
      <c r="AS238" s="11">
        <v>125</v>
      </c>
      <c r="AT238" s="11"/>
      <c r="AU238" s="11"/>
      <c r="AV238" s="11"/>
      <c r="AW238" s="4"/>
      <c r="AX238" s="4">
        <f t="shared" si="18"/>
        <v>8</v>
      </c>
      <c r="AY238" s="93">
        <v>1</v>
      </c>
      <c r="AZ238" s="4">
        <v>1</v>
      </c>
    </row>
    <row r="239" spans="2:52" ht="14.25" customHeight="1" x14ac:dyDescent="0.25">
      <c r="B239" s="112" t="s">
        <v>1829</v>
      </c>
      <c r="C239" s="6" t="s">
        <v>1830</v>
      </c>
      <c r="D239" s="8" t="s">
        <v>4</v>
      </c>
      <c r="E239" s="8" t="s">
        <v>13</v>
      </c>
      <c r="F239" s="9" t="s">
        <v>962</v>
      </c>
      <c r="G239" s="9"/>
      <c r="H239" s="9"/>
      <c r="I239" s="7"/>
      <c r="J239" s="7"/>
      <c r="K239" s="7"/>
      <c r="L239" s="7"/>
      <c r="M239" s="122"/>
      <c r="N239" s="122"/>
      <c r="O239" s="122"/>
      <c r="P239" s="96"/>
      <c r="Q239" s="7"/>
      <c r="R239" s="93">
        <v>0.54862255127722548</v>
      </c>
      <c r="S239" s="93">
        <v>22.137822580645185</v>
      </c>
      <c r="T239" s="122" t="s">
        <v>1518</v>
      </c>
      <c r="U239" s="7"/>
      <c r="V239" s="7"/>
      <c r="W239" s="122"/>
      <c r="X239" s="122"/>
      <c r="Y239" s="122"/>
      <c r="Z239" s="7"/>
      <c r="AA239" s="7"/>
      <c r="AB239" s="7"/>
      <c r="AC239" s="7"/>
      <c r="AD239" s="7"/>
      <c r="AE239" s="7">
        <v>1</v>
      </c>
      <c r="AF239" s="7"/>
      <c r="AG239" s="7"/>
      <c r="AH239" s="7"/>
      <c r="AI239" s="7"/>
      <c r="AJ239" s="7"/>
      <c r="AK239" s="7">
        <v>1</v>
      </c>
      <c r="AL239" s="7"/>
      <c r="AM239" s="16">
        <v>44911</v>
      </c>
      <c r="AN239" s="4"/>
      <c r="AO239" s="4" t="s">
        <v>177</v>
      </c>
      <c r="AP239" s="4"/>
      <c r="AQ239" s="4"/>
      <c r="AR239" s="4"/>
      <c r="AS239" s="11">
        <v>450</v>
      </c>
      <c r="AT239" s="11"/>
      <c r="AU239" s="11"/>
      <c r="AV239" s="11"/>
      <c r="AW239" s="4"/>
      <c r="AX239" s="4">
        <f t="shared" si="18"/>
        <v>2</v>
      </c>
      <c r="AY239" s="93"/>
      <c r="AZ239" s="4">
        <v>3</v>
      </c>
    </row>
    <row r="240" spans="2:52" ht="14.25" customHeight="1" x14ac:dyDescent="0.25">
      <c r="B240" s="112" t="s">
        <v>942</v>
      </c>
      <c r="C240" s="6" t="s">
        <v>1206</v>
      </c>
      <c r="D240" s="8" t="s">
        <v>4</v>
      </c>
      <c r="E240" s="9" t="s">
        <v>13</v>
      </c>
      <c r="F240" s="9">
        <v>15</v>
      </c>
      <c r="G240" s="9">
        <v>34</v>
      </c>
      <c r="H240" s="9" t="s">
        <v>962</v>
      </c>
      <c r="I240" s="7">
        <v>6</v>
      </c>
      <c r="J240" s="7"/>
      <c r="K240" s="7"/>
      <c r="L240" s="7" t="s">
        <v>14</v>
      </c>
      <c r="M240" s="122" t="s">
        <v>1518</v>
      </c>
      <c r="N240" s="122" t="s">
        <v>1518</v>
      </c>
      <c r="O240" s="122"/>
      <c r="P240" s="96" t="s">
        <v>1520</v>
      </c>
      <c r="Q240" s="7"/>
      <c r="R240" s="93">
        <v>5.9453000031463841</v>
      </c>
      <c r="S240" s="93">
        <v>238.63557603686627</v>
      </c>
      <c r="T240" s="122" t="s">
        <v>1518</v>
      </c>
      <c r="U240" s="7"/>
      <c r="V240" s="7"/>
      <c r="W240" s="122"/>
      <c r="X240" s="122"/>
      <c r="Y240" s="122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16">
        <v>44169</v>
      </c>
      <c r="AN240" s="4"/>
      <c r="AO240" s="4" t="s">
        <v>1018</v>
      </c>
      <c r="AP240" s="6" t="s">
        <v>178</v>
      </c>
      <c r="AQ240" s="4" t="s">
        <v>177</v>
      </c>
      <c r="AR240" s="4"/>
      <c r="AS240" s="11">
        <v>187.5</v>
      </c>
      <c r="AT240" s="11">
        <v>30</v>
      </c>
      <c r="AU240" s="11">
        <v>187.5</v>
      </c>
      <c r="AV240" s="11"/>
      <c r="AW240" s="4" t="s">
        <v>1823</v>
      </c>
      <c r="AX240" s="4">
        <f t="shared" si="18"/>
        <v>0</v>
      </c>
      <c r="AY240" s="93">
        <v>1</v>
      </c>
      <c r="AZ240" s="4">
        <v>4</v>
      </c>
    </row>
    <row r="241" spans="2:52" ht="14.25" customHeight="1" x14ac:dyDescent="0.25">
      <c r="B241" s="112" t="s">
        <v>222</v>
      </c>
      <c r="C241" s="6" t="s">
        <v>1207</v>
      </c>
      <c r="D241" s="8" t="s">
        <v>4</v>
      </c>
      <c r="E241" s="8" t="s">
        <v>29</v>
      </c>
      <c r="F241" s="9">
        <v>5</v>
      </c>
      <c r="G241" s="9">
        <v>15</v>
      </c>
      <c r="H241" s="9"/>
      <c r="I241" s="7">
        <v>6</v>
      </c>
      <c r="J241" s="7"/>
      <c r="K241" s="7"/>
      <c r="L241" s="7" t="s">
        <v>80</v>
      </c>
      <c r="M241" s="122" t="s">
        <v>1518</v>
      </c>
      <c r="N241" s="122" t="s">
        <v>1518</v>
      </c>
      <c r="O241" s="122" t="s">
        <v>1518</v>
      </c>
      <c r="P241" s="96" t="s">
        <v>1501</v>
      </c>
      <c r="Q241" s="7"/>
      <c r="R241" s="93">
        <v>5.3362339007753512</v>
      </c>
      <c r="S241" s="93">
        <v>553.13410121416439</v>
      </c>
      <c r="T241" s="122" t="s">
        <v>1518</v>
      </c>
      <c r="U241" s="7"/>
      <c r="V241" s="7"/>
      <c r="W241" s="122" t="s">
        <v>1518</v>
      </c>
      <c r="X241" s="122"/>
      <c r="Y241" s="122" t="s">
        <v>1518</v>
      </c>
      <c r="Z241" s="7"/>
      <c r="AA241" s="7"/>
      <c r="AB241" s="7"/>
      <c r="AC241" s="7"/>
      <c r="AD241" s="7">
        <v>3</v>
      </c>
      <c r="AE241" s="7"/>
      <c r="AF241" s="7"/>
      <c r="AG241" s="7"/>
      <c r="AH241" s="7"/>
      <c r="AI241" s="7"/>
      <c r="AJ241" s="7"/>
      <c r="AK241" s="7"/>
      <c r="AL241" s="7"/>
      <c r="AM241" s="16">
        <v>44169</v>
      </c>
      <c r="AN241" s="4"/>
      <c r="AO241" s="4" t="s">
        <v>121</v>
      </c>
      <c r="AP241" s="4" t="s">
        <v>963</v>
      </c>
      <c r="AQ241" s="4"/>
      <c r="AR241" s="4"/>
      <c r="AS241" s="11">
        <v>188</v>
      </c>
      <c r="AT241" s="11">
        <v>313</v>
      </c>
      <c r="AU241" s="11"/>
      <c r="AV241" s="11"/>
      <c r="AW241" s="4" t="s">
        <v>1824</v>
      </c>
      <c r="AX241" s="4">
        <f t="shared" si="18"/>
        <v>3</v>
      </c>
      <c r="AY241" s="93"/>
      <c r="AZ241" s="4">
        <v>4</v>
      </c>
    </row>
    <row r="242" spans="2:52" ht="14.25" customHeight="1" x14ac:dyDescent="0.25">
      <c r="B242" s="112" t="s">
        <v>223</v>
      </c>
      <c r="C242" s="6" t="s">
        <v>1208</v>
      </c>
      <c r="D242" s="8" t="s">
        <v>4</v>
      </c>
      <c r="E242" s="8" t="s">
        <v>29</v>
      </c>
      <c r="F242" s="9">
        <v>4</v>
      </c>
      <c r="G242" s="9"/>
      <c r="H242" s="9"/>
      <c r="I242" s="7"/>
      <c r="J242" s="7"/>
      <c r="K242" s="7"/>
      <c r="L242" s="7"/>
      <c r="M242" s="122" t="s">
        <v>1518</v>
      </c>
      <c r="N242" s="122" t="s">
        <v>1518</v>
      </c>
      <c r="O242" s="122"/>
      <c r="P242" s="96"/>
      <c r="Q242" s="7"/>
      <c r="R242" s="93">
        <v>0</v>
      </c>
      <c r="S242" s="93">
        <v>0</v>
      </c>
      <c r="T242" s="122" t="s">
        <v>1518</v>
      </c>
      <c r="U242" s="7"/>
      <c r="V242" s="7"/>
      <c r="W242" s="122" t="s">
        <v>1518</v>
      </c>
      <c r="X242" s="122" t="s">
        <v>1518</v>
      </c>
      <c r="Y242" s="122" t="s">
        <v>1518</v>
      </c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>
        <v>1</v>
      </c>
      <c r="AM242" s="16">
        <v>44169</v>
      </c>
      <c r="AN242" s="4"/>
      <c r="AO242" s="4" t="s">
        <v>224</v>
      </c>
      <c r="AP242" s="4"/>
      <c r="AQ242" s="4"/>
      <c r="AR242" s="4"/>
      <c r="AS242" s="11">
        <v>120</v>
      </c>
      <c r="AT242" s="11"/>
      <c r="AU242" s="11"/>
      <c r="AV242" s="11"/>
      <c r="AW242" s="4"/>
      <c r="AX242" s="4">
        <f t="shared" si="18"/>
        <v>1</v>
      </c>
      <c r="AY242" s="93"/>
      <c r="AZ242" s="4"/>
    </row>
    <row r="243" spans="2:52" ht="14.25" customHeight="1" x14ac:dyDescent="0.25">
      <c r="B243" s="112" t="s">
        <v>225</v>
      </c>
      <c r="C243" s="6" t="s">
        <v>1669</v>
      </c>
      <c r="D243" s="8" t="s">
        <v>4</v>
      </c>
      <c r="E243" s="9" t="s">
        <v>186</v>
      </c>
      <c r="F243" s="9">
        <v>4</v>
      </c>
      <c r="G243" s="9">
        <v>4</v>
      </c>
      <c r="H243" s="9"/>
      <c r="I243" s="7">
        <v>6</v>
      </c>
      <c r="J243" s="7"/>
      <c r="K243" s="7"/>
      <c r="L243" s="7" t="s">
        <v>14</v>
      </c>
      <c r="M243" s="122" t="s">
        <v>1518</v>
      </c>
      <c r="N243" s="122" t="s">
        <v>1518</v>
      </c>
      <c r="O243" s="122"/>
      <c r="P243" s="96"/>
      <c r="Q243" s="7"/>
      <c r="R243" s="93">
        <v>0</v>
      </c>
      <c r="S243" s="93">
        <v>0</v>
      </c>
      <c r="T243" s="122" t="s">
        <v>1518</v>
      </c>
      <c r="U243" s="7"/>
      <c r="V243" s="7"/>
      <c r="W243" s="122"/>
      <c r="X243" s="122"/>
      <c r="Y243" s="122" t="s">
        <v>1518</v>
      </c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>
        <v>1</v>
      </c>
      <c r="AM243" s="16">
        <v>44540</v>
      </c>
      <c r="AN243" s="4"/>
      <c r="AO243" s="4" t="s">
        <v>224</v>
      </c>
      <c r="AP243" s="4" t="s">
        <v>215</v>
      </c>
      <c r="AQ243" s="4"/>
      <c r="AR243" s="4"/>
      <c r="AS243" s="11">
        <v>60</v>
      </c>
      <c r="AT243" s="11">
        <v>20</v>
      </c>
      <c r="AU243" s="11"/>
      <c r="AV243" s="11"/>
      <c r="AW243" s="4"/>
      <c r="AX243" s="4">
        <f t="shared" si="18"/>
        <v>1</v>
      </c>
      <c r="AY243" s="93"/>
      <c r="AZ243" s="4"/>
    </row>
    <row r="244" spans="2:52" ht="15.75" x14ac:dyDescent="0.25">
      <c r="B244" s="112" t="s">
        <v>947</v>
      </c>
      <c r="C244" s="6" t="s">
        <v>1209</v>
      </c>
      <c r="D244" s="8" t="s">
        <v>5</v>
      </c>
      <c r="E244" s="9" t="s">
        <v>17</v>
      </c>
      <c r="F244" s="8" t="s">
        <v>319</v>
      </c>
      <c r="G244" s="8"/>
      <c r="H244" s="8"/>
      <c r="I244" s="7">
        <v>20</v>
      </c>
      <c r="J244" s="7"/>
      <c r="K244" s="7"/>
      <c r="L244" s="7"/>
      <c r="M244" s="122"/>
      <c r="N244" s="122"/>
      <c r="O244" s="122"/>
      <c r="P244" s="96"/>
      <c r="Q244" s="7"/>
      <c r="R244" s="93">
        <v>19.203803321960542</v>
      </c>
      <c r="S244" s="93">
        <v>730.34062499999982</v>
      </c>
      <c r="T244" s="122" t="s">
        <v>1518</v>
      </c>
      <c r="U244" s="7"/>
      <c r="V244" s="7"/>
      <c r="W244" s="122" t="s">
        <v>1518</v>
      </c>
      <c r="X244" s="122"/>
      <c r="Y244" s="122"/>
      <c r="Z244" s="7"/>
      <c r="AA244" s="7">
        <v>3</v>
      </c>
      <c r="AB244" s="7"/>
      <c r="AC244" s="7"/>
      <c r="AD244" s="7"/>
      <c r="AE244" s="7">
        <v>1</v>
      </c>
      <c r="AF244" s="7"/>
      <c r="AG244" s="7"/>
      <c r="AH244" s="7"/>
      <c r="AI244" s="7"/>
      <c r="AJ244" s="7"/>
      <c r="AK244" s="7"/>
      <c r="AL244" s="7"/>
      <c r="AM244" s="16">
        <v>44169</v>
      </c>
      <c r="AN244" s="4"/>
      <c r="AO244" s="11" t="s">
        <v>331</v>
      </c>
      <c r="AP244" s="4"/>
      <c r="AQ244" s="4"/>
      <c r="AR244" s="4"/>
      <c r="AS244" s="11">
        <v>120</v>
      </c>
      <c r="AT244" s="11"/>
      <c r="AU244" s="11"/>
      <c r="AV244" s="11"/>
      <c r="AW244" s="4"/>
      <c r="AX244" s="4">
        <f t="shared" si="18"/>
        <v>4</v>
      </c>
      <c r="AY244" s="93">
        <v>1</v>
      </c>
      <c r="AZ244" s="4">
        <v>0.35</v>
      </c>
    </row>
    <row r="245" spans="2:52" ht="14.25" customHeight="1" x14ac:dyDescent="0.25">
      <c r="B245" s="112" t="s">
        <v>330</v>
      </c>
      <c r="C245" s="6" t="s">
        <v>1210</v>
      </c>
      <c r="D245" s="8" t="s">
        <v>5</v>
      </c>
      <c r="E245" s="9" t="s">
        <v>17</v>
      </c>
      <c r="F245" s="8" t="s">
        <v>319</v>
      </c>
      <c r="G245" s="8"/>
      <c r="H245" s="8"/>
      <c r="I245" s="7"/>
      <c r="J245" s="7"/>
      <c r="K245" s="7"/>
      <c r="L245" s="7" t="s">
        <v>14</v>
      </c>
      <c r="M245" s="122"/>
      <c r="N245" s="122"/>
      <c r="O245" s="122"/>
      <c r="P245" s="96"/>
      <c r="Q245" s="7"/>
      <c r="R245" s="93">
        <v>18.289336497105278</v>
      </c>
      <c r="S245" s="93">
        <v>695.56249999999977</v>
      </c>
      <c r="T245" s="122" t="s">
        <v>1518</v>
      </c>
      <c r="U245" s="7"/>
      <c r="V245" s="7"/>
      <c r="W245" s="122"/>
      <c r="X245" s="122"/>
      <c r="Y245" s="122"/>
      <c r="Z245" s="7"/>
      <c r="AA245" s="7"/>
      <c r="AB245" s="7">
        <v>3</v>
      </c>
      <c r="AC245" s="7">
        <v>3</v>
      </c>
      <c r="AD245" s="7"/>
      <c r="AE245" s="7">
        <v>1</v>
      </c>
      <c r="AF245" s="7"/>
      <c r="AG245" s="7"/>
      <c r="AH245" s="7"/>
      <c r="AI245" s="7"/>
      <c r="AJ245" s="7"/>
      <c r="AK245" s="7">
        <v>3</v>
      </c>
      <c r="AL245" s="7"/>
      <c r="AM245" s="16">
        <v>44169</v>
      </c>
      <c r="AN245" s="4"/>
      <c r="AO245" s="11" t="s">
        <v>331</v>
      </c>
      <c r="AP245" s="4"/>
      <c r="AQ245" s="4"/>
      <c r="AR245" s="4"/>
      <c r="AS245" s="11">
        <v>200</v>
      </c>
      <c r="AT245" s="11"/>
      <c r="AU245" s="11"/>
      <c r="AV245" s="11"/>
      <c r="AW245" s="4"/>
      <c r="AX245" s="4">
        <f t="shared" si="18"/>
        <v>10</v>
      </c>
      <c r="AY245" s="93">
        <v>1</v>
      </c>
      <c r="AZ245" s="4">
        <v>0.2</v>
      </c>
    </row>
    <row r="246" spans="2:52" ht="14.25" customHeight="1" x14ac:dyDescent="0.25">
      <c r="B246" s="112" t="s">
        <v>980</v>
      </c>
      <c r="C246" s="6" t="s">
        <v>1211</v>
      </c>
      <c r="D246" s="8" t="s">
        <v>118</v>
      </c>
      <c r="E246" s="9" t="s">
        <v>29</v>
      </c>
      <c r="F246" s="8"/>
      <c r="G246" s="8"/>
      <c r="H246" s="8"/>
      <c r="I246" s="7"/>
      <c r="J246" s="7"/>
      <c r="K246" s="7"/>
      <c r="L246" s="7"/>
      <c r="M246" s="122"/>
      <c r="N246" s="122"/>
      <c r="O246" s="122"/>
      <c r="P246" s="96"/>
      <c r="Q246" s="7"/>
      <c r="R246" s="93">
        <v>0.1048659924543448</v>
      </c>
      <c r="S246" s="93">
        <v>9.137627406568527E-2</v>
      </c>
      <c r="T246" s="122"/>
      <c r="U246" s="7"/>
      <c r="V246" s="7"/>
      <c r="W246" s="122" t="s">
        <v>1518</v>
      </c>
      <c r="X246" s="122"/>
      <c r="Y246" s="122"/>
      <c r="Z246" s="7"/>
      <c r="AA246" s="7">
        <v>1</v>
      </c>
      <c r="AB246" s="7">
        <v>1</v>
      </c>
      <c r="AC246" s="7">
        <v>1</v>
      </c>
      <c r="AD246" s="7">
        <v>1</v>
      </c>
      <c r="AE246" s="7">
        <v>1</v>
      </c>
      <c r="AF246" s="7">
        <v>1</v>
      </c>
      <c r="AG246" s="7">
        <v>1</v>
      </c>
      <c r="AH246" s="7">
        <v>1</v>
      </c>
      <c r="AI246" s="7">
        <v>1</v>
      </c>
      <c r="AJ246" s="7">
        <v>1</v>
      </c>
      <c r="AK246" s="7">
        <v>1</v>
      </c>
      <c r="AL246" s="7">
        <v>1</v>
      </c>
      <c r="AM246" s="16">
        <v>45232</v>
      </c>
      <c r="AN246" s="4"/>
      <c r="AO246" s="11" t="s">
        <v>332</v>
      </c>
      <c r="AP246" s="4"/>
      <c r="AQ246" s="4"/>
      <c r="AR246" s="4"/>
      <c r="AS246" s="11">
        <v>870</v>
      </c>
      <c r="AT246" s="11"/>
      <c r="AU246" s="11"/>
      <c r="AV246" s="11"/>
      <c r="AW246" s="4"/>
      <c r="AX246" s="4"/>
      <c r="AY246" s="93"/>
      <c r="AZ246" s="4">
        <v>0.5</v>
      </c>
    </row>
    <row r="247" spans="2:52" ht="14.25" customHeight="1" x14ac:dyDescent="0.25">
      <c r="B247" s="113" t="s">
        <v>369</v>
      </c>
      <c r="C247" s="6" t="s">
        <v>1670</v>
      </c>
      <c r="D247" s="7" t="s">
        <v>7</v>
      </c>
      <c r="E247" s="9" t="s">
        <v>17</v>
      </c>
      <c r="F247" s="137" t="s">
        <v>1555</v>
      </c>
      <c r="G247" s="7"/>
      <c r="H247" s="7"/>
      <c r="I247" s="7"/>
      <c r="J247" s="7"/>
      <c r="K247" s="7">
        <v>3</v>
      </c>
      <c r="L247" s="7"/>
      <c r="M247" s="122"/>
      <c r="N247" s="122"/>
      <c r="O247" s="122"/>
      <c r="P247" s="96"/>
      <c r="Q247" s="7"/>
      <c r="R247" s="93">
        <v>0.38589731059337279</v>
      </c>
      <c r="S247" s="93">
        <v>22.369290000000003</v>
      </c>
      <c r="T247" s="122" t="s">
        <v>1518</v>
      </c>
      <c r="U247" s="7"/>
      <c r="V247" s="7"/>
      <c r="W247" s="122"/>
      <c r="X247" s="122"/>
      <c r="Y247" s="122"/>
      <c r="Z247" s="7" t="s">
        <v>7</v>
      </c>
      <c r="AA247" s="7"/>
      <c r="AB247" s="7"/>
      <c r="AC247" s="7">
        <v>1</v>
      </c>
      <c r="AD247" s="7"/>
      <c r="AE247" s="7"/>
      <c r="AF247" s="7"/>
      <c r="AG247" s="7"/>
      <c r="AH247" s="7"/>
      <c r="AI247" s="7"/>
      <c r="AJ247" s="7"/>
      <c r="AK247" s="7"/>
      <c r="AL247" s="7"/>
      <c r="AM247" s="16">
        <v>45232</v>
      </c>
      <c r="AN247" s="4"/>
      <c r="AO247" s="11" t="s">
        <v>368</v>
      </c>
      <c r="AP247" s="4"/>
      <c r="AQ247" s="4"/>
      <c r="AR247" s="4"/>
      <c r="AS247" s="11">
        <v>804</v>
      </c>
      <c r="AT247" s="11"/>
      <c r="AU247" s="11"/>
      <c r="AV247" s="11"/>
      <c r="AW247" s="4"/>
      <c r="AX247" s="4">
        <f t="shared" si="18"/>
        <v>1</v>
      </c>
      <c r="AY247" s="93"/>
      <c r="AZ247" s="4">
        <v>5</v>
      </c>
    </row>
    <row r="248" spans="2:52" ht="14.25" customHeight="1" x14ac:dyDescent="0.25">
      <c r="B248" s="4" t="s">
        <v>1212</v>
      </c>
      <c r="C248" s="6" t="s">
        <v>1213</v>
      </c>
      <c r="D248" s="7" t="s">
        <v>4</v>
      </c>
      <c r="E248" s="7" t="s">
        <v>13</v>
      </c>
      <c r="F248" s="9">
        <v>9</v>
      </c>
      <c r="G248" s="9"/>
      <c r="H248" s="9"/>
      <c r="I248" s="7"/>
      <c r="J248" s="7"/>
      <c r="K248" s="7"/>
      <c r="L248" s="7"/>
      <c r="M248" s="122"/>
      <c r="N248" s="122"/>
      <c r="O248" s="122"/>
      <c r="P248" s="7"/>
      <c r="Q248" s="7"/>
      <c r="R248" s="93">
        <v>0</v>
      </c>
      <c r="S248" s="93">
        <v>0</v>
      </c>
      <c r="T248" s="7" t="s">
        <v>1518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128">
        <v>44169</v>
      </c>
      <c r="AN248" s="4"/>
      <c r="AO248" s="11" t="s">
        <v>228</v>
      </c>
      <c r="AP248" s="4"/>
      <c r="AQ248" s="4"/>
      <c r="AR248" s="4"/>
      <c r="AS248" s="4">
        <v>360</v>
      </c>
      <c r="AT248" s="4"/>
      <c r="AU248" s="4"/>
      <c r="AV248" s="4"/>
      <c r="AW248" s="4"/>
      <c r="AX248" s="4">
        <f t="shared" si="18"/>
        <v>0</v>
      </c>
      <c r="AY248" s="93"/>
      <c r="AZ248" s="4"/>
    </row>
    <row r="249" spans="2:52" ht="14.25" customHeight="1" x14ac:dyDescent="0.25">
      <c r="B249" s="198" t="s">
        <v>1214</v>
      </c>
      <c r="C249" s="129" t="s">
        <v>1215</v>
      </c>
      <c r="D249" s="197" t="s">
        <v>3</v>
      </c>
      <c r="E249" s="197" t="s">
        <v>54</v>
      </c>
      <c r="F249" s="8">
        <v>11</v>
      </c>
      <c r="G249" s="8"/>
      <c r="H249" s="8"/>
      <c r="I249" s="130"/>
      <c r="J249" s="130"/>
      <c r="K249" s="130"/>
      <c r="L249" s="130"/>
      <c r="M249" s="131" t="s">
        <v>1518</v>
      </c>
      <c r="N249" s="122" t="s">
        <v>1518</v>
      </c>
      <c r="O249" s="131"/>
      <c r="P249" s="132"/>
      <c r="Q249" s="130"/>
      <c r="R249" s="93">
        <v>2.5557162218723408</v>
      </c>
      <c r="S249" s="93">
        <v>2.7822499999999965E-2</v>
      </c>
      <c r="T249" s="131" t="s">
        <v>1518</v>
      </c>
      <c r="U249" s="130"/>
      <c r="V249" s="130"/>
      <c r="W249" s="131"/>
      <c r="X249" s="131"/>
      <c r="Y249" s="131"/>
      <c r="Z249" s="130"/>
      <c r="AA249" s="130">
        <v>1</v>
      </c>
      <c r="AB249" s="130"/>
      <c r="AC249" s="130">
        <v>1</v>
      </c>
      <c r="AD249" s="130"/>
      <c r="AE249" s="130">
        <v>1</v>
      </c>
      <c r="AF249" s="130"/>
      <c r="AG249" s="130">
        <v>1</v>
      </c>
      <c r="AH249" s="130"/>
      <c r="AI249" s="130"/>
      <c r="AJ249" s="130"/>
      <c r="AK249" s="130"/>
      <c r="AL249" s="130"/>
      <c r="AM249" s="133">
        <v>44169</v>
      </c>
      <c r="AN249" s="134"/>
      <c r="AO249" s="129" t="s">
        <v>996</v>
      </c>
      <c r="AP249" s="134"/>
      <c r="AQ249" s="134"/>
      <c r="AR249" s="134"/>
      <c r="AS249" s="135">
        <v>250</v>
      </c>
      <c r="AT249" s="135"/>
      <c r="AU249" s="135"/>
      <c r="AV249" s="135"/>
      <c r="AW249" s="4"/>
      <c r="AX249" s="4">
        <f t="shared" si="18"/>
        <v>4</v>
      </c>
      <c r="AY249" s="93">
        <v>1</v>
      </c>
      <c r="AZ249" s="4">
        <v>1</v>
      </c>
    </row>
    <row r="250" spans="2:52" ht="14.25" customHeight="1" x14ac:dyDescent="0.25">
      <c r="B250" s="112" t="s">
        <v>226</v>
      </c>
      <c r="C250" s="6" t="s">
        <v>1216</v>
      </c>
      <c r="D250" s="8" t="s">
        <v>4</v>
      </c>
      <c r="E250" s="8" t="s">
        <v>88</v>
      </c>
      <c r="F250" s="9">
        <v>2</v>
      </c>
      <c r="G250" s="9"/>
      <c r="H250" s="9"/>
      <c r="I250" s="7"/>
      <c r="J250" s="7">
        <v>6</v>
      </c>
      <c r="K250" s="7"/>
      <c r="L250" s="7"/>
      <c r="M250" s="122"/>
      <c r="N250" s="122"/>
      <c r="O250" s="122"/>
      <c r="P250" s="96"/>
      <c r="Q250" s="7"/>
      <c r="R250" s="93">
        <v>0.29587704119930397</v>
      </c>
      <c r="S250" s="93">
        <v>143.11655405405398</v>
      </c>
      <c r="T250" s="122" t="s">
        <v>1518</v>
      </c>
      <c r="U250" s="7"/>
      <c r="V250" s="7"/>
      <c r="W250" s="122"/>
      <c r="X250" s="122"/>
      <c r="Y250" s="122"/>
      <c r="Z250" s="7"/>
      <c r="AA250" s="7">
        <v>1</v>
      </c>
      <c r="AB250" s="7"/>
      <c r="AC250" s="7"/>
      <c r="AD250" s="7">
        <v>1</v>
      </c>
      <c r="AE250" s="7"/>
      <c r="AF250" s="7"/>
      <c r="AG250" s="7"/>
      <c r="AH250" s="7"/>
      <c r="AI250" s="7"/>
      <c r="AJ250" s="7"/>
      <c r="AK250" s="7"/>
      <c r="AL250" s="7"/>
      <c r="AM250" s="16">
        <v>44169</v>
      </c>
      <c r="AN250" s="4"/>
      <c r="AO250" s="6" t="s">
        <v>1010</v>
      </c>
      <c r="AP250" s="4"/>
      <c r="AQ250" s="4"/>
      <c r="AR250" s="4"/>
      <c r="AS250" s="11">
        <v>50</v>
      </c>
      <c r="AT250" s="11"/>
      <c r="AU250" s="11"/>
      <c r="AV250" s="11"/>
      <c r="AW250" s="4"/>
      <c r="AX250" s="4">
        <f t="shared" si="18"/>
        <v>2</v>
      </c>
      <c r="AY250" s="93">
        <v>1</v>
      </c>
      <c r="AZ250" s="4">
        <v>0.125</v>
      </c>
    </row>
    <row r="251" spans="2:52" ht="14.25" customHeight="1" x14ac:dyDescent="0.25">
      <c r="B251" s="112" t="s">
        <v>1541</v>
      </c>
      <c r="C251" s="6" t="s">
        <v>1217</v>
      </c>
      <c r="D251" s="9" t="s">
        <v>4</v>
      </c>
      <c r="E251" s="9" t="s">
        <v>54</v>
      </c>
      <c r="F251" s="9">
        <v>9</v>
      </c>
      <c r="G251" s="9"/>
      <c r="H251" s="9"/>
      <c r="I251" s="7"/>
      <c r="J251" s="7"/>
      <c r="K251" s="7"/>
      <c r="L251" s="7"/>
      <c r="M251" s="122"/>
      <c r="N251" s="122"/>
      <c r="O251" s="122"/>
      <c r="P251" s="96"/>
      <c r="Q251" s="14"/>
      <c r="R251" s="93">
        <v>0.38650149716110876</v>
      </c>
      <c r="S251" s="93">
        <v>1661.2745098039234</v>
      </c>
      <c r="T251" s="122" t="s">
        <v>1518</v>
      </c>
      <c r="U251" s="7"/>
      <c r="V251" s="7"/>
      <c r="W251" s="122"/>
      <c r="X251" s="122"/>
      <c r="Y251" s="122"/>
      <c r="Z251" s="7"/>
      <c r="AA251" s="7"/>
      <c r="AB251" s="7"/>
      <c r="AC251" s="7"/>
      <c r="AD251" s="7">
        <v>1</v>
      </c>
      <c r="AE251" s="7"/>
      <c r="AF251" s="7"/>
      <c r="AG251" s="7"/>
      <c r="AH251" s="7"/>
      <c r="AI251" s="7"/>
      <c r="AJ251" s="7"/>
      <c r="AK251" s="7"/>
      <c r="AL251" s="7"/>
      <c r="AM251" s="16">
        <v>44169</v>
      </c>
      <c r="AN251" s="4"/>
      <c r="AO251" s="11" t="s">
        <v>228</v>
      </c>
      <c r="AP251" s="11"/>
      <c r="AQ251" s="6"/>
      <c r="AR251" s="4"/>
      <c r="AS251" s="11">
        <v>360</v>
      </c>
      <c r="AT251" s="11"/>
      <c r="AU251" s="11"/>
      <c r="AV251" s="11"/>
      <c r="AW251" s="4"/>
      <c r="AX251" s="4">
        <f t="shared" si="18"/>
        <v>1</v>
      </c>
      <c r="AY251" s="93"/>
      <c r="AZ251" s="4">
        <v>10</v>
      </c>
    </row>
    <row r="252" spans="2:52" ht="14.25" customHeight="1" x14ac:dyDescent="0.25">
      <c r="B252" s="112" t="s">
        <v>229</v>
      </c>
      <c r="C252" s="6" t="s">
        <v>1218</v>
      </c>
      <c r="D252" s="8" t="s">
        <v>4</v>
      </c>
      <c r="E252" s="9" t="s">
        <v>17</v>
      </c>
      <c r="F252" s="9">
        <v>15</v>
      </c>
      <c r="G252" s="9"/>
      <c r="H252" s="9"/>
      <c r="I252" s="7"/>
      <c r="J252" s="7"/>
      <c r="K252" s="7"/>
      <c r="L252" s="7" t="s">
        <v>14</v>
      </c>
      <c r="M252" s="122"/>
      <c r="N252" s="122"/>
      <c r="O252" s="122"/>
      <c r="P252" s="96"/>
      <c r="Q252" s="7"/>
      <c r="R252" s="93">
        <v>7.5491503505291222</v>
      </c>
      <c r="S252" s="93">
        <v>60.653243847874926</v>
      </c>
      <c r="T252" s="122" t="s">
        <v>1518</v>
      </c>
      <c r="U252" s="7"/>
      <c r="V252" s="7"/>
      <c r="W252" s="122"/>
      <c r="X252" s="122"/>
      <c r="Y252" s="122" t="s">
        <v>1518</v>
      </c>
      <c r="Z252" s="7" t="s">
        <v>7</v>
      </c>
      <c r="AA252" s="7">
        <v>1</v>
      </c>
      <c r="AB252" s="7"/>
      <c r="AC252" s="7">
        <v>1</v>
      </c>
      <c r="AD252" s="7"/>
      <c r="AE252" s="7"/>
      <c r="AF252" s="7"/>
      <c r="AG252" s="7"/>
      <c r="AH252" s="7"/>
      <c r="AI252" s="7"/>
      <c r="AJ252" s="7">
        <v>1</v>
      </c>
      <c r="AK252" s="7"/>
      <c r="AL252" s="7"/>
      <c r="AM252" s="16">
        <v>44911</v>
      </c>
      <c r="AN252" s="4"/>
      <c r="AO252" s="11" t="s">
        <v>131</v>
      </c>
      <c r="AP252" s="4"/>
      <c r="AQ252" s="4"/>
      <c r="AR252" s="4"/>
      <c r="AS252" s="11">
        <v>800</v>
      </c>
      <c r="AT252" s="11"/>
      <c r="AU252" s="11"/>
      <c r="AV252" s="11"/>
      <c r="AW252" s="4"/>
      <c r="AX252" s="4">
        <f t="shared" si="18"/>
        <v>3</v>
      </c>
      <c r="AY252" s="93">
        <v>1</v>
      </c>
      <c r="AZ252" s="4">
        <v>5</v>
      </c>
    </row>
    <row r="253" spans="2:52" ht="14.25" customHeight="1" x14ac:dyDescent="0.25">
      <c r="B253" s="112" t="s">
        <v>230</v>
      </c>
      <c r="C253" s="6" t="s">
        <v>1219</v>
      </c>
      <c r="D253" s="8" t="s">
        <v>4</v>
      </c>
      <c r="E253" s="9" t="s">
        <v>13</v>
      </c>
      <c r="F253" s="9">
        <v>5</v>
      </c>
      <c r="G253" s="9"/>
      <c r="H253" s="9"/>
      <c r="I253" s="7"/>
      <c r="J253" s="7"/>
      <c r="K253" s="7"/>
      <c r="L253" s="7"/>
      <c r="M253" s="122"/>
      <c r="N253" s="122"/>
      <c r="O253" s="122"/>
      <c r="P253" s="96"/>
      <c r="Q253" s="7"/>
      <c r="R253" s="93">
        <v>0.12819947377256399</v>
      </c>
      <c r="S253" s="93">
        <v>134.78977272727238</v>
      </c>
      <c r="T253" s="122" t="s">
        <v>1518</v>
      </c>
      <c r="U253" s="7"/>
      <c r="V253" s="7"/>
      <c r="W253" s="122"/>
      <c r="X253" s="122"/>
      <c r="Y253" s="122" t="s">
        <v>1518</v>
      </c>
      <c r="Z253" s="7"/>
      <c r="AA253" s="7"/>
      <c r="AB253" s="7">
        <v>1</v>
      </c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16">
        <v>44169</v>
      </c>
      <c r="AN253" s="4"/>
      <c r="AO253" s="6" t="s">
        <v>1017</v>
      </c>
      <c r="AP253" s="4"/>
      <c r="AQ253" s="4"/>
      <c r="AR253" s="4"/>
      <c r="AS253" s="11">
        <v>700</v>
      </c>
      <c r="AT253" s="11"/>
      <c r="AU253" s="11"/>
      <c r="AV253" s="11"/>
      <c r="AW253" s="4"/>
      <c r="AX253" s="4">
        <f t="shared" si="18"/>
        <v>1</v>
      </c>
      <c r="AY253" s="93"/>
      <c r="AZ253" s="4">
        <v>1</v>
      </c>
    </row>
    <row r="254" spans="2:52" ht="14.25" customHeight="1" x14ac:dyDescent="0.25">
      <c r="B254" s="112" t="s">
        <v>231</v>
      </c>
      <c r="C254" s="6" t="s">
        <v>1684</v>
      </c>
      <c r="D254" s="8" t="s">
        <v>4</v>
      </c>
      <c r="E254" s="8" t="s">
        <v>232</v>
      </c>
      <c r="F254" s="9">
        <v>5</v>
      </c>
      <c r="G254" s="9"/>
      <c r="H254" s="9"/>
      <c r="I254" s="7"/>
      <c r="J254" s="7"/>
      <c r="K254" s="7"/>
      <c r="L254" s="7"/>
      <c r="M254" s="122"/>
      <c r="N254" s="122"/>
      <c r="O254" s="122"/>
      <c r="P254" s="96"/>
      <c r="Q254" s="7"/>
      <c r="R254" s="93">
        <v>0.13186231588035152</v>
      </c>
      <c r="S254" s="93">
        <v>138.64090909090874</v>
      </c>
      <c r="T254" s="122" t="s">
        <v>1518</v>
      </c>
      <c r="U254" s="7"/>
      <c r="V254" s="7"/>
      <c r="W254" s="122"/>
      <c r="X254" s="122"/>
      <c r="Y254" s="122" t="s">
        <v>1518</v>
      </c>
      <c r="Z254" s="7"/>
      <c r="AA254" s="7"/>
      <c r="AB254" s="7">
        <v>1</v>
      </c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16">
        <v>44169</v>
      </c>
      <c r="AN254" s="4"/>
      <c r="AO254" s="6" t="s">
        <v>1017</v>
      </c>
      <c r="AP254" s="4"/>
      <c r="AQ254" s="4"/>
      <c r="AR254" s="4"/>
      <c r="AS254" s="11">
        <v>900</v>
      </c>
      <c r="AT254" s="11"/>
      <c r="AU254" s="11"/>
      <c r="AV254" s="11"/>
      <c r="AW254" s="4"/>
      <c r="AX254" s="4">
        <f t="shared" si="18"/>
        <v>1</v>
      </c>
      <c r="AY254" s="93"/>
      <c r="AZ254" s="4">
        <v>0.8</v>
      </c>
    </row>
    <row r="255" spans="2:52" ht="14.25" customHeight="1" x14ac:dyDescent="0.25">
      <c r="B255" s="112" t="s">
        <v>932</v>
      </c>
      <c r="C255" s="6" t="s">
        <v>1220</v>
      </c>
      <c r="D255" s="8" t="s">
        <v>118</v>
      </c>
      <c r="E255" s="9" t="s">
        <v>17</v>
      </c>
      <c r="F255" s="8"/>
      <c r="G255" s="8"/>
      <c r="H255" s="8"/>
      <c r="I255" s="7"/>
      <c r="J255" s="7"/>
      <c r="K255" s="7"/>
      <c r="L255" s="7"/>
      <c r="M255" s="122"/>
      <c r="N255" s="122"/>
      <c r="O255" s="122"/>
      <c r="P255" s="96"/>
      <c r="Q255" s="7"/>
      <c r="R255" s="93">
        <v>0</v>
      </c>
      <c r="S255" s="93">
        <v>8.1464280000000014E-2</v>
      </c>
      <c r="T255" s="122"/>
      <c r="U255" s="7"/>
      <c r="V255" s="7"/>
      <c r="W255" s="122"/>
      <c r="X255" s="122"/>
      <c r="Y255" s="122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16">
        <v>44169</v>
      </c>
      <c r="AN255" s="4"/>
      <c r="AO255" s="11" t="s">
        <v>933</v>
      </c>
      <c r="AP255" s="4"/>
      <c r="AQ255" s="4"/>
      <c r="AR255" s="4"/>
      <c r="AS255" s="11">
        <v>488</v>
      </c>
      <c r="AT255" s="11"/>
      <c r="AU255" s="11"/>
      <c r="AV255" s="11"/>
      <c r="AW255" s="4"/>
      <c r="AX255" s="4">
        <f t="shared" si="18"/>
        <v>0</v>
      </c>
      <c r="AY255" s="93"/>
      <c r="AZ255" s="4">
        <v>0.75</v>
      </c>
    </row>
    <row r="256" spans="2:52" ht="14.25" customHeight="1" x14ac:dyDescent="0.25">
      <c r="B256" s="112" t="s">
        <v>233</v>
      </c>
      <c r="C256" s="6" t="s">
        <v>1221</v>
      </c>
      <c r="D256" s="8" t="s">
        <v>4</v>
      </c>
      <c r="E256" s="8" t="s">
        <v>13</v>
      </c>
      <c r="F256" s="9">
        <v>3</v>
      </c>
      <c r="G256" s="9"/>
      <c r="H256" s="9"/>
      <c r="I256" s="7"/>
      <c r="J256" s="7"/>
      <c r="K256" s="7"/>
      <c r="L256" s="7"/>
      <c r="M256" s="122"/>
      <c r="N256" s="122"/>
      <c r="O256" s="122"/>
      <c r="P256" s="96"/>
      <c r="Q256" s="7"/>
      <c r="R256" s="93">
        <v>2.8008459820015257</v>
      </c>
      <c r="S256" s="93">
        <v>188.27777777777837</v>
      </c>
      <c r="T256" s="122" t="s">
        <v>1518</v>
      </c>
      <c r="U256" s="7"/>
      <c r="V256" s="7"/>
      <c r="W256" s="122"/>
      <c r="X256" s="122"/>
      <c r="Y256" s="122" t="s">
        <v>1518</v>
      </c>
      <c r="Z256" s="7"/>
      <c r="AA256" s="7"/>
      <c r="AB256" s="7"/>
      <c r="AC256" s="7"/>
      <c r="AD256" s="7"/>
      <c r="AE256" s="7">
        <v>1</v>
      </c>
      <c r="AF256" s="7"/>
      <c r="AG256" s="7"/>
      <c r="AH256" s="7"/>
      <c r="AI256" s="7"/>
      <c r="AJ256" s="7"/>
      <c r="AK256" s="7"/>
      <c r="AL256" s="7"/>
      <c r="AM256" s="16">
        <v>44169</v>
      </c>
      <c r="AN256" s="4"/>
      <c r="AO256" s="11" t="s">
        <v>234</v>
      </c>
      <c r="AP256" s="4"/>
      <c r="AQ256" s="4"/>
      <c r="AR256" s="4"/>
      <c r="AS256" s="11">
        <v>400</v>
      </c>
      <c r="AT256" s="11"/>
      <c r="AU256" s="11"/>
      <c r="AV256" s="11"/>
      <c r="AW256" s="4"/>
      <c r="AX256" s="4">
        <f t="shared" si="18"/>
        <v>1</v>
      </c>
      <c r="AY256" s="93"/>
      <c r="AZ256" s="4">
        <v>1.875</v>
      </c>
    </row>
    <row r="257" spans="1:52" ht="14.25" customHeight="1" x14ac:dyDescent="0.25">
      <c r="B257" s="114" t="s">
        <v>1614</v>
      </c>
      <c r="C257" s="6" t="s">
        <v>1615</v>
      </c>
      <c r="D257" s="8" t="s">
        <v>4</v>
      </c>
      <c r="E257" s="7" t="s">
        <v>26</v>
      </c>
      <c r="F257" s="9">
        <v>1</v>
      </c>
      <c r="G257" s="9"/>
      <c r="H257" s="9"/>
      <c r="I257" s="7"/>
      <c r="J257" s="7"/>
      <c r="K257" s="7"/>
      <c r="L257" s="7"/>
      <c r="M257" s="122" t="s">
        <v>1518</v>
      </c>
      <c r="N257" s="122" t="s">
        <v>1518</v>
      </c>
      <c r="O257" s="122"/>
      <c r="P257" s="96"/>
      <c r="Q257" s="7"/>
      <c r="R257" s="93">
        <v>1.2413294051170814E-2</v>
      </c>
      <c r="S257" s="93">
        <v>33.331421934497818</v>
      </c>
      <c r="T257" s="122" t="s">
        <v>1518</v>
      </c>
      <c r="U257" s="7"/>
      <c r="V257" s="7"/>
      <c r="W257" s="122" t="s">
        <v>1518</v>
      </c>
      <c r="X257" s="122"/>
      <c r="Y257" s="122" t="s">
        <v>1518</v>
      </c>
      <c r="Z257" s="7"/>
      <c r="AA257" s="7">
        <v>1</v>
      </c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16">
        <v>44540</v>
      </c>
      <c r="AN257" s="4"/>
      <c r="AO257" s="4" t="s">
        <v>151</v>
      </c>
      <c r="AP257" s="6" t="s">
        <v>300</v>
      </c>
      <c r="AQ257" s="4"/>
      <c r="AR257" s="4"/>
      <c r="AS257" s="11">
        <v>50</v>
      </c>
      <c r="AT257" s="11">
        <v>125</v>
      </c>
      <c r="AU257" s="11"/>
      <c r="AV257" s="11"/>
      <c r="AW257" s="4"/>
      <c r="AX257" s="4">
        <f t="shared" si="18"/>
        <v>1</v>
      </c>
      <c r="AY257" s="93">
        <v>1</v>
      </c>
      <c r="AZ257" s="4">
        <v>1.2</v>
      </c>
    </row>
    <row r="258" spans="1:52" ht="14.25" customHeight="1" x14ac:dyDescent="0.25">
      <c r="B258" s="112" t="s">
        <v>1494</v>
      </c>
      <c r="C258" s="6" t="s">
        <v>1222</v>
      </c>
      <c r="D258" s="8" t="s">
        <v>4</v>
      </c>
      <c r="E258" s="9" t="s">
        <v>17</v>
      </c>
      <c r="F258" s="9">
        <v>2</v>
      </c>
      <c r="G258" s="9"/>
      <c r="H258" s="9"/>
      <c r="I258" s="7"/>
      <c r="J258" s="7">
        <v>3</v>
      </c>
      <c r="K258" s="7"/>
      <c r="L258" s="7"/>
      <c r="M258" s="122" t="s">
        <v>1518</v>
      </c>
      <c r="N258" s="122" t="s">
        <v>1518</v>
      </c>
      <c r="O258" s="122"/>
      <c r="P258" s="96" t="s">
        <v>1523</v>
      </c>
      <c r="Q258" s="7"/>
      <c r="R258" s="93">
        <v>6.219448262393918</v>
      </c>
      <c r="S258" s="93">
        <v>805.48415492957861</v>
      </c>
      <c r="T258" s="122" t="s">
        <v>1518</v>
      </c>
      <c r="U258" s="7"/>
      <c r="V258" s="7"/>
      <c r="W258" s="122"/>
      <c r="X258" s="122"/>
      <c r="Y258" s="122"/>
      <c r="Z258" s="7"/>
      <c r="AA258" s="7"/>
      <c r="AB258" s="7"/>
      <c r="AC258" s="7"/>
      <c r="AD258" s="7">
        <v>1</v>
      </c>
      <c r="AE258" s="7"/>
      <c r="AF258" s="7"/>
      <c r="AG258" s="7"/>
      <c r="AH258" s="7"/>
      <c r="AI258" s="7"/>
      <c r="AJ258" s="7"/>
      <c r="AK258" s="7"/>
      <c r="AL258" s="7"/>
      <c r="AM258" s="16">
        <v>44169</v>
      </c>
      <c r="AN258" s="4"/>
      <c r="AO258" s="11" t="s">
        <v>193</v>
      </c>
      <c r="AP258" s="4"/>
      <c r="AQ258" s="4"/>
      <c r="AR258" s="4"/>
      <c r="AS258" s="11">
        <v>500</v>
      </c>
      <c r="AT258" s="11"/>
      <c r="AU258" s="11"/>
      <c r="AV258" s="11"/>
      <c r="AW258" s="4"/>
      <c r="AX258" s="4">
        <f t="shared" si="18"/>
        <v>1</v>
      </c>
      <c r="AY258" s="93">
        <v>1</v>
      </c>
      <c r="AZ258" s="4">
        <v>4.4999999999999998E-2</v>
      </c>
    </row>
    <row r="259" spans="1:52" ht="14.25" customHeight="1" x14ac:dyDescent="0.25">
      <c r="B259" s="112" t="s">
        <v>1495</v>
      </c>
      <c r="C259" s="6" t="s">
        <v>1222</v>
      </c>
      <c r="D259" s="8" t="s">
        <v>4</v>
      </c>
      <c r="E259" s="9" t="s">
        <v>17</v>
      </c>
      <c r="F259" s="9">
        <v>2</v>
      </c>
      <c r="G259" s="9"/>
      <c r="H259" s="9"/>
      <c r="I259" s="7">
        <v>20</v>
      </c>
      <c r="J259" s="7">
        <v>20</v>
      </c>
      <c r="K259" s="7"/>
      <c r="L259" s="7" t="s">
        <v>14</v>
      </c>
      <c r="M259" s="122" t="s">
        <v>1518</v>
      </c>
      <c r="N259" s="122" t="s">
        <v>1518</v>
      </c>
      <c r="O259" s="122"/>
      <c r="P259" s="96" t="s">
        <v>1523</v>
      </c>
      <c r="Q259" s="7"/>
      <c r="R259" s="93">
        <v>6.219448262393918</v>
      </c>
      <c r="S259" s="93">
        <v>805.48415492957861</v>
      </c>
      <c r="T259" s="122" t="s">
        <v>1518</v>
      </c>
      <c r="U259" s="7"/>
      <c r="V259" s="7"/>
      <c r="W259" s="122"/>
      <c r="X259" s="122"/>
      <c r="Y259" s="122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>
        <v>1</v>
      </c>
      <c r="AM259" s="16">
        <v>44169</v>
      </c>
      <c r="AN259" s="4"/>
      <c r="AO259" s="11" t="s">
        <v>193</v>
      </c>
      <c r="AP259" s="4"/>
      <c r="AQ259" s="4"/>
      <c r="AR259" s="4"/>
      <c r="AS259" s="11">
        <v>500</v>
      </c>
      <c r="AT259" s="11"/>
      <c r="AU259" s="11"/>
      <c r="AV259" s="11"/>
      <c r="AW259" s="4"/>
      <c r="AX259" s="4">
        <f t="shared" si="18"/>
        <v>1</v>
      </c>
      <c r="AY259" s="93"/>
      <c r="AZ259" s="4">
        <v>4.4999999999999998E-2</v>
      </c>
    </row>
    <row r="260" spans="1:52" ht="14.25" customHeight="1" x14ac:dyDescent="0.25">
      <c r="B260" s="112" t="s">
        <v>235</v>
      </c>
      <c r="C260" s="6" t="s">
        <v>1223</v>
      </c>
      <c r="D260" s="8" t="s">
        <v>4</v>
      </c>
      <c r="E260" s="9" t="s">
        <v>17</v>
      </c>
      <c r="F260" s="9">
        <v>2</v>
      </c>
      <c r="G260" s="9">
        <v>2</v>
      </c>
      <c r="H260" s="9">
        <v>4</v>
      </c>
      <c r="I260" s="7">
        <v>6</v>
      </c>
      <c r="J260" s="7">
        <v>6</v>
      </c>
      <c r="K260" s="7"/>
      <c r="L260" s="7"/>
      <c r="M260" s="122" t="s">
        <v>1518</v>
      </c>
      <c r="N260" s="122" t="s">
        <v>1518</v>
      </c>
      <c r="O260" s="122"/>
      <c r="P260" s="96" t="s">
        <v>136</v>
      </c>
      <c r="Q260" s="14">
        <v>0.3</v>
      </c>
      <c r="R260" s="93">
        <v>3.5138597337506154</v>
      </c>
      <c r="S260" s="93">
        <v>1465.4354018929687</v>
      </c>
      <c r="T260" s="122" t="s">
        <v>1518</v>
      </c>
      <c r="U260" s="7"/>
      <c r="V260" s="7"/>
      <c r="W260" s="122" t="s">
        <v>1518</v>
      </c>
      <c r="X260" s="122"/>
      <c r="Y260" s="122"/>
      <c r="Z260" s="7"/>
      <c r="AA260" s="7"/>
      <c r="AB260" s="7"/>
      <c r="AC260" s="7"/>
      <c r="AD260" s="7">
        <v>3</v>
      </c>
      <c r="AE260" s="7"/>
      <c r="AF260" s="7"/>
      <c r="AG260" s="7"/>
      <c r="AH260" s="7"/>
      <c r="AI260" s="7"/>
      <c r="AJ260" s="7"/>
      <c r="AK260" s="7"/>
      <c r="AL260" s="7"/>
      <c r="AM260" s="16">
        <v>44169</v>
      </c>
      <c r="AN260" s="4"/>
      <c r="AO260" s="4" t="s">
        <v>137</v>
      </c>
      <c r="AP260" s="4" t="s">
        <v>138</v>
      </c>
      <c r="AQ260" s="4" t="s">
        <v>142</v>
      </c>
      <c r="AR260" s="4"/>
      <c r="AS260" s="11">
        <v>92</v>
      </c>
      <c r="AT260" s="11">
        <v>23</v>
      </c>
      <c r="AU260" s="11">
        <v>550</v>
      </c>
      <c r="AV260" s="11"/>
      <c r="AW260" s="4" t="s">
        <v>1824</v>
      </c>
      <c r="AX260" s="4">
        <f t="shared" si="18"/>
        <v>3</v>
      </c>
      <c r="AY260" s="93">
        <v>1</v>
      </c>
      <c r="AZ260" s="4">
        <v>0.44</v>
      </c>
    </row>
    <row r="261" spans="1:52" ht="14.25" customHeight="1" x14ac:dyDescent="0.25">
      <c r="B261" s="112" t="s">
        <v>1224</v>
      </c>
      <c r="C261" s="6" t="s">
        <v>1225</v>
      </c>
      <c r="D261" s="8" t="s">
        <v>118</v>
      </c>
      <c r="E261" s="9" t="s">
        <v>26</v>
      </c>
      <c r="F261" s="8"/>
      <c r="G261" s="8"/>
      <c r="H261" s="8"/>
      <c r="I261" s="7"/>
      <c r="J261" s="7"/>
      <c r="K261" s="7"/>
      <c r="L261" s="7"/>
      <c r="M261" s="122"/>
      <c r="N261" s="122"/>
      <c r="O261" s="122"/>
      <c r="P261" s="96"/>
      <c r="Q261" s="7"/>
      <c r="R261" s="93">
        <v>0</v>
      </c>
      <c r="S261" s="93">
        <v>0</v>
      </c>
      <c r="T261" s="122"/>
      <c r="U261" s="7"/>
      <c r="V261" s="7"/>
      <c r="W261" s="122" t="s">
        <v>1518</v>
      </c>
      <c r="X261" s="122"/>
      <c r="Y261" s="122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16">
        <v>44169</v>
      </c>
      <c r="AN261" s="4"/>
      <c r="AO261" s="11" t="s">
        <v>1525</v>
      </c>
      <c r="AP261" s="4"/>
      <c r="AQ261" s="4"/>
      <c r="AR261" s="4"/>
      <c r="AS261" s="11">
        <v>665</v>
      </c>
      <c r="AT261" s="11"/>
      <c r="AU261" s="11"/>
      <c r="AV261" s="11"/>
      <c r="AW261" s="4"/>
      <c r="AX261" s="4">
        <f t="shared" si="18"/>
        <v>0</v>
      </c>
      <c r="AY261" s="93"/>
      <c r="AZ261" s="4">
        <v>2</v>
      </c>
    </row>
    <row r="262" spans="1:52" ht="14.25" customHeight="1" x14ac:dyDescent="0.25">
      <c r="B262" s="112" t="s">
        <v>1609</v>
      </c>
      <c r="C262" s="6" t="s">
        <v>1933</v>
      </c>
      <c r="D262" s="8" t="s">
        <v>4</v>
      </c>
      <c r="E262" s="8" t="s">
        <v>26</v>
      </c>
      <c r="F262" s="9">
        <v>6</v>
      </c>
      <c r="G262" s="9"/>
      <c r="H262" s="9"/>
      <c r="I262" s="7"/>
      <c r="J262" s="7">
        <v>3</v>
      </c>
      <c r="K262" s="7">
        <v>3</v>
      </c>
      <c r="L262" s="7"/>
      <c r="M262" s="122"/>
      <c r="N262" s="122"/>
      <c r="O262" s="122"/>
      <c r="P262" s="96"/>
      <c r="Q262" s="7"/>
      <c r="R262" s="93">
        <v>1.7338419741698434</v>
      </c>
      <c r="S262" s="93">
        <v>92.240927419354591</v>
      </c>
      <c r="T262" s="122" t="s">
        <v>1518</v>
      </c>
      <c r="U262" s="7"/>
      <c r="V262" s="7"/>
      <c r="W262" s="122" t="s">
        <v>1518</v>
      </c>
      <c r="X262" s="122"/>
      <c r="Y262" s="122" t="s">
        <v>1518</v>
      </c>
      <c r="Z262" s="7" t="s">
        <v>7</v>
      </c>
      <c r="AA262" s="7"/>
      <c r="AB262" s="7"/>
      <c r="AC262" s="7"/>
      <c r="AD262" s="7"/>
      <c r="AE262" s="7">
        <v>1</v>
      </c>
      <c r="AF262" s="7"/>
      <c r="AG262" s="7"/>
      <c r="AH262" s="7"/>
      <c r="AI262" s="7"/>
      <c r="AJ262" s="7"/>
      <c r="AK262" s="7"/>
      <c r="AL262" s="7"/>
      <c r="AM262" s="16">
        <v>44540</v>
      </c>
      <c r="AN262" s="4"/>
      <c r="AO262" s="4" t="s">
        <v>249</v>
      </c>
      <c r="AP262" s="4"/>
      <c r="AQ262" s="4"/>
      <c r="AR262" s="4"/>
      <c r="AS262" s="11">
        <v>450</v>
      </c>
      <c r="AT262" s="11"/>
      <c r="AU262" s="11"/>
      <c r="AV262" s="11"/>
      <c r="AW262" s="4"/>
      <c r="AX262" s="4">
        <f t="shared" si="18"/>
        <v>1</v>
      </c>
      <c r="AY262" s="93"/>
      <c r="AZ262" s="4">
        <v>2</v>
      </c>
    </row>
    <row r="263" spans="1:52" ht="14.25" customHeight="1" x14ac:dyDescent="0.25">
      <c r="B263" s="112" t="s">
        <v>236</v>
      </c>
      <c r="C263" s="6" t="s">
        <v>1226</v>
      </c>
      <c r="D263" s="8" t="s">
        <v>4</v>
      </c>
      <c r="E263" s="8" t="s">
        <v>21</v>
      </c>
      <c r="F263" s="9">
        <v>5</v>
      </c>
      <c r="G263" s="9">
        <v>12</v>
      </c>
      <c r="H263" s="9">
        <v>15</v>
      </c>
      <c r="I263" s="7"/>
      <c r="J263" s="7"/>
      <c r="K263" s="7"/>
      <c r="L263" s="7" t="s">
        <v>14</v>
      </c>
      <c r="M263" s="122"/>
      <c r="N263" s="122"/>
      <c r="O263" s="122"/>
      <c r="P263" s="96"/>
      <c r="Q263" s="14">
        <v>0.3</v>
      </c>
      <c r="R263" s="93">
        <v>19.150774478695432</v>
      </c>
      <c r="S263" s="93">
        <v>303.77213474025945</v>
      </c>
      <c r="T263" s="122" t="s">
        <v>1518</v>
      </c>
      <c r="U263" s="7"/>
      <c r="V263" s="7"/>
      <c r="W263" s="122"/>
      <c r="X263" s="122"/>
      <c r="Y263" s="122" t="s">
        <v>1518</v>
      </c>
      <c r="Z263" s="7"/>
      <c r="AA263" s="7">
        <v>1</v>
      </c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16">
        <v>44169</v>
      </c>
      <c r="AN263" s="4"/>
      <c r="AO263" s="6" t="s">
        <v>1012</v>
      </c>
      <c r="AP263" s="6" t="s">
        <v>999</v>
      </c>
      <c r="AQ263" s="6" t="s">
        <v>992</v>
      </c>
      <c r="AR263" s="4"/>
      <c r="AS263" s="11">
        <v>70</v>
      </c>
      <c r="AT263" s="11">
        <v>120</v>
      </c>
      <c r="AU263" s="11">
        <v>240</v>
      </c>
      <c r="AV263" s="11"/>
      <c r="AW263" s="4"/>
      <c r="AX263" s="4">
        <f t="shared" si="18"/>
        <v>1</v>
      </c>
      <c r="AY263" s="93">
        <v>1</v>
      </c>
      <c r="AZ263" s="4">
        <v>0.75</v>
      </c>
    </row>
    <row r="264" spans="1:52" ht="14.25" customHeight="1" x14ac:dyDescent="0.25">
      <c r="B264" s="112" t="s">
        <v>952</v>
      </c>
      <c r="C264" s="6" t="s">
        <v>1226</v>
      </c>
      <c r="D264" s="8" t="s">
        <v>4</v>
      </c>
      <c r="E264" s="8" t="s">
        <v>21</v>
      </c>
      <c r="F264" s="9">
        <v>5</v>
      </c>
      <c r="G264" s="9">
        <v>12</v>
      </c>
      <c r="H264" s="9">
        <v>15</v>
      </c>
      <c r="I264" s="7"/>
      <c r="J264" s="7"/>
      <c r="K264" s="7"/>
      <c r="L264" s="7" t="s">
        <v>120</v>
      </c>
      <c r="M264" s="122"/>
      <c r="N264" s="122"/>
      <c r="O264" s="122"/>
      <c r="P264" s="96"/>
      <c r="Q264" s="14">
        <v>0.3</v>
      </c>
      <c r="R264" s="93">
        <v>25.534365971593907</v>
      </c>
      <c r="S264" s="93">
        <v>405.02951298701265</v>
      </c>
      <c r="T264" s="122" t="s">
        <v>1518</v>
      </c>
      <c r="U264" s="7"/>
      <c r="V264" s="7"/>
      <c r="W264" s="122"/>
      <c r="X264" s="122"/>
      <c r="Y264" s="122" t="s">
        <v>1518</v>
      </c>
      <c r="Z264" s="7"/>
      <c r="AA264" s="7">
        <v>1</v>
      </c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16">
        <v>44169</v>
      </c>
      <c r="AN264" s="4"/>
      <c r="AO264" s="6" t="s">
        <v>1012</v>
      </c>
      <c r="AP264" s="6" t="s">
        <v>999</v>
      </c>
      <c r="AQ264" s="6" t="s">
        <v>992</v>
      </c>
      <c r="AR264" s="4"/>
      <c r="AS264" s="11">
        <v>70</v>
      </c>
      <c r="AT264" s="11">
        <v>120</v>
      </c>
      <c r="AU264" s="11">
        <v>240</v>
      </c>
      <c r="AV264" s="11"/>
      <c r="AW264" s="4"/>
      <c r="AX264" s="4">
        <f t="shared" si="18"/>
        <v>1</v>
      </c>
      <c r="AY264" s="93">
        <v>1</v>
      </c>
      <c r="AZ264" s="4">
        <v>1</v>
      </c>
    </row>
    <row r="265" spans="1:52" ht="14.25" customHeight="1" x14ac:dyDescent="0.25">
      <c r="B265" s="112" t="s">
        <v>237</v>
      </c>
      <c r="C265" s="6" t="s">
        <v>1445</v>
      </c>
      <c r="D265" s="8" t="s">
        <v>4</v>
      </c>
      <c r="E265" s="8" t="s">
        <v>21</v>
      </c>
      <c r="F265" s="9">
        <v>12</v>
      </c>
      <c r="G265" s="9">
        <v>15</v>
      </c>
      <c r="H265" s="9"/>
      <c r="I265" s="7">
        <v>6</v>
      </c>
      <c r="J265" s="7"/>
      <c r="K265" s="7"/>
      <c r="L265" s="7" t="s">
        <v>14</v>
      </c>
      <c r="M265" s="122"/>
      <c r="N265" s="122"/>
      <c r="O265" s="122"/>
      <c r="P265" s="96"/>
      <c r="Q265" s="14">
        <v>0.3</v>
      </c>
      <c r="R265" s="93">
        <v>16.552595829761422</v>
      </c>
      <c r="S265" s="93">
        <v>218.6711904761903</v>
      </c>
      <c r="T265" s="122" t="s">
        <v>1518</v>
      </c>
      <c r="U265" s="7"/>
      <c r="V265" s="7"/>
      <c r="W265" s="122"/>
      <c r="X265" s="122"/>
      <c r="Y265" s="122" t="s">
        <v>1518</v>
      </c>
      <c r="Z265" s="7"/>
      <c r="AA265" s="7">
        <v>1</v>
      </c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16">
        <v>44169</v>
      </c>
      <c r="AN265" s="4"/>
      <c r="AO265" s="6" t="s">
        <v>999</v>
      </c>
      <c r="AP265" s="4" t="s">
        <v>143</v>
      </c>
      <c r="AQ265" s="4"/>
      <c r="AR265" s="4"/>
      <c r="AS265" s="53">
        <v>200</v>
      </c>
      <c r="AT265" s="53">
        <v>400</v>
      </c>
      <c r="AU265" s="11"/>
      <c r="AV265" s="11"/>
      <c r="AW265" s="4"/>
      <c r="AX265" s="4">
        <f t="shared" ref="AX265:AX331" si="23">SUM(AA265:AL265)</f>
        <v>1</v>
      </c>
      <c r="AY265" s="93"/>
      <c r="AZ265" s="4">
        <v>0.4</v>
      </c>
    </row>
    <row r="266" spans="1:52" ht="14.25" customHeight="1" x14ac:dyDescent="0.25">
      <c r="B266" s="112" t="s">
        <v>238</v>
      </c>
      <c r="C266" s="6" t="s">
        <v>1445</v>
      </c>
      <c r="D266" s="8" t="s">
        <v>4</v>
      </c>
      <c r="E266" s="8" t="s">
        <v>21</v>
      </c>
      <c r="F266" s="9">
        <v>12</v>
      </c>
      <c r="G266" s="9">
        <v>15</v>
      </c>
      <c r="H266" s="9"/>
      <c r="I266" s="7">
        <v>6</v>
      </c>
      <c r="J266" s="7"/>
      <c r="K266" s="7"/>
      <c r="L266" s="7" t="s">
        <v>120</v>
      </c>
      <c r="M266" s="122"/>
      <c r="N266" s="122"/>
      <c r="O266" s="122"/>
      <c r="P266" s="96"/>
      <c r="Q266" s="14">
        <v>0.3</v>
      </c>
      <c r="R266" s="93">
        <v>24.82889374464213</v>
      </c>
      <c r="S266" s="93">
        <v>328.00678571428546</v>
      </c>
      <c r="T266" s="122" t="s">
        <v>1518</v>
      </c>
      <c r="U266" s="7"/>
      <c r="V266" s="7"/>
      <c r="W266" s="122"/>
      <c r="X266" s="122"/>
      <c r="Y266" s="122" t="s">
        <v>1518</v>
      </c>
      <c r="Z266" s="7"/>
      <c r="AA266" s="7">
        <v>1</v>
      </c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16">
        <v>44169</v>
      </c>
      <c r="AN266" s="4"/>
      <c r="AO266" s="6" t="s">
        <v>999</v>
      </c>
      <c r="AP266" s="4" t="s">
        <v>143</v>
      </c>
      <c r="AQ266" s="4"/>
      <c r="AR266" s="4"/>
      <c r="AS266" s="53">
        <v>200</v>
      </c>
      <c r="AT266" s="53">
        <v>400</v>
      </c>
      <c r="AU266" s="11"/>
      <c r="AV266" s="11"/>
      <c r="AW266" s="4"/>
      <c r="AX266" s="4">
        <f t="shared" si="23"/>
        <v>1</v>
      </c>
      <c r="AY266" s="93"/>
      <c r="AZ266" s="4">
        <v>0.6</v>
      </c>
    </row>
    <row r="267" spans="1:52" ht="14.25" customHeight="1" x14ac:dyDescent="0.25">
      <c r="B267" s="112" t="s">
        <v>239</v>
      </c>
      <c r="C267" s="6" t="s">
        <v>1227</v>
      </c>
      <c r="D267" s="8" t="s">
        <v>4</v>
      </c>
      <c r="E267" s="9" t="s">
        <v>26</v>
      </c>
      <c r="F267" s="9">
        <v>2</v>
      </c>
      <c r="G267" s="9"/>
      <c r="H267" s="9"/>
      <c r="I267" s="7"/>
      <c r="J267" s="7"/>
      <c r="K267" s="7"/>
      <c r="L267" s="7"/>
      <c r="M267" s="122"/>
      <c r="N267" s="122"/>
      <c r="O267" s="122"/>
      <c r="P267" s="96"/>
      <c r="Q267" s="7"/>
      <c r="R267" s="93">
        <v>0.22250226428322839</v>
      </c>
      <c r="S267" s="93">
        <v>2.2761940298507426</v>
      </c>
      <c r="T267" s="122" t="s">
        <v>1518</v>
      </c>
      <c r="U267" s="7"/>
      <c r="V267" s="7"/>
      <c r="W267" s="122"/>
      <c r="X267" s="122"/>
      <c r="Y267" s="122"/>
      <c r="Z267" s="7"/>
      <c r="AA267" s="7">
        <v>1</v>
      </c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>
        <v>1</v>
      </c>
      <c r="AM267" s="16">
        <v>44169</v>
      </c>
      <c r="AN267" s="4"/>
      <c r="AO267" s="11" t="s">
        <v>185</v>
      </c>
      <c r="AP267" s="4"/>
      <c r="AQ267" s="4"/>
      <c r="AR267" s="4"/>
      <c r="AS267" s="11">
        <v>750</v>
      </c>
      <c r="AT267" s="11"/>
      <c r="AU267" s="11"/>
      <c r="AV267" s="11"/>
      <c r="AW267" s="4"/>
      <c r="AX267" s="4">
        <f t="shared" si="23"/>
        <v>2</v>
      </c>
      <c r="AY267" s="93"/>
      <c r="AZ267" s="4">
        <v>0.04</v>
      </c>
    </row>
    <row r="268" spans="1:52" ht="14.25" customHeight="1" x14ac:dyDescent="0.25">
      <c r="A268" s="1">
        <v>11</v>
      </c>
      <c r="B268" s="112" t="s">
        <v>70</v>
      </c>
      <c r="C268" s="6" t="s">
        <v>1228</v>
      </c>
      <c r="D268" s="9" t="s">
        <v>3</v>
      </c>
      <c r="E268" s="8" t="s">
        <v>21</v>
      </c>
      <c r="F268" s="9">
        <v>3</v>
      </c>
      <c r="G268" s="9"/>
      <c r="H268" s="9"/>
      <c r="I268" s="7">
        <v>6</v>
      </c>
      <c r="J268" s="7"/>
      <c r="K268" s="7"/>
      <c r="L268" s="7"/>
      <c r="M268" s="122"/>
      <c r="N268" s="122"/>
      <c r="O268" s="122"/>
      <c r="P268" s="96"/>
      <c r="Q268" s="14">
        <v>0.3</v>
      </c>
      <c r="R268" s="93">
        <v>2.5722121980865613</v>
      </c>
      <c r="S268" s="93">
        <v>7.5604619565217348</v>
      </c>
      <c r="T268" s="122" t="s">
        <v>1518</v>
      </c>
      <c r="U268" s="7"/>
      <c r="V268" s="7"/>
      <c r="W268" s="122" t="s">
        <v>1518</v>
      </c>
      <c r="X268" s="122"/>
      <c r="Y268" s="122" t="s">
        <v>1518</v>
      </c>
      <c r="Z268" s="7"/>
      <c r="AA268" s="7">
        <v>1</v>
      </c>
      <c r="AB268" s="7"/>
      <c r="AC268" s="7"/>
      <c r="AD268" s="7"/>
      <c r="AE268" s="7">
        <v>1</v>
      </c>
      <c r="AF268" s="7"/>
      <c r="AG268" s="7">
        <v>1</v>
      </c>
      <c r="AH268" s="7"/>
      <c r="AI268" s="7">
        <v>1</v>
      </c>
      <c r="AJ268" s="7">
        <v>1</v>
      </c>
      <c r="AK268" s="7"/>
      <c r="AL268" s="7"/>
      <c r="AM268" s="16">
        <v>44169</v>
      </c>
      <c r="AN268" s="4"/>
      <c r="AO268" s="11" t="s">
        <v>41</v>
      </c>
      <c r="AP268" s="4"/>
      <c r="AQ268" s="4"/>
      <c r="AR268" s="4"/>
      <c r="AS268" s="11">
        <v>250</v>
      </c>
      <c r="AT268" s="11"/>
      <c r="AU268" s="11"/>
      <c r="AV268" s="11"/>
      <c r="AW268" s="4"/>
      <c r="AX268" s="4">
        <f t="shared" si="23"/>
        <v>5</v>
      </c>
      <c r="AY268" s="93">
        <v>1</v>
      </c>
      <c r="AZ268" s="4">
        <v>1</v>
      </c>
    </row>
    <row r="269" spans="1:52" ht="14.25" customHeight="1" x14ac:dyDescent="0.25">
      <c r="A269" s="1">
        <v>1</v>
      </c>
      <c r="B269" s="112" t="s">
        <v>333</v>
      </c>
      <c r="C269" s="6" t="s">
        <v>1430</v>
      </c>
      <c r="D269" s="8" t="s">
        <v>5</v>
      </c>
      <c r="E269" s="9" t="s">
        <v>26</v>
      </c>
      <c r="F269" s="8"/>
      <c r="G269" s="8"/>
      <c r="H269" s="8"/>
      <c r="I269" s="7"/>
      <c r="J269" s="7"/>
      <c r="K269" s="7"/>
      <c r="L269" s="7"/>
      <c r="M269" s="122"/>
      <c r="N269" s="122"/>
      <c r="O269" s="122"/>
      <c r="P269" s="96"/>
      <c r="Q269" s="7"/>
      <c r="R269" s="93">
        <v>6.2131739044268661</v>
      </c>
      <c r="S269" s="93">
        <v>0.60316688432835652</v>
      </c>
      <c r="T269" s="122"/>
      <c r="U269" s="7"/>
      <c r="V269" s="7"/>
      <c r="W269" s="122"/>
      <c r="X269" s="122"/>
      <c r="Y269" s="122"/>
      <c r="Z269" s="7"/>
      <c r="AA269" s="7"/>
      <c r="AB269" s="7"/>
      <c r="AC269" s="7">
        <v>2</v>
      </c>
      <c r="AD269" s="7"/>
      <c r="AE269" s="7"/>
      <c r="AF269" s="7"/>
      <c r="AG269" s="7"/>
      <c r="AH269" s="7"/>
      <c r="AI269" s="7"/>
      <c r="AJ269" s="7"/>
      <c r="AK269" s="7"/>
      <c r="AL269" s="7"/>
      <c r="AM269" s="16">
        <v>44169</v>
      </c>
      <c r="AN269" s="4"/>
      <c r="AO269" s="11" t="s">
        <v>334</v>
      </c>
      <c r="AP269" s="4"/>
      <c r="AQ269" s="4"/>
      <c r="AR269" s="4"/>
      <c r="AS269" s="11">
        <v>830</v>
      </c>
      <c r="AT269" s="11"/>
      <c r="AU269" s="11"/>
      <c r="AV269" s="11"/>
      <c r="AW269" s="4"/>
      <c r="AX269" s="4">
        <f t="shared" si="23"/>
        <v>2</v>
      </c>
      <c r="AY269" s="93"/>
      <c r="AZ269" s="4">
        <v>7</v>
      </c>
    </row>
    <row r="270" spans="1:52" ht="14.25" customHeight="1" x14ac:dyDescent="0.25">
      <c r="B270" s="112" t="s">
        <v>1616</v>
      </c>
      <c r="C270" s="6" t="s">
        <v>1617</v>
      </c>
      <c r="D270" s="9" t="s">
        <v>3</v>
      </c>
      <c r="E270" s="8" t="s">
        <v>26</v>
      </c>
      <c r="F270" s="9">
        <v>27</v>
      </c>
      <c r="G270" s="9">
        <v>28</v>
      </c>
      <c r="H270" s="9"/>
      <c r="I270" s="7"/>
      <c r="J270" s="7"/>
      <c r="K270" s="7"/>
      <c r="L270" s="7"/>
      <c r="M270" s="122"/>
      <c r="N270" s="122"/>
      <c r="O270" s="122"/>
      <c r="P270" s="96"/>
      <c r="Q270" s="7"/>
      <c r="R270" s="93">
        <v>0.22470493656458485</v>
      </c>
      <c r="S270" s="93">
        <v>5.7319859405940603</v>
      </c>
      <c r="T270" s="122" t="s">
        <v>1518</v>
      </c>
      <c r="U270" s="7"/>
      <c r="V270" s="7"/>
      <c r="W270" s="122"/>
      <c r="X270" s="122"/>
      <c r="Y270" s="122"/>
      <c r="Z270" s="7"/>
      <c r="AA270" s="7"/>
      <c r="AB270" s="7"/>
      <c r="AC270" s="7">
        <v>1</v>
      </c>
      <c r="AD270" s="7"/>
      <c r="AE270" s="7"/>
      <c r="AF270" s="7"/>
      <c r="AG270" s="7"/>
      <c r="AH270" s="7"/>
      <c r="AI270" s="7"/>
      <c r="AJ270" s="7"/>
      <c r="AK270" s="7"/>
      <c r="AL270" s="7"/>
      <c r="AM270" s="16">
        <v>44540</v>
      </c>
      <c r="AN270" s="4"/>
      <c r="AO270" s="4" t="s">
        <v>30</v>
      </c>
      <c r="AP270" s="11" t="s">
        <v>31</v>
      </c>
      <c r="AQ270" s="4"/>
      <c r="AR270" s="4"/>
      <c r="AS270" s="11">
        <v>50</v>
      </c>
      <c r="AT270" s="11">
        <v>400</v>
      </c>
      <c r="AU270" s="11"/>
      <c r="AV270" s="11"/>
      <c r="AW270" s="4"/>
      <c r="AX270" s="4">
        <f t="shared" si="23"/>
        <v>1</v>
      </c>
      <c r="AY270" s="93"/>
      <c r="AZ270" s="4">
        <v>2.5</v>
      </c>
    </row>
    <row r="271" spans="1:52" ht="14.25" customHeight="1" x14ac:dyDescent="0.25">
      <c r="B271" s="112" t="s">
        <v>240</v>
      </c>
      <c r="C271" s="6" t="s">
        <v>1229</v>
      </c>
      <c r="D271" s="8" t="s">
        <v>4</v>
      </c>
      <c r="E271" s="8" t="s">
        <v>21</v>
      </c>
      <c r="F271" s="9">
        <v>2</v>
      </c>
      <c r="G271" s="9"/>
      <c r="H271" s="9"/>
      <c r="I271" s="7"/>
      <c r="J271" s="7"/>
      <c r="K271" s="7"/>
      <c r="L271" s="7"/>
      <c r="M271" s="122"/>
      <c r="N271" s="122"/>
      <c r="O271" s="122"/>
      <c r="P271" s="96"/>
      <c r="Q271" s="7"/>
      <c r="R271" s="93">
        <v>0.9928607579084715</v>
      </c>
      <c r="S271" s="93">
        <v>1412.0840111333325</v>
      </c>
      <c r="T271" s="122" t="s">
        <v>1518</v>
      </c>
      <c r="U271" s="7"/>
      <c r="V271" s="7"/>
      <c r="W271" s="122" t="s">
        <v>1518</v>
      </c>
      <c r="X271" s="122"/>
      <c r="Y271" s="122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16">
        <v>44169</v>
      </c>
      <c r="AN271" s="4" t="s">
        <v>1818</v>
      </c>
      <c r="AO271" s="11" t="s">
        <v>133</v>
      </c>
      <c r="AP271" s="6" t="s">
        <v>1007</v>
      </c>
      <c r="AQ271" s="4"/>
      <c r="AR271" s="4"/>
      <c r="AS271" s="11">
        <v>100</v>
      </c>
      <c r="AT271" s="11">
        <v>300</v>
      </c>
      <c r="AU271" s="11"/>
      <c r="AV271" s="11"/>
      <c r="AW271" s="4"/>
      <c r="AX271" s="4">
        <f t="shared" si="23"/>
        <v>0</v>
      </c>
      <c r="AY271" s="93"/>
      <c r="AZ271" s="4">
        <v>0.1</v>
      </c>
    </row>
    <row r="272" spans="1:52" ht="14.25" customHeight="1" x14ac:dyDescent="0.25">
      <c r="B272" s="112" t="s">
        <v>241</v>
      </c>
      <c r="C272" s="6" t="s">
        <v>1230</v>
      </c>
      <c r="D272" s="8" t="s">
        <v>4</v>
      </c>
      <c r="E272" s="8" t="s">
        <v>21</v>
      </c>
      <c r="F272" s="9">
        <v>2</v>
      </c>
      <c r="G272" s="9">
        <v>2</v>
      </c>
      <c r="H272" s="9"/>
      <c r="I272" s="7"/>
      <c r="J272" s="7">
        <v>3</v>
      </c>
      <c r="K272" s="7"/>
      <c r="L272" s="7"/>
      <c r="M272" s="122"/>
      <c r="N272" s="122"/>
      <c r="O272" s="122"/>
      <c r="P272" s="96"/>
      <c r="Q272" s="7"/>
      <c r="R272" s="93">
        <v>1.1256197737051867</v>
      </c>
      <c r="S272" s="93">
        <v>1440.3261296666658</v>
      </c>
      <c r="T272" s="122" t="s">
        <v>1518</v>
      </c>
      <c r="U272" s="7"/>
      <c r="V272" s="7"/>
      <c r="W272" s="122" t="s">
        <v>1518</v>
      </c>
      <c r="X272" s="122"/>
      <c r="Y272" s="122"/>
      <c r="Z272" s="7"/>
      <c r="AA272" s="7">
        <v>1</v>
      </c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16">
        <v>45232</v>
      </c>
      <c r="AN272" s="4"/>
      <c r="AO272" s="11" t="s">
        <v>133</v>
      </c>
      <c r="AP272" s="6" t="s">
        <v>1006</v>
      </c>
      <c r="AQ272" s="6" t="s">
        <v>1007</v>
      </c>
      <c r="AR272" s="4"/>
      <c r="AS272" s="11">
        <v>50</v>
      </c>
      <c r="AT272" s="79">
        <v>7.5</v>
      </c>
      <c r="AU272" s="11">
        <v>250</v>
      </c>
      <c r="AV272" s="11"/>
      <c r="AW272" s="4"/>
      <c r="AX272" s="4">
        <f t="shared" si="23"/>
        <v>1</v>
      </c>
      <c r="AY272" s="93">
        <v>1</v>
      </c>
      <c r="AZ272" s="4">
        <v>0.2</v>
      </c>
    </row>
    <row r="273" spans="2:52" ht="14.25" customHeight="1" x14ac:dyDescent="0.25">
      <c r="B273" s="112" t="s">
        <v>242</v>
      </c>
      <c r="C273" s="6" t="s">
        <v>1231</v>
      </c>
      <c r="D273" s="8" t="s">
        <v>4</v>
      </c>
      <c r="E273" s="8" t="s">
        <v>21</v>
      </c>
      <c r="F273" s="9">
        <v>1</v>
      </c>
      <c r="G273" s="9">
        <v>2</v>
      </c>
      <c r="H273" s="9"/>
      <c r="I273" s="7"/>
      <c r="J273" s="7"/>
      <c r="K273" s="7"/>
      <c r="L273" s="7"/>
      <c r="M273" s="122"/>
      <c r="N273" s="122"/>
      <c r="O273" s="122"/>
      <c r="P273" s="96"/>
      <c r="Q273" s="7"/>
      <c r="R273" s="93">
        <v>1.9195127399820113</v>
      </c>
      <c r="S273" s="93">
        <v>1477.4666477892811</v>
      </c>
      <c r="T273" s="122" t="s">
        <v>1518</v>
      </c>
      <c r="U273" s="7"/>
      <c r="V273" s="7"/>
      <c r="W273" s="122" t="s">
        <v>1518</v>
      </c>
      <c r="X273" s="122"/>
      <c r="Y273" s="122" t="s">
        <v>1518</v>
      </c>
      <c r="Z273" s="7"/>
      <c r="AA273" s="7">
        <v>1</v>
      </c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16">
        <v>44169</v>
      </c>
      <c r="AN273" s="4"/>
      <c r="AO273" s="6" t="s">
        <v>1027</v>
      </c>
      <c r="AP273" s="11" t="s">
        <v>133</v>
      </c>
      <c r="AQ273" s="6" t="s">
        <v>1007</v>
      </c>
      <c r="AR273" s="4"/>
      <c r="AS273" s="11">
        <v>64</v>
      </c>
      <c r="AT273" s="11">
        <v>8</v>
      </c>
      <c r="AU273" s="11">
        <v>24</v>
      </c>
      <c r="AV273" s="11"/>
      <c r="AW273" s="4"/>
      <c r="AX273" s="4">
        <f t="shared" si="23"/>
        <v>1</v>
      </c>
      <c r="AY273" s="93">
        <v>1</v>
      </c>
      <c r="AZ273" s="4">
        <v>1.25</v>
      </c>
    </row>
    <row r="274" spans="2:52" ht="14.25" customHeight="1" x14ac:dyDescent="0.25">
      <c r="B274" s="112" t="s">
        <v>1619</v>
      </c>
      <c r="C274" s="6" t="s">
        <v>1620</v>
      </c>
      <c r="D274" s="8" t="s">
        <v>4</v>
      </c>
      <c r="E274" s="7" t="s">
        <v>26</v>
      </c>
      <c r="F274" s="9">
        <v>3</v>
      </c>
      <c r="G274" s="9"/>
      <c r="H274" s="9"/>
      <c r="I274" s="7"/>
      <c r="J274" s="7"/>
      <c r="K274" s="7"/>
      <c r="L274" s="7"/>
      <c r="M274" s="122"/>
      <c r="N274" s="122"/>
      <c r="O274" s="122"/>
      <c r="P274" s="96"/>
      <c r="Q274" s="14">
        <v>0.3</v>
      </c>
      <c r="R274" s="93">
        <v>27.886258785994524</v>
      </c>
      <c r="S274" s="93">
        <v>20.137994402985019</v>
      </c>
      <c r="T274" s="122" t="s">
        <v>1518</v>
      </c>
      <c r="U274" s="7"/>
      <c r="V274" s="7"/>
      <c r="W274" s="122"/>
      <c r="X274" s="122"/>
      <c r="Y274" s="122"/>
      <c r="Z274" s="7"/>
      <c r="AA274" s="7">
        <v>1</v>
      </c>
      <c r="AB274" s="7"/>
      <c r="AC274" s="7">
        <v>1</v>
      </c>
      <c r="AD274" s="7">
        <v>1</v>
      </c>
      <c r="AE274" s="7">
        <v>1</v>
      </c>
      <c r="AF274" s="7">
        <v>1</v>
      </c>
      <c r="AG274" s="7">
        <v>1</v>
      </c>
      <c r="AH274" s="7"/>
      <c r="AI274" s="7"/>
      <c r="AJ274" s="7">
        <v>1</v>
      </c>
      <c r="AK274" s="7">
        <v>1</v>
      </c>
      <c r="AL274" s="7">
        <v>1</v>
      </c>
      <c r="AM274" s="16">
        <v>44540</v>
      </c>
      <c r="AN274" s="4"/>
      <c r="AO274" s="6" t="s">
        <v>1000</v>
      </c>
      <c r="AP274" s="4"/>
      <c r="AQ274" s="4"/>
      <c r="AR274" s="4"/>
      <c r="AS274" s="11">
        <v>455</v>
      </c>
      <c r="AT274" s="11"/>
      <c r="AU274" s="11"/>
      <c r="AV274" s="11"/>
      <c r="AW274" s="4"/>
      <c r="AX274" s="4">
        <f t="shared" si="23"/>
        <v>9</v>
      </c>
      <c r="AY274" s="93"/>
      <c r="AZ274" s="4">
        <v>3.5</v>
      </c>
    </row>
    <row r="275" spans="2:52" ht="14.25" customHeight="1" x14ac:dyDescent="0.25">
      <c r="B275" s="112" t="s">
        <v>71</v>
      </c>
      <c r="C275" s="6" t="s">
        <v>1232</v>
      </c>
      <c r="D275" s="9" t="s">
        <v>3</v>
      </c>
      <c r="E275" s="9" t="s">
        <v>54</v>
      </c>
      <c r="F275" s="9">
        <v>29</v>
      </c>
      <c r="G275" s="9"/>
      <c r="H275" s="9"/>
      <c r="I275" s="7">
        <v>20</v>
      </c>
      <c r="J275" s="7"/>
      <c r="K275" s="7"/>
      <c r="L275" s="7" t="s">
        <v>59</v>
      </c>
      <c r="M275" s="122"/>
      <c r="N275" s="122"/>
      <c r="O275" s="122"/>
      <c r="P275" s="96"/>
      <c r="Q275" s="7"/>
      <c r="R275" s="93">
        <v>6.4603069825525035</v>
      </c>
      <c r="S275" s="93">
        <v>23.113187954309396</v>
      </c>
      <c r="T275" s="122" t="s">
        <v>1518</v>
      </c>
      <c r="U275" s="7"/>
      <c r="V275" s="7"/>
      <c r="W275" s="122"/>
      <c r="X275" s="122"/>
      <c r="Y275" s="122" t="s">
        <v>1518</v>
      </c>
      <c r="Z275" s="7"/>
      <c r="AA275" s="7"/>
      <c r="AB275" s="7"/>
      <c r="AC275" s="7">
        <v>1</v>
      </c>
      <c r="AD275" s="7"/>
      <c r="AE275" s="7"/>
      <c r="AF275" s="7"/>
      <c r="AG275" s="7"/>
      <c r="AH275" s="7"/>
      <c r="AI275" s="7"/>
      <c r="AJ275" s="7"/>
      <c r="AK275" s="7"/>
      <c r="AL275" s="7"/>
      <c r="AM275" s="16">
        <v>44169</v>
      </c>
      <c r="AN275" s="4"/>
      <c r="AO275" s="11" t="s">
        <v>60</v>
      </c>
      <c r="AP275" s="4"/>
      <c r="AQ275" s="4"/>
      <c r="AR275" s="4"/>
      <c r="AS275" s="11">
        <v>500</v>
      </c>
      <c r="AT275" s="11"/>
      <c r="AU275" s="11"/>
      <c r="AV275" s="11"/>
      <c r="AW275" s="4"/>
      <c r="AX275" s="4">
        <f t="shared" si="23"/>
        <v>1</v>
      </c>
      <c r="AY275" s="93"/>
      <c r="AZ275" s="4">
        <v>0.4</v>
      </c>
    </row>
    <row r="276" spans="2:52" ht="14.25" customHeight="1" x14ac:dyDescent="0.25">
      <c r="B276" s="112" t="s">
        <v>72</v>
      </c>
      <c r="C276" s="6" t="s">
        <v>1233</v>
      </c>
      <c r="D276" s="8" t="s">
        <v>3</v>
      </c>
      <c r="E276" s="8" t="s">
        <v>21</v>
      </c>
      <c r="F276" s="8">
        <v>28</v>
      </c>
      <c r="G276" s="8">
        <v>43</v>
      </c>
      <c r="H276" s="8"/>
      <c r="I276" s="7"/>
      <c r="J276" s="7"/>
      <c r="K276" s="7"/>
      <c r="L276" s="7"/>
      <c r="M276" s="122" t="s">
        <v>1518</v>
      </c>
      <c r="N276" s="122" t="s">
        <v>1518</v>
      </c>
      <c r="O276" s="122"/>
      <c r="P276" s="96" t="s">
        <v>73</v>
      </c>
      <c r="Q276" s="14">
        <v>0.3</v>
      </c>
      <c r="R276" s="93">
        <v>0.19285385190149151</v>
      </c>
      <c r="S276" s="93">
        <v>0.66773999999999922</v>
      </c>
      <c r="T276" s="122" t="s">
        <v>1518</v>
      </c>
      <c r="U276" s="7"/>
      <c r="V276" s="7"/>
      <c r="W276" s="122"/>
      <c r="X276" s="122"/>
      <c r="Y276" s="122"/>
      <c r="Z276" s="7"/>
      <c r="AA276" s="7"/>
      <c r="AB276" s="7"/>
      <c r="AC276" s="7">
        <v>1</v>
      </c>
      <c r="AD276" s="7"/>
      <c r="AE276" s="7"/>
      <c r="AF276" s="7"/>
      <c r="AG276" s="7"/>
      <c r="AH276" s="7"/>
      <c r="AI276" s="7"/>
      <c r="AJ276" s="7"/>
      <c r="AK276" s="7"/>
      <c r="AL276" s="7"/>
      <c r="AM276" s="16">
        <v>44169</v>
      </c>
      <c r="AN276" s="4"/>
      <c r="AO276" s="11" t="s">
        <v>31</v>
      </c>
      <c r="AP276" s="4" t="s">
        <v>74</v>
      </c>
      <c r="AQ276" s="4"/>
      <c r="AR276" s="4"/>
      <c r="AS276" s="11">
        <v>625</v>
      </c>
      <c r="AT276" s="11">
        <v>62.5</v>
      </c>
      <c r="AU276" s="11"/>
      <c r="AV276" s="11"/>
      <c r="AW276" s="4"/>
      <c r="AX276" s="4">
        <f t="shared" si="23"/>
        <v>1</v>
      </c>
      <c r="AY276" s="93"/>
      <c r="AZ276" s="4">
        <v>1.6</v>
      </c>
    </row>
    <row r="277" spans="2:52" ht="14.25" customHeight="1" x14ac:dyDescent="0.25">
      <c r="B277" s="112" t="s">
        <v>1481</v>
      </c>
      <c r="C277" s="6" t="s">
        <v>1234</v>
      </c>
      <c r="D277" s="9" t="s">
        <v>3</v>
      </c>
      <c r="E277" s="8" t="s">
        <v>21</v>
      </c>
      <c r="F277" s="9">
        <v>3</v>
      </c>
      <c r="G277" s="9">
        <v>5</v>
      </c>
      <c r="H277" s="9"/>
      <c r="I277" s="7">
        <v>20</v>
      </c>
      <c r="J277" s="7"/>
      <c r="K277" s="7"/>
      <c r="L277" s="7" t="s">
        <v>14</v>
      </c>
      <c r="M277" s="122"/>
      <c r="N277" s="122"/>
      <c r="O277" s="122"/>
      <c r="P277" s="96"/>
      <c r="Q277" s="7"/>
      <c r="R277" s="93">
        <v>10.550523349587952</v>
      </c>
      <c r="S277" s="93">
        <v>1.5743371088435363</v>
      </c>
      <c r="T277" s="122" t="s">
        <v>1518</v>
      </c>
      <c r="U277" s="7"/>
      <c r="V277" s="7"/>
      <c r="W277" s="122" t="s">
        <v>1518</v>
      </c>
      <c r="X277" s="122"/>
      <c r="Y277" s="122" t="s">
        <v>1518</v>
      </c>
      <c r="Z277" s="7"/>
      <c r="AA277" s="7">
        <v>1</v>
      </c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16">
        <v>44169</v>
      </c>
      <c r="AN277" s="4"/>
      <c r="AO277" s="11" t="s">
        <v>15</v>
      </c>
      <c r="AP277" s="11" t="s">
        <v>42</v>
      </c>
      <c r="AQ277" s="4"/>
      <c r="AR277" s="4"/>
      <c r="AS277" s="11">
        <v>160</v>
      </c>
      <c r="AT277" s="11">
        <v>300</v>
      </c>
      <c r="AU277" s="11"/>
      <c r="AV277" s="11"/>
      <c r="AW277" s="4"/>
      <c r="AX277" s="4">
        <f t="shared" si="23"/>
        <v>1</v>
      </c>
      <c r="AY277" s="93">
        <v>1</v>
      </c>
      <c r="AZ277" s="4">
        <v>0.75</v>
      </c>
    </row>
    <row r="278" spans="2:52" ht="14.25" customHeight="1" x14ac:dyDescent="0.25">
      <c r="B278" s="112" t="s">
        <v>1498</v>
      </c>
      <c r="C278" s="6" t="s">
        <v>1234</v>
      </c>
      <c r="D278" s="9" t="s">
        <v>3</v>
      </c>
      <c r="E278" s="8" t="s">
        <v>21</v>
      </c>
      <c r="F278" s="9">
        <v>3</v>
      </c>
      <c r="G278" s="9">
        <v>5</v>
      </c>
      <c r="H278" s="9"/>
      <c r="I278" s="7">
        <v>20</v>
      </c>
      <c r="J278" s="7"/>
      <c r="K278" s="7"/>
      <c r="L278" s="7" t="s">
        <v>120</v>
      </c>
      <c r="M278" s="122"/>
      <c r="N278" s="122"/>
      <c r="O278" s="122"/>
      <c r="P278" s="96"/>
      <c r="Q278" s="7"/>
      <c r="R278" s="93">
        <v>17.584205582646586</v>
      </c>
      <c r="S278" s="93">
        <v>2.623895181405894</v>
      </c>
      <c r="T278" s="122" t="s">
        <v>1518</v>
      </c>
      <c r="U278" s="7"/>
      <c r="V278" s="7"/>
      <c r="W278" s="122" t="s">
        <v>1518</v>
      </c>
      <c r="X278" s="122"/>
      <c r="Y278" s="122" t="s">
        <v>1518</v>
      </c>
      <c r="Z278" s="7"/>
      <c r="AA278" s="7">
        <v>1</v>
      </c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16">
        <v>44169</v>
      </c>
      <c r="AN278" s="4"/>
      <c r="AO278" s="11" t="s">
        <v>15</v>
      </c>
      <c r="AP278" s="11" t="s">
        <v>42</v>
      </c>
      <c r="AQ278" s="4"/>
      <c r="AR278" s="4"/>
      <c r="AS278" s="11">
        <v>160</v>
      </c>
      <c r="AT278" s="11">
        <v>300</v>
      </c>
      <c r="AU278" s="11"/>
      <c r="AV278" s="11"/>
      <c r="AW278" s="4"/>
      <c r="AX278" s="4">
        <f t="shared" si="23"/>
        <v>1</v>
      </c>
      <c r="AY278" s="93">
        <v>1</v>
      </c>
      <c r="AZ278" s="4">
        <v>1.25</v>
      </c>
    </row>
    <row r="279" spans="2:52" ht="14.25" customHeight="1" x14ac:dyDescent="0.25">
      <c r="B279" s="112" t="s">
        <v>75</v>
      </c>
      <c r="C279" s="6" t="s">
        <v>1235</v>
      </c>
      <c r="D279" s="9" t="s">
        <v>3</v>
      </c>
      <c r="E279" s="9" t="s">
        <v>17</v>
      </c>
      <c r="F279" s="9"/>
      <c r="G279" s="9"/>
      <c r="H279" s="9"/>
      <c r="I279" s="7"/>
      <c r="J279" s="7"/>
      <c r="K279" s="7"/>
      <c r="L279" s="7"/>
      <c r="M279" s="122"/>
      <c r="N279" s="122"/>
      <c r="O279" s="122"/>
      <c r="P279" s="96"/>
      <c r="Q279" s="7"/>
      <c r="R279" s="93">
        <v>5.1936516252039128E-4</v>
      </c>
      <c r="S279" s="93">
        <v>5.1991540404040297E-2</v>
      </c>
      <c r="T279" s="122"/>
      <c r="U279" s="7"/>
      <c r="V279" s="7"/>
      <c r="W279" s="122"/>
      <c r="X279" s="122"/>
      <c r="Y279" s="122"/>
      <c r="Z279" s="7"/>
      <c r="AA279" s="7">
        <v>1</v>
      </c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16">
        <v>44169</v>
      </c>
      <c r="AN279" s="4"/>
      <c r="AO279" s="4" t="s">
        <v>76</v>
      </c>
      <c r="AP279" s="4"/>
      <c r="AQ279" s="4"/>
      <c r="AR279" s="4"/>
      <c r="AS279" s="11">
        <v>37</v>
      </c>
      <c r="AT279" s="11"/>
      <c r="AU279" s="11"/>
      <c r="AV279" s="11"/>
      <c r="AW279" s="4"/>
      <c r="AX279" s="4">
        <f t="shared" si="23"/>
        <v>1</v>
      </c>
      <c r="AY279" s="93"/>
      <c r="AZ279" s="4">
        <v>1</v>
      </c>
    </row>
    <row r="280" spans="2:52" ht="14.25" customHeight="1" x14ac:dyDescent="0.25">
      <c r="B280" s="112" t="s">
        <v>1602</v>
      </c>
      <c r="C280" s="6" t="s">
        <v>1603</v>
      </c>
      <c r="D280" s="8" t="s">
        <v>6</v>
      </c>
      <c r="E280" s="8" t="s">
        <v>17</v>
      </c>
      <c r="F280" s="8"/>
      <c r="G280" s="8"/>
      <c r="H280" s="8"/>
      <c r="I280" s="7"/>
      <c r="J280" s="7"/>
      <c r="K280" s="7"/>
      <c r="L280" s="7"/>
      <c r="M280" s="122"/>
      <c r="N280" s="122"/>
      <c r="O280" s="122"/>
      <c r="P280" s="96"/>
      <c r="Q280" s="7"/>
      <c r="R280" s="93">
        <v>0.12407534152970985</v>
      </c>
      <c r="S280" s="93">
        <v>3.4024968152866215E-2</v>
      </c>
      <c r="T280" s="122"/>
      <c r="U280" s="7"/>
      <c r="V280" s="7"/>
      <c r="W280" s="122"/>
      <c r="X280" s="122"/>
      <c r="Y280" s="122" t="s">
        <v>1518</v>
      </c>
      <c r="Z280" s="7"/>
      <c r="AA280" s="7">
        <v>2</v>
      </c>
      <c r="AB280" s="7">
        <v>2</v>
      </c>
      <c r="AC280" s="7">
        <v>2</v>
      </c>
      <c r="AD280" s="7">
        <v>2</v>
      </c>
      <c r="AE280" s="7">
        <v>2</v>
      </c>
      <c r="AF280" s="7">
        <v>2</v>
      </c>
      <c r="AG280" s="7">
        <v>2</v>
      </c>
      <c r="AH280" s="7">
        <v>2</v>
      </c>
      <c r="AI280" s="7">
        <v>2</v>
      </c>
      <c r="AJ280" s="7">
        <v>2</v>
      </c>
      <c r="AK280" s="7">
        <v>2</v>
      </c>
      <c r="AL280" s="7">
        <v>2</v>
      </c>
      <c r="AM280" s="16">
        <v>44540</v>
      </c>
      <c r="AN280" s="4"/>
      <c r="AO280" s="4" t="s">
        <v>816</v>
      </c>
      <c r="AP280" s="4"/>
      <c r="AQ280" s="4"/>
      <c r="AR280" s="4"/>
      <c r="AS280" s="11">
        <v>24</v>
      </c>
      <c r="AT280" s="11"/>
      <c r="AU280" s="11"/>
      <c r="AV280" s="11"/>
      <c r="AW280" s="4"/>
      <c r="AX280" s="4">
        <f t="shared" si="23"/>
        <v>24</v>
      </c>
      <c r="AY280" s="93"/>
      <c r="AZ280" s="4">
        <v>7</v>
      </c>
    </row>
    <row r="281" spans="2:52" ht="14.25" customHeight="1" x14ac:dyDescent="0.25">
      <c r="B281" s="113" t="s">
        <v>1236</v>
      </c>
      <c r="C281" s="6" t="s">
        <v>1237</v>
      </c>
      <c r="D281" s="7" t="s">
        <v>7</v>
      </c>
      <c r="E281" s="9" t="s">
        <v>359</v>
      </c>
      <c r="F281" s="137" t="s">
        <v>1555</v>
      </c>
      <c r="G281" s="7"/>
      <c r="H281" s="7"/>
      <c r="I281" s="7"/>
      <c r="J281" s="7"/>
      <c r="K281" s="7">
        <v>3</v>
      </c>
      <c r="L281" s="7"/>
      <c r="M281" s="122"/>
      <c r="N281" s="122"/>
      <c r="O281" s="122"/>
      <c r="P281" s="96"/>
      <c r="Q281" s="7"/>
      <c r="R281" s="93">
        <v>0.21512335150242501</v>
      </c>
      <c r="S281" s="93">
        <v>12.470044500000002</v>
      </c>
      <c r="T281" s="122" t="s">
        <v>1518</v>
      </c>
      <c r="U281" s="7"/>
      <c r="V281" s="7"/>
      <c r="W281" s="122"/>
      <c r="X281" s="122"/>
      <c r="Y281" s="122"/>
      <c r="Z281" s="7" t="s">
        <v>7</v>
      </c>
      <c r="AA281" s="7"/>
      <c r="AB281" s="7"/>
      <c r="AC281" s="7">
        <v>1</v>
      </c>
      <c r="AD281" s="7"/>
      <c r="AE281" s="7"/>
      <c r="AF281" s="7"/>
      <c r="AG281" s="7"/>
      <c r="AH281" s="7"/>
      <c r="AI281" s="7"/>
      <c r="AJ281" s="7"/>
      <c r="AK281" s="7">
        <v>1</v>
      </c>
      <c r="AL281" s="7"/>
      <c r="AM281" s="16">
        <v>45232</v>
      </c>
      <c r="AN281" s="4"/>
      <c r="AO281" s="11" t="s">
        <v>368</v>
      </c>
      <c r="AP281" s="4"/>
      <c r="AQ281" s="4"/>
      <c r="AR281" s="4"/>
      <c r="AS281" s="11">
        <v>270</v>
      </c>
      <c r="AT281" s="11"/>
      <c r="AU281" s="11"/>
      <c r="AV281" s="11"/>
      <c r="AW281" s="4"/>
      <c r="AX281" s="4">
        <f t="shared" ref="AX281" si="24">SUM(AA281:AL281)</f>
        <v>2</v>
      </c>
      <c r="AY281" s="93"/>
      <c r="AZ281" s="4">
        <v>8.3000000000000007</v>
      </c>
    </row>
    <row r="282" spans="2:52" ht="14.25" customHeight="1" x14ac:dyDescent="0.25">
      <c r="B282" s="112" t="s">
        <v>335</v>
      </c>
      <c r="C282" s="6" t="s">
        <v>1238</v>
      </c>
      <c r="D282" s="8" t="s">
        <v>5</v>
      </c>
      <c r="E282" s="8" t="s">
        <v>958</v>
      </c>
      <c r="F282" s="8" t="s">
        <v>314</v>
      </c>
      <c r="G282" s="8"/>
      <c r="H282" s="8"/>
      <c r="I282" s="7">
        <v>20</v>
      </c>
      <c r="J282" s="7"/>
      <c r="K282" s="7"/>
      <c r="L282" s="7"/>
      <c r="M282" s="122"/>
      <c r="N282" s="122"/>
      <c r="O282" s="122"/>
      <c r="P282" s="96"/>
      <c r="Q282" s="14">
        <v>0.3</v>
      </c>
      <c r="R282" s="93">
        <v>46545.179756510835</v>
      </c>
      <c r="S282" s="93">
        <v>4909.852941176463</v>
      </c>
      <c r="T282" s="122" t="s">
        <v>1518</v>
      </c>
      <c r="U282" s="7">
        <v>2</v>
      </c>
      <c r="V282" s="7"/>
      <c r="W282" s="122"/>
      <c r="X282" s="122"/>
      <c r="Y282" s="122"/>
      <c r="Z282" s="7"/>
      <c r="AA282" s="7">
        <v>3</v>
      </c>
      <c r="AB282" s="7">
        <v>3</v>
      </c>
      <c r="AC282" s="7">
        <v>3</v>
      </c>
      <c r="AD282" s="7">
        <v>3</v>
      </c>
      <c r="AE282" s="7">
        <v>3</v>
      </c>
      <c r="AF282" s="7">
        <v>3</v>
      </c>
      <c r="AG282" s="7">
        <v>3</v>
      </c>
      <c r="AH282" s="7">
        <v>3</v>
      </c>
      <c r="AI282" s="7">
        <v>3</v>
      </c>
      <c r="AJ282" s="7">
        <v>3</v>
      </c>
      <c r="AK282" s="7">
        <v>3</v>
      </c>
      <c r="AL282" s="7">
        <v>3</v>
      </c>
      <c r="AM282" s="16">
        <v>44169</v>
      </c>
      <c r="AN282" s="4"/>
      <c r="AO282" s="6" t="s">
        <v>1029</v>
      </c>
      <c r="AP282" s="4"/>
      <c r="AQ282" s="4"/>
      <c r="AR282" s="4"/>
      <c r="AS282" s="11">
        <v>100</v>
      </c>
      <c r="AT282" s="11"/>
      <c r="AU282" s="11"/>
      <c r="AV282" s="11"/>
      <c r="AW282" s="4"/>
      <c r="AX282" s="4">
        <f t="shared" si="23"/>
        <v>36</v>
      </c>
      <c r="AY282" s="93">
        <v>1</v>
      </c>
      <c r="AZ282" s="4">
        <v>7.4999999999999997E-2</v>
      </c>
    </row>
    <row r="283" spans="2:52" ht="14.25" customHeight="1" x14ac:dyDescent="0.25">
      <c r="B283" s="112" t="s">
        <v>243</v>
      </c>
      <c r="C283" s="6" t="s">
        <v>1239</v>
      </c>
      <c r="D283" s="8" t="s">
        <v>4</v>
      </c>
      <c r="E283" s="9" t="s">
        <v>960</v>
      </c>
      <c r="F283" s="9">
        <v>3</v>
      </c>
      <c r="G283" s="9"/>
      <c r="H283" s="9"/>
      <c r="I283" s="7"/>
      <c r="J283" s="7"/>
      <c r="K283" s="7"/>
      <c r="L283" s="7"/>
      <c r="M283" s="122"/>
      <c r="N283" s="122"/>
      <c r="O283" s="122"/>
      <c r="P283" s="96"/>
      <c r="Q283" s="7"/>
      <c r="R283" s="93">
        <v>2.8008459820015257</v>
      </c>
      <c r="S283" s="93">
        <v>188.27777777777837</v>
      </c>
      <c r="T283" s="122" t="s">
        <v>1518</v>
      </c>
      <c r="U283" s="7"/>
      <c r="V283" s="7"/>
      <c r="W283" s="122"/>
      <c r="X283" s="122"/>
      <c r="Y283" s="122" t="s">
        <v>1518</v>
      </c>
      <c r="Z283" s="7"/>
      <c r="AA283" s="7"/>
      <c r="AB283" s="7"/>
      <c r="AC283" s="7"/>
      <c r="AD283" s="7"/>
      <c r="AE283" s="7">
        <v>1</v>
      </c>
      <c r="AF283" s="7"/>
      <c r="AG283" s="7"/>
      <c r="AH283" s="7"/>
      <c r="AI283" s="7"/>
      <c r="AJ283" s="7"/>
      <c r="AK283" s="7"/>
      <c r="AL283" s="7"/>
      <c r="AM283" s="16">
        <v>44169</v>
      </c>
      <c r="AN283" s="4"/>
      <c r="AO283" s="11" t="s">
        <v>234</v>
      </c>
      <c r="AP283" s="4"/>
      <c r="AQ283" s="4"/>
      <c r="AR283" s="4"/>
      <c r="AS283" s="11">
        <v>400</v>
      </c>
      <c r="AT283" s="11"/>
      <c r="AU283" s="11"/>
      <c r="AV283" s="11"/>
      <c r="AW283" s="4"/>
      <c r="AX283" s="4">
        <f t="shared" si="23"/>
        <v>1</v>
      </c>
      <c r="AY283" s="93"/>
      <c r="AZ283" s="4">
        <v>1.875</v>
      </c>
    </row>
    <row r="284" spans="2:52" ht="14.25" customHeight="1" x14ac:dyDescent="0.25">
      <c r="B284" s="112" t="s">
        <v>77</v>
      </c>
      <c r="C284" s="6" t="s">
        <v>1240</v>
      </c>
      <c r="D284" s="8" t="s">
        <v>3</v>
      </c>
      <c r="E284" s="9" t="s">
        <v>17</v>
      </c>
      <c r="F284" s="8" t="s">
        <v>25</v>
      </c>
      <c r="G284" s="8"/>
      <c r="H284" s="8"/>
      <c r="I284" s="7"/>
      <c r="J284" s="7"/>
      <c r="K284" s="7"/>
      <c r="L284" s="7"/>
      <c r="M284" s="122"/>
      <c r="N284" s="122"/>
      <c r="O284" s="122"/>
      <c r="P284" s="96"/>
      <c r="Q284" s="14">
        <v>0.5</v>
      </c>
      <c r="R284" s="93">
        <v>54.702135370361916</v>
      </c>
      <c r="S284" s="93">
        <v>0.52566126855600659</v>
      </c>
      <c r="T284" s="122" t="s">
        <v>1518</v>
      </c>
      <c r="U284" s="7"/>
      <c r="V284" s="7"/>
      <c r="W284" s="122" t="s">
        <v>1518</v>
      </c>
      <c r="X284" s="122"/>
      <c r="Y284" s="122" t="s">
        <v>1518</v>
      </c>
      <c r="Z284" s="7"/>
      <c r="AA284" s="7"/>
      <c r="AB284" s="7"/>
      <c r="AC284" s="7">
        <v>1</v>
      </c>
      <c r="AD284" s="7"/>
      <c r="AE284" s="7"/>
      <c r="AF284" s="7"/>
      <c r="AG284" s="7"/>
      <c r="AH284" s="7"/>
      <c r="AI284" s="7"/>
      <c r="AJ284" s="7"/>
      <c r="AK284" s="7"/>
      <c r="AL284" s="7"/>
      <c r="AM284" s="16">
        <v>44169</v>
      </c>
      <c r="AN284" s="4"/>
      <c r="AO284" s="11" t="s">
        <v>69</v>
      </c>
      <c r="AP284" s="4"/>
      <c r="AQ284" s="4"/>
      <c r="AR284" s="4"/>
      <c r="AS284" s="11">
        <v>350</v>
      </c>
      <c r="AT284" s="11"/>
      <c r="AU284" s="11"/>
      <c r="AV284" s="11"/>
      <c r="AW284" s="4"/>
      <c r="AX284" s="4">
        <f t="shared" si="23"/>
        <v>1</v>
      </c>
      <c r="AY284" s="93"/>
      <c r="AZ284" s="4">
        <v>3</v>
      </c>
    </row>
    <row r="285" spans="2:52" ht="14.25" customHeight="1" x14ac:dyDescent="0.25">
      <c r="B285" s="112" t="s">
        <v>78</v>
      </c>
      <c r="C285" s="6" t="s">
        <v>1241</v>
      </c>
      <c r="D285" s="8" t="s">
        <v>3</v>
      </c>
      <c r="E285" s="8" t="s">
        <v>959</v>
      </c>
      <c r="F285" s="8" t="s">
        <v>25</v>
      </c>
      <c r="G285" s="8"/>
      <c r="H285" s="8"/>
      <c r="I285" s="7"/>
      <c r="J285" s="7"/>
      <c r="K285" s="7"/>
      <c r="L285" s="7"/>
      <c r="M285" s="122"/>
      <c r="N285" s="122"/>
      <c r="O285" s="122"/>
      <c r="P285" s="96"/>
      <c r="Q285" s="14">
        <v>0.5</v>
      </c>
      <c r="R285" s="93">
        <v>54.702135370361916</v>
      </c>
      <c r="S285" s="93">
        <v>0.52566126855600659</v>
      </c>
      <c r="T285" s="122" t="s">
        <v>1518</v>
      </c>
      <c r="U285" s="7"/>
      <c r="V285" s="7"/>
      <c r="W285" s="122" t="s">
        <v>1518</v>
      </c>
      <c r="X285" s="122" t="s">
        <v>1518</v>
      </c>
      <c r="Y285" s="122" t="s">
        <v>1518</v>
      </c>
      <c r="Z285" s="7"/>
      <c r="AA285" s="7"/>
      <c r="AB285" s="7"/>
      <c r="AC285" s="7">
        <v>1</v>
      </c>
      <c r="AD285" s="7"/>
      <c r="AE285" s="7"/>
      <c r="AF285" s="7"/>
      <c r="AG285" s="7"/>
      <c r="AH285" s="7"/>
      <c r="AI285" s="7"/>
      <c r="AJ285" s="7"/>
      <c r="AK285" s="7"/>
      <c r="AL285" s="7"/>
      <c r="AM285" s="16">
        <v>44169</v>
      </c>
      <c r="AN285" s="4"/>
      <c r="AO285" s="11" t="s">
        <v>69</v>
      </c>
      <c r="AP285" s="4"/>
      <c r="AQ285" s="4"/>
      <c r="AR285" s="4"/>
      <c r="AS285" s="11">
        <v>300</v>
      </c>
      <c r="AT285" s="11"/>
      <c r="AU285" s="11"/>
      <c r="AV285" s="11"/>
      <c r="AW285" s="4"/>
      <c r="AX285" s="4">
        <f t="shared" si="23"/>
        <v>1</v>
      </c>
      <c r="AY285" s="93"/>
      <c r="AZ285" s="4">
        <v>3.5</v>
      </c>
    </row>
    <row r="286" spans="2:52" ht="14.25" customHeight="1" x14ac:dyDescent="0.25">
      <c r="B286" s="112" t="s">
        <v>1242</v>
      </c>
      <c r="C286" s="6" t="s">
        <v>1243</v>
      </c>
      <c r="D286" s="8"/>
      <c r="E286" s="8" t="s">
        <v>26</v>
      </c>
      <c r="F286" s="8" t="s">
        <v>20</v>
      </c>
      <c r="G286" s="8"/>
      <c r="H286" s="8"/>
      <c r="I286" s="7"/>
      <c r="J286" s="7"/>
      <c r="K286" s="7"/>
      <c r="L286" s="7" t="s">
        <v>14</v>
      </c>
      <c r="M286" s="122"/>
      <c r="N286" s="122"/>
      <c r="O286" s="122"/>
      <c r="P286" s="96"/>
      <c r="Q286" s="14">
        <v>0.3</v>
      </c>
      <c r="R286" s="93">
        <v>0</v>
      </c>
      <c r="S286" s="93">
        <v>0</v>
      </c>
      <c r="T286" s="122" t="s">
        <v>1518</v>
      </c>
      <c r="U286" s="7"/>
      <c r="V286" s="7"/>
      <c r="W286" s="122"/>
      <c r="X286" s="122"/>
      <c r="Y286" s="122"/>
      <c r="Z286" s="7"/>
      <c r="AA286" s="7"/>
      <c r="AB286" s="7"/>
      <c r="AC286" s="7"/>
      <c r="AD286" s="7">
        <v>1</v>
      </c>
      <c r="AE286" s="7"/>
      <c r="AF286" s="7"/>
      <c r="AG286" s="7"/>
      <c r="AH286" s="7"/>
      <c r="AI286" s="7"/>
      <c r="AJ286" s="7"/>
      <c r="AK286" s="7"/>
      <c r="AL286" s="7"/>
      <c r="AM286" s="16">
        <v>44169</v>
      </c>
      <c r="AN286" s="4"/>
      <c r="AO286" s="4" t="s">
        <v>418</v>
      </c>
      <c r="AP286" s="4"/>
      <c r="AQ286" s="4"/>
      <c r="AR286" s="4"/>
      <c r="AS286" s="11">
        <v>420</v>
      </c>
      <c r="AT286" s="11"/>
      <c r="AU286" s="11"/>
      <c r="AV286" s="11"/>
      <c r="AW286" s="4"/>
      <c r="AX286" s="4">
        <f t="shared" si="23"/>
        <v>1</v>
      </c>
      <c r="AY286" s="93"/>
      <c r="AZ286" s="4"/>
    </row>
    <row r="287" spans="2:52" ht="14.25" customHeight="1" x14ac:dyDescent="0.25">
      <c r="B287" s="112" t="s">
        <v>1928</v>
      </c>
      <c r="C287" s="6" t="s">
        <v>1929</v>
      </c>
      <c r="D287" s="8" t="s">
        <v>3</v>
      </c>
      <c r="E287" s="8" t="s">
        <v>19</v>
      </c>
      <c r="F287" s="8" t="s">
        <v>1930</v>
      </c>
      <c r="G287" s="8"/>
      <c r="H287" s="8"/>
      <c r="I287" s="7"/>
      <c r="J287" s="7"/>
      <c r="K287" s="7"/>
      <c r="L287" s="7"/>
      <c r="M287" s="122"/>
      <c r="N287" s="122"/>
      <c r="O287" s="122"/>
      <c r="P287" s="96"/>
      <c r="Q287" s="14"/>
      <c r="R287" s="93">
        <v>4.6441924458176555E-2</v>
      </c>
      <c r="S287" s="93">
        <v>4.5470888661899895</v>
      </c>
      <c r="T287" s="122"/>
      <c r="U287" s="7"/>
      <c r="V287" s="7"/>
      <c r="W287" s="122"/>
      <c r="X287" s="122"/>
      <c r="Y287" s="122"/>
      <c r="Z287" s="7"/>
      <c r="AA287" s="7">
        <v>1</v>
      </c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16">
        <v>45202</v>
      </c>
      <c r="AN287" s="4"/>
      <c r="AO287" s="4" t="s">
        <v>1097</v>
      </c>
      <c r="AP287" s="4"/>
      <c r="AQ287" s="4"/>
      <c r="AR287" s="4"/>
      <c r="AS287" s="11">
        <v>800</v>
      </c>
      <c r="AT287" s="11"/>
      <c r="AU287" s="11"/>
      <c r="AV287" s="11"/>
      <c r="AW287" s="4"/>
      <c r="AX287" s="4">
        <v>1</v>
      </c>
      <c r="AY287" s="93">
        <v>1</v>
      </c>
      <c r="AZ287" s="4">
        <v>6</v>
      </c>
    </row>
    <row r="288" spans="2:52" ht="14.25" customHeight="1" x14ac:dyDescent="0.25">
      <c r="B288" s="112" t="s">
        <v>1244</v>
      </c>
      <c r="C288" s="6" t="s">
        <v>1245</v>
      </c>
      <c r="D288" s="8" t="s">
        <v>3</v>
      </c>
      <c r="E288" s="8" t="s">
        <v>1650</v>
      </c>
      <c r="F288" s="8">
        <v>27</v>
      </c>
      <c r="G288" s="8">
        <v>29</v>
      </c>
      <c r="H288" s="8"/>
      <c r="I288" s="7">
        <v>6</v>
      </c>
      <c r="J288" s="7"/>
      <c r="K288" s="7"/>
      <c r="L288" s="7" t="s">
        <v>80</v>
      </c>
      <c r="M288" s="122"/>
      <c r="N288" s="122"/>
      <c r="O288" s="122"/>
      <c r="P288" s="96"/>
      <c r="Q288" s="14">
        <v>0.5</v>
      </c>
      <c r="R288" s="93">
        <v>6.2617298466364266</v>
      </c>
      <c r="S288" s="93">
        <v>27.178019647759122</v>
      </c>
      <c r="T288" s="122" t="s">
        <v>1518</v>
      </c>
      <c r="U288" s="7"/>
      <c r="V288" s="7"/>
      <c r="W288" s="122" t="s">
        <v>1518</v>
      </c>
      <c r="X288" s="122"/>
      <c r="Y288" s="122" t="s">
        <v>1518</v>
      </c>
      <c r="Z288" s="7"/>
      <c r="AA288" s="7"/>
      <c r="AB288" s="7"/>
      <c r="AC288" s="7">
        <v>1</v>
      </c>
      <c r="AD288" s="7"/>
      <c r="AE288" s="7"/>
      <c r="AF288" s="7"/>
      <c r="AG288" s="7"/>
      <c r="AH288" s="7"/>
      <c r="AI288" s="7"/>
      <c r="AJ288" s="7"/>
      <c r="AK288" s="7"/>
      <c r="AL288" s="7"/>
      <c r="AM288" s="16">
        <v>44169</v>
      </c>
      <c r="AN288" s="4"/>
      <c r="AO288" s="11" t="s">
        <v>30</v>
      </c>
      <c r="AP288" s="4" t="s">
        <v>60</v>
      </c>
      <c r="AQ288" s="4"/>
      <c r="AR288" s="4"/>
      <c r="AS288" s="11">
        <v>250</v>
      </c>
      <c r="AT288" s="11">
        <v>375</v>
      </c>
      <c r="AU288" s="11"/>
      <c r="AV288" s="11"/>
      <c r="AW288" s="4"/>
      <c r="AX288" s="4">
        <f t="shared" si="23"/>
        <v>1</v>
      </c>
      <c r="AY288" s="93"/>
      <c r="AZ288" s="4">
        <v>0.5</v>
      </c>
    </row>
    <row r="289" spans="2:52" ht="14.25" customHeight="1" x14ac:dyDescent="0.25">
      <c r="B289" s="112" t="s">
        <v>1246</v>
      </c>
      <c r="C289" s="6" t="s">
        <v>1247</v>
      </c>
      <c r="D289" s="8" t="s">
        <v>4</v>
      </c>
      <c r="E289" s="9" t="s">
        <v>26</v>
      </c>
      <c r="F289" s="9">
        <v>6</v>
      </c>
      <c r="G289" s="9"/>
      <c r="H289" s="9"/>
      <c r="I289" s="7"/>
      <c r="J289" s="7">
        <v>3</v>
      </c>
      <c r="K289" s="7"/>
      <c r="L289" s="7"/>
      <c r="M289" s="122" t="s">
        <v>1518</v>
      </c>
      <c r="N289" s="122" t="s">
        <v>1518</v>
      </c>
      <c r="O289" s="122" t="s">
        <v>1518</v>
      </c>
      <c r="P289" s="96" t="s">
        <v>1521</v>
      </c>
      <c r="Q289" s="7"/>
      <c r="R289" s="93">
        <v>1.0963567907586515E-2</v>
      </c>
      <c r="S289" s="93">
        <v>74.844761538461754</v>
      </c>
      <c r="T289" s="122" t="s">
        <v>1518</v>
      </c>
      <c r="U289" s="7"/>
      <c r="V289" s="7"/>
      <c r="W289" s="122" t="s">
        <v>1518</v>
      </c>
      <c r="X289" s="122"/>
      <c r="Y289" s="122" t="s">
        <v>1518</v>
      </c>
      <c r="Z289" s="7"/>
      <c r="AA289" s="7">
        <v>1</v>
      </c>
      <c r="AB289" s="7"/>
      <c r="AC289" s="7">
        <v>1</v>
      </c>
      <c r="AD289" s="7">
        <v>1</v>
      </c>
      <c r="AE289" s="7"/>
      <c r="AF289" s="7"/>
      <c r="AG289" s="7">
        <v>1</v>
      </c>
      <c r="AH289" s="7">
        <v>1</v>
      </c>
      <c r="AI289" s="7"/>
      <c r="AJ289" s="7"/>
      <c r="AK289" s="7"/>
      <c r="AL289" s="7">
        <v>1</v>
      </c>
      <c r="AM289" s="16">
        <v>44169</v>
      </c>
      <c r="AN289" s="16"/>
      <c r="AO289" s="4" t="s">
        <v>161</v>
      </c>
      <c r="AP289" s="4"/>
      <c r="AQ289" s="4"/>
      <c r="AR289" s="4"/>
      <c r="AS289" s="11">
        <v>870</v>
      </c>
      <c r="AT289" s="11"/>
      <c r="AU289" s="11"/>
      <c r="AV289" s="11"/>
      <c r="AW289" s="4"/>
      <c r="AX289" s="4">
        <f t="shared" si="23"/>
        <v>6</v>
      </c>
      <c r="AY289" s="93"/>
      <c r="AZ289" s="4">
        <v>1.1000000000000001</v>
      </c>
    </row>
    <row r="290" spans="2:52" ht="14.25" customHeight="1" x14ac:dyDescent="0.25">
      <c r="B290" s="112" t="s">
        <v>1248</v>
      </c>
      <c r="C290" s="6" t="s">
        <v>2043</v>
      </c>
      <c r="D290" s="8" t="s">
        <v>4</v>
      </c>
      <c r="E290" s="9" t="s">
        <v>109</v>
      </c>
      <c r="F290" s="9">
        <v>4</v>
      </c>
      <c r="G290" s="9">
        <v>9</v>
      </c>
      <c r="H290" s="9"/>
      <c r="I290" s="7">
        <v>20</v>
      </c>
      <c r="J290" s="7"/>
      <c r="K290" s="7">
        <v>6</v>
      </c>
      <c r="L290" s="7" t="s">
        <v>120</v>
      </c>
      <c r="M290" s="122"/>
      <c r="N290" s="122"/>
      <c r="O290" s="122"/>
      <c r="P290" s="96"/>
      <c r="Q290" s="7"/>
      <c r="R290" s="93">
        <v>5.081107654708231</v>
      </c>
      <c r="S290" s="93">
        <v>767.80027519779912</v>
      </c>
      <c r="T290" s="122" t="s">
        <v>1518</v>
      </c>
      <c r="U290" s="7"/>
      <c r="V290" s="7"/>
      <c r="W290" s="122" t="s">
        <v>1518</v>
      </c>
      <c r="X290" s="122"/>
      <c r="Y290" s="122" t="s">
        <v>1518</v>
      </c>
      <c r="Z290" s="7" t="s">
        <v>7</v>
      </c>
      <c r="AA290" s="7"/>
      <c r="AB290" s="7"/>
      <c r="AC290" s="7"/>
      <c r="AD290" s="7">
        <v>1</v>
      </c>
      <c r="AE290" s="7"/>
      <c r="AF290" s="7"/>
      <c r="AG290" s="7"/>
      <c r="AH290" s="7"/>
      <c r="AI290" s="7"/>
      <c r="AJ290" s="7"/>
      <c r="AK290" s="7"/>
      <c r="AL290" s="7"/>
      <c r="AM290" s="16">
        <v>45295</v>
      </c>
      <c r="AN290" s="16"/>
      <c r="AO290" s="4" t="s">
        <v>112</v>
      </c>
      <c r="AP290" s="4" t="s">
        <v>228</v>
      </c>
      <c r="AQ290" s="4"/>
      <c r="AR290" s="4"/>
      <c r="AS290" s="11">
        <v>160</v>
      </c>
      <c r="AT290" s="11">
        <v>240</v>
      </c>
      <c r="AU290" s="11"/>
      <c r="AV290" s="11"/>
      <c r="AW290" s="4"/>
      <c r="AX290" s="4">
        <v>1</v>
      </c>
      <c r="AY290" s="93">
        <v>1</v>
      </c>
      <c r="AZ290" s="4">
        <v>5</v>
      </c>
    </row>
    <row r="291" spans="2:52" ht="14.25" customHeight="1" x14ac:dyDescent="0.25">
      <c r="B291" s="112" t="s">
        <v>1466</v>
      </c>
      <c r="C291" s="6" t="s">
        <v>1249</v>
      </c>
      <c r="D291" s="9" t="s">
        <v>4</v>
      </c>
      <c r="E291" s="9" t="s">
        <v>13</v>
      </c>
      <c r="F291" s="9">
        <v>32</v>
      </c>
      <c r="G291" s="9"/>
      <c r="H291" s="9"/>
      <c r="I291" s="7">
        <v>20</v>
      </c>
      <c r="J291" s="7"/>
      <c r="K291" s="7"/>
      <c r="L291" s="7" t="s">
        <v>120</v>
      </c>
      <c r="M291" s="122"/>
      <c r="N291" s="122"/>
      <c r="O291" s="122"/>
      <c r="P291" s="96"/>
      <c r="Q291" s="14">
        <v>0.3</v>
      </c>
      <c r="R291" s="93">
        <v>6.6543406448163935</v>
      </c>
      <c r="S291" s="93">
        <v>369.70909090909174</v>
      </c>
      <c r="T291" s="122" t="s">
        <v>1518</v>
      </c>
      <c r="U291" s="7"/>
      <c r="V291" s="7"/>
      <c r="W291" s="122"/>
      <c r="X291" s="122"/>
      <c r="Y291" s="122" t="s">
        <v>1518</v>
      </c>
      <c r="Z291" s="7"/>
      <c r="AA291" s="7"/>
      <c r="AB291" s="7"/>
      <c r="AC291" s="7">
        <v>1</v>
      </c>
      <c r="AD291" s="7"/>
      <c r="AE291" s="7"/>
      <c r="AF291" s="7"/>
      <c r="AG291" s="7">
        <v>1</v>
      </c>
      <c r="AH291" s="7"/>
      <c r="AI291" s="7"/>
      <c r="AJ291" s="7"/>
      <c r="AK291" s="7"/>
      <c r="AL291" s="7"/>
      <c r="AM291" s="16">
        <v>44169</v>
      </c>
      <c r="AN291" s="4"/>
      <c r="AO291" s="11" t="s">
        <v>155</v>
      </c>
      <c r="AP291" s="4"/>
      <c r="AQ291" s="4"/>
      <c r="AR291" s="4"/>
      <c r="AS291" s="11">
        <v>600</v>
      </c>
      <c r="AT291" s="11"/>
      <c r="AU291" s="11"/>
      <c r="AV291" s="11"/>
      <c r="AW291" s="4"/>
      <c r="AX291" s="4">
        <f t="shared" si="23"/>
        <v>2</v>
      </c>
      <c r="AY291" s="93"/>
      <c r="AZ291" s="4">
        <v>1</v>
      </c>
    </row>
    <row r="292" spans="2:52" ht="14.25" customHeight="1" x14ac:dyDescent="0.25">
      <c r="B292" s="112" t="s">
        <v>1465</v>
      </c>
      <c r="C292" s="6" t="s">
        <v>1249</v>
      </c>
      <c r="D292" s="9" t="s">
        <v>4</v>
      </c>
      <c r="E292" s="9" t="s">
        <v>13</v>
      </c>
      <c r="F292" s="9">
        <v>32</v>
      </c>
      <c r="G292" s="9"/>
      <c r="H292" s="9"/>
      <c r="I292" s="7">
        <v>20</v>
      </c>
      <c r="J292" s="7"/>
      <c r="K292" s="7"/>
      <c r="L292" s="50" t="s">
        <v>80</v>
      </c>
      <c r="M292" s="122"/>
      <c r="N292" s="122"/>
      <c r="O292" s="122"/>
      <c r="P292" s="96"/>
      <c r="Q292" s="14">
        <v>0.3</v>
      </c>
      <c r="R292" s="93">
        <v>13.308681289632787</v>
      </c>
      <c r="S292" s="93">
        <v>739.41818181818348</v>
      </c>
      <c r="T292" s="122" t="s">
        <v>1518</v>
      </c>
      <c r="U292" s="7"/>
      <c r="V292" s="7"/>
      <c r="W292" s="122"/>
      <c r="X292" s="122"/>
      <c r="Y292" s="122" t="s">
        <v>1518</v>
      </c>
      <c r="Z292" s="7"/>
      <c r="AA292" s="7"/>
      <c r="AB292" s="7"/>
      <c r="AC292" s="7">
        <v>1</v>
      </c>
      <c r="AD292" s="7"/>
      <c r="AE292" s="7"/>
      <c r="AF292" s="7">
        <v>1</v>
      </c>
      <c r="AG292" s="7">
        <v>1</v>
      </c>
      <c r="AH292" s="7"/>
      <c r="AI292" s="7">
        <v>1</v>
      </c>
      <c r="AJ292" s="7"/>
      <c r="AK292" s="7"/>
      <c r="AL292" s="7"/>
      <c r="AM292" s="16">
        <v>44169</v>
      </c>
      <c r="AN292" s="4"/>
      <c r="AO292" s="11" t="s">
        <v>155</v>
      </c>
      <c r="AP292" s="4"/>
      <c r="AQ292" s="4"/>
      <c r="AR292" s="4"/>
      <c r="AS292" s="11">
        <v>600</v>
      </c>
      <c r="AT292" s="11"/>
      <c r="AU292" s="11"/>
      <c r="AV292" s="11"/>
      <c r="AW292" s="4"/>
      <c r="AX292" s="4">
        <f t="shared" si="23"/>
        <v>4</v>
      </c>
      <c r="AY292" s="93"/>
      <c r="AZ292" s="4">
        <v>2</v>
      </c>
    </row>
    <row r="293" spans="2:52" ht="14.25" customHeight="1" x14ac:dyDescent="0.25">
      <c r="B293" s="112" t="s">
        <v>1464</v>
      </c>
      <c r="C293" s="6" t="s">
        <v>1249</v>
      </c>
      <c r="D293" s="9" t="s">
        <v>4</v>
      </c>
      <c r="E293" s="9" t="s">
        <v>13</v>
      </c>
      <c r="F293" s="9">
        <v>32</v>
      </c>
      <c r="G293" s="9"/>
      <c r="H293" s="9"/>
      <c r="I293" s="7">
        <v>20</v>
      </c>
      <c r="J293" s="7"/>
      <c r="K293" s="7"/>
      <c r="L293" s="7" t="s">
        <v>59</v>
      </c>
      <c r="M293" s="122"/>
      <c r="N293" s="122"/>
      <c r="O293" s="122"/>
      <c r="P293" s="96"/>
      <c r="Q293" s="14">
        <v>0.3</v>
      </c>
      <c r="R293" s="93">
        <v>19.963021934449181</v>
      </c>
      <c r="S293" s="93">
        <v>1109.1272727272753</v>
      </c>
      <c r="T293" s="122" t="s">
        <v>1518</v>
      </c>
      <c r="U293" s="7"/>
      <c r="V293" s="7"/>
      <c r="W293" s="122"/>
      <c r="X293" s="122"/>
      <c r="Y293" s="122" t="s">
        <v>1518</v>
      </c>
      <c r="Z293" s="7"/>
      <c r="AA293" s="7"/>
      <c r="AB293" s="7"/>
      <c r="AC293" s="7">
        <v>1</v>
      </c>
      <c r="AD293" s="7"/>
      <c r="AE293" s="7"/>
      <c r="AF293" s="7">
        <v>1</v>
      </c>
      <c r="AG293" s="7">
        <v>1</v>
      </c>
      <c r="AH293" s="7"/>
      <c r="AI293" s="7">
        <v>1</v>
      </c>
      <c r="AJ293" s="7"/>
      <c r="AK293" s="7"/>
      <c r="AL293" s="7"/>
      <c r="AM293" s="16">
        <v>44169</v>
      </c>
      <c r="AN293" s="4"/>
      <c r="AO293" s="11" t="s">
        <v>155</v>
      </c>
      <c r="AP293" s="4"/>
      <c r="AQ293" s="4"/>
      <c r="AR293" s="4"/>
      <c r="AS293" s="11">
        <v>600</v>
      </c>
      <c r="AT293" s="11"/>
      <c r="AU293" s="11"/>
      <c r="AV293" s="11"/>
      <c r="AW293" s="4"/>
      <c r="AX293" s="4">
        <f t="shared" si="23"/>
        <v>4</v>
      </c>
      <c r="AY293" s="93"/>
      <c r="AZ293" s="4">
        <v>3</v>
      </c>
    </row>
    <row r="294" spans="2:52" ht="14.25" customHeight="1" x14ac:dyDescent="0.25">
      <c r="B294" s="112" t="s">
        <v>2044</v>
      </c>
      <c r="C294" s="6" t="s">
        <v>2045</v>
      </c>
      <c r="D294" s="9" t="s">
        <v>3</v>
      </c>
      <c r="E294" s="9" t="s">
        <v>2046</v>
      </c>
      <c r="F294" s="9"/>
      <c r="G294" s="9"/>
      <c r="H294" s="9"/>
      <c r="I294" s="7"/>
      <c r="J294" s="7"/>
      <c r="K294" s="7"/>
      <c r="L294" s="7"/>
      <c r="M294" s="122"/>
      <c r="N294" s="122"/>
      <c r="O294" s="122"/>
      <c r="P294" s="96"/>
      <c r="Q294" s="7"/>
      <c r="R294" s="93">
        <f t="shared" ref="R294" si="25">+BN294</f>
        <v>0</v>
      </c>
      <c r="S294" s="93">
        <f t="shared" ref="S294" si="26">+BS294</f>
        <v>0</v>
      </c>
      <c r="T294" s="122"/>
      <c r="U294" s="7"/>
      <c r="V294" s="7"/>
      <c r="W294" s="124"/>
      <c r="X294" s="124"/>
      <c r="Y294" s="124"/>
      <c r="Z294" s="12"/>
      <c r="AA294" s="7"/>
      <c r="AB294" s="7"/>
      <c r="AC294" s="7"/>
      <c r="AD294" s="7"/>
      <c r="AE294" s="7">
        <v>2</v>
      </c>
      <c r="AF294" s="7"/>
      <c r="AG294" s="7"/>
      <c r="AH294" s="7"/>
      <c r="AI294" s="7"/>
      <c r="AJ294" s="7"/>
      <c r="AK294" s="7">
        <v>1</v>
      </c>
      <c r="AL294" s="7"/>
      <c r="AM294" s="16">
        <v>45295</v>
      </c>
      <c r="AN294" s="4"/>
      <c r="AO294" s="4" t="s">
        <v>45</v>
      </c>
      <c r="AP294" s="4"/>
      <c r="AQ294" s="4"/>
      <c r="AR294" s="4"/>
      <c r="AS294" s="11">
        <v>1</v>
      </c>
      <c r="AT294" s="11"/>
      <c r="AU294" s="11"/>
      <c r="AV294" s="11"/>
      <c r="AW294" s="4"/>
      <c r="AX294" s="4">
        <f t="shared" ref="AX294" si="27">SUM(AA294:AL294)</f>
        <v>3</v>
      </c>
      <c r="AY294" s="93"/>
      <c r="AZ294" s="267">
        <v>4</v>
      </c>
    </row>
    <row r="295" spans="2:52" ht="14.25" customHeight="1" x14ac:dyDescent="0.25">
      <c r="B295" s="112" t="s">
        <v>244</v>
      </c>
      <c r="C295" s="6" t="s">
        <v>1250</v>
      </c>
      <c r="D295" s="8" t="s">
        <v>4</v>
      </c>
      <c r="E295" s="8" t="s">
        <v>21</v>
      </c>
      <c r="F295" s="9">
        <v>27</v>
      </c>
      <c r="G295" s="9"/>
      <c r="H295" s="9"/>
      <c r="I295" s="7"/>
      <c r="J295" s="7"/>
      <c r="K295" s="7"/>
      <c r="L295" s="7"/>
      <c r="M295" s="122"/>
      <c r="N295" s="122"/>
      <c r="O295" s="122"/>
      <c r="P295" s="96"/>
      <c r="Q295" s="14">
        <v>0.3</v>
      </c>
      <c r="R295" s="93">
        <v>1.13974582830635</v>
      </c>
      <c r="S295" s="93">
        <v>187.50547735294077</v>
      </c>
      <c r="T295" s="122" t="s">
        <v>1518</v>
      </c>
      <c r="U295" s="7"/>
      <c r="V295" s="7"/>
      <c r="W295" s="122"/>
      <c r="X295" s="122"/>
      <c r="Y295" s="122" t="s">
        <v>1518</v>
      </c>
      <c r="Z295" s="7"/>
      <c r="AA295" s="7"/>
      <c r="AB295" s="7"/>
      <c r="AC295" s="7"/>
      <c r="AD295" s="7">
        <v>1</v>
      </c>
      <c r="AE295" s="7"/>
      <c r="AF295" s="7"/>
      <c r="AG295" s="7"/>
      <c r="AH295" s="7"/>
      <c r="AI295" s="7"/>
      <c r="AJ295" s="7"/>
      <c r="AK295" s="7"/>
      <c r="AL295" s="7"/>
      <c r="AM295" s="16">
        <v>44169</v>
      </c>
      <c r="AN295" s="4"/>
      <c r="AO295" s="4" t="s">
        <v>159</v>
      </c>
      <c r="AP295" s="4" t="s">
        <v>211</v>
      </c>
      <c r="AQ295" s="4"/>
      <c r="AR295" s="4"/>
      <c r="AS295" s="11">
        <v>44</v>
      </c>
      <c r="AT295" s="11">
        <v>22</v>
      </c>
      <c r="AU295" s="11"/>
      <c r="AV295" s="11"/>
      <c r="AW295" s="4"/>
      <c r="AX295" s="4">
        <f t="shared" si="23"/>
        <v>1</v>
      </c>
      <c r="AY295" s="93"/>
      <c r="AZ295" s="4">
        <v>2.25</v>
      </c>
    </row>
    <row r="296" spans="2:52" ht="14.25" customHeight="1" x14ac:dyDescent="0.25">
      <c r="B296" s="112" t="s">
        <v>245</v>
      </c>
      <c r="C296" s="6" t="s">
        <v>1251</v>
      </c>
      <c r="D296" s="8" t="s">
        <v>4</v>
      </c>
      <c r="E296" s="8" t="s">
        <v>13</v>
      </c>
      <c r="F296" s="9">
        <v>12</v>
      </c>
      <c r="G296" s="9"/>
      <c r="H296" s="9"/>
      <c r="I296" s="7"/>
      <c r="J296" s="7"/>
      <c r="K296" s="7"/>
      <c r="L296" s="7"/>
      <c r="M296" s="122"/>
      <c r="N296" s="122"/>
      <c r="O296" s="122"/>
      <c r="P296" s="96"/>
      <c r="Q296" s="14">
        <v>0.3</v>
      </c>
      <c r="R296" s="93">
        <v>17.101771821244327</v>
      </c>
      <c r="S296" s="93">
        <v>220.63802083333306</v>
      </c>
      <c r="T296" s="122" t="s">
        <v>1518</v>
      </c>
      <c r="U296" s="7"/>
      <c r="V296" s="7"/>
      <c r="W296" s="122"/>
      <c r="X296" s="122"/>
      <c r="Y296" s="122"/>
      <c r="Z296" s="7"/>
      <c r="AA296" s="7">
        <v>1</v>
      </c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16">
        <v>44169</v>
      </c>
      <c r="AN296" s="4"/>
      <c r="AO296" s="6" t="s">
        <v>999</v>
      </c>
      <c r="AP296" s="4"/>
      <c r="AQ296" s="4"/>
      <c r="AR296" s="4"/>
      <c r="AS296" s="11">
        <v>500</v>
      </c>
      <c r="AT296" s="11"/>
      <c r="AU296" s="11"/>
      <c r="AV296" s="11"/>
      <c r="AW296" s="4"/>
      <c r="AX296" s="4">
        <f t="shared" si="23"/>
        <v>1</v>
      </c>
      <c r="AY296" s="93"/>
      <c r="AZ296" s="4">
        <v>0.25</v>
      </c>
    </row>
    <row r="297" spans="2:52" ht="14.25" customHeight="1" x14ac:dyDescent="0.25">
      <c r="B297" s="112" t="s">
        <v>79</v>
      </c>
      <c r="C297" s="6" t="s">
        <v>1252</v>
      </c>
      <c r="D297" s="8" t="s">
        <v>3</v>
      </c>
      <c r="E297" s="9" t="s">
        <v>17</v>
      </c>
      <c r="F297" s="8">
        <v>21</v>
      </c>
      <c r="G297" s="8"/>
      <c r="H297" s="8"/>
      <c r="I297" s="7"/>
      <c r="J297" s="7"/>
      <c r="K297" s="7"/>
      <c r="L297" s="7" t="s">
        <v>14</v>
      </c>
      <c r="M297" s="122"/>
      <c r="N297" s="122"/>
      <c r="O297" s="122"/>
      <c r="P297" s="96"/>
      <c r="Q297" s="7"/>
      <c r="R297" s="93">
        <v>3.9745478645455989</v>
      </c>
      <c r="S297" s="93">
        <v>2.2258000000000007E-2</v>
      </c>
      <c r="T297" s="122" t="s">
        <v>1518</v>
      </c>
      <c r="U297" s="7"/>
      <c r="V297" s="7"/>
      <c r="W297" s="122"/>
      <c r="X297" s="122"/>
      <c r="Y297" s="122"/>
      <c r="Z297" s="7"/>
      <c r="AA297" s="7"/>
      <c r="AB297" s="7"/>
      <c r="AC297" s="7">
        <v>1</v>
      </c>
      <c r="AD297" s="7"/>
      <c r="AE297" s="7"/>
      <c r="AF297" s="7"/>
      <c r="AG297" s="7"/>
      <c r="AH297" s="7"/>
      <c r="AI297" s="7"/>
      <c r="AJ297" s="7"/>
      <c r="AK297" s="7"/>
      <c r="AL297" s="7"/>
      <c r="AM297" s="16">
        <v>44169</v>
      </c>
      <c r="AN297" s="4"/>
      <c r="AO297" s="11" t="s">
        <v>911</v>
      </c>
      <c r="AP297" s="4"/>
      <c r="AQ297" s="4"/>
      <c r="AR297" s="4"/>
      <c r="AS297" s="11">
        <v>200</v>
      </c>
      <c r="AT297" s="11"/>
      <c r="AU297" s="11"/>
      <c r="AV297" s="11"/>
      <c r="AW297" s="4"/>
      <c r="AX297" s="4">
        <f t="shared" si="23"/>
        <v>1</v>
      </c>
      <c r="AY297" s="93"/>
      <c r="AZ297" s="4">
        <v>0.5</v>
      </c>
    </row>
    <row r="298" spans="2:52" ht="14.25" customHeight="1" x14ac:dyDescent="0.25">
      <c r="B298" s="112" t="s">
        <v>246</v>
      </c>
      <c r="C298" s="6" t="s">
        <v>1253</v>
      </c>
      <c r="D298" s="8" t="s">
        <v>4</v>
      </c>
      <c r="E298" s="8" t="s">
        <v>88</v>
      </c>
      <c r="F298" s="9">
        <v>5</v>
      </c>
      <c r="G298" s="9"/>
      <c r="H298" s="9"/>
      <c r="I298" s="7">
        <v>20</v>
      </c>
      <c r="J298" s="7"/>
      <c r="K298" s="7"/>
      <c r="L298" s="7" t="s">
        <v>14</v>
      </c>
      <c r="M298" s="122" t="s">
        <v>1518</v>
      </c>
      <c r="N298" s="122" t="s">
        <v>1518</v>
      </c>
      <c r="O298" s="122"/>
      <c r="P298" s="96"/>
      <c r="Q298" s="14">
        <v>0.3</v>
      </c>
      <c r="R298" s="93">
        <v>5.0762601731828667</v>
      </c>
      <c r="S298" s="93">
        <v>9.180135440180603</v>
      </c>
      <c r="T298" s="122" t="s">
        <v>1518</v>
      </c>
      <c r="U298" s="7"/>
      <c r="V298" s="7"/>
      <c r="W298" s="122" t="s">
        <v>1518</v>
      </c>
      <c r="X298" s="122"/>
      <c r="Y298" s="122"/>
      <c r="Z298" s="7"/>
      <c r="AA298" s="7"/>
      <c r="AB298" s="7">
        <v>1</v>
      </c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16">
        <v>44169</v>
      </c>
      <c r="AN298" s="4"/>
      <c r="AO298" s="6" t="s">
        <v>991</v>
      </c>
      <c r="AP298" s="4"/>
      <c r="AQ298" s="4"/>
      <c r="AR298" s="4"/>
      <c r="AS298" s="11">
        <v>800</v>
      </c>
      <c r="AT298" s="11"/>
      <c r="AU298" s="11"/>
      <c r="AV298" s="11"/>
      <c r="AW298" s="4"/>
      <c r="AX298" s="4">
        <f t="shared" si="23"/>
        <v>1</v>
      </c>
      <c r="AY298" s="93"/>
      <c r="AZ298" s="4">
        <v>0.4</v>
      </c>
    </row>
    <row r="299" spans="2:52" ht="36" customHeight="1" x14ac:dyDescent="0.25">
      <c r="B299" s="112" t="s">
        <v>1965</v>
      </c>
      <c r="C299" s="6" t="s">
        <v>1966</v>
      </c>
      <c r="D299" s="8" t="s">
        <v>4</v>
      </c>
      <c r="E299" s="8" t="s">
        <v>13</v>
      </c>
      <c r="F299" s="9">
        <v>6</v>
      </c>
      <c r="G299" s="9"/>
      <c r="H299" s="9"/>
      <c r="I299" s="7"/>
      <c r="J299" s="7">
        <v>3</v>
      </c>
      <c r="K299" s="7">
        <v>3</v>
      </c>
      <c r="L299" s="7"/>
      <c r="M299" s="122"/>
      <c r="N299" s="122"/>
      <c r="O299" s="122"/>
      <c r="P299" s="96"/>
      <c r="Q299" s="14"/>
      <c r="R299" s="93">
        <v>1.7338419741698434</v>
      </c>
      <c r="S299" s="93">
        <v>92.240927419354591</v>
      </c>
      <c r="T299" s="122" t="s">
        <v>1518</v>
      </c>
      <c r="U299" s="7"/>
      <c r="V299" s="7"/>
      <c r="W299" s="122" t="s">
        <v>1518</v>
      </c>
      <c r="X299" s="122"/>
      <c r="Y299" s="122" t="s">
        <v>1518</v>
      </c>
      <c r="Z299" s="7" t="s">
        <v>7</v>
      </c>
      <c r="AA299" s="7"/>
      <c r="AB299" s="7"/>
      <c r="AC299" s="7"/>
      <c r="AD299" s="7">
        <v>1</v>
      </c>
      <c r="AE299" s="7"/>
      <c r="AF299" s="7"/>
      <c r="AG299" s="7"/>
      <c r="AH299" s="7"/>
      <c r="AI299" s="7"/>
      <c r="AJ299" s="7"/>
      <c r="AK299" s="7"/>
      <c r="AL299" s="7"/>
      <c r="AM299" s="16">
        <v>45262</v>
      </c>
      <c r="AN299" s="4"/>
      <c r="AO299" s="4" t="s">
        <v>249</v>
      </c>
      <c r="AP299" s="4"/>
      <c r="AQ299" s="4"/>
      <c r="AR299" s="4"/>
      <c r="AS299" s="11">
        <v>600</v>
      </c>
      <c r="AT299" s="11"/>
      <c r="AU299" s="11"/>
      <c r="AV299" s="11"/>
      <c r="AW299" s="4"/>
      <c r="AX299" s="4">
        <f t="shared" ref="AX299" si="28">SUM(AA299:AL299)</f>
        <v>1</v>
      </c>
      <c r="AY299" s="93"/>
      <c r="AZ299" s="4">
        <v>1.5</v>
      </c>
    </row>
    <row r="300" spans="2:52" ht="14.25" customHeight="1" x14ac:dyDescent="0.25">
      <c r="B300" s="112" t="s">
        <v>247</v>
      </c>
      <c r="C300" s="6" t="s">
        <v>1967</v>
      </c>
      <c r="D300" s="8" t="s">
        <v>4</v>
      </c>
      <c r="E300" s="8" t="s">
        <v>26</v>
      </c>
      <c r="F300" s="9">
        <v>6</v>
      </c>
      <c r="G300" s="9"/>
      <c r="H300" s="9"/>
      <c r="I300" s="7"/>
      <c r="J300" s="7">
        <v>3</v>
      </c>
      <c r="K300" s="7">
        <v>3</v>
      </c>
      <c r="L300" s="7"/>
      <c r="M300" s="122"/>
      <c r="N300" s="122"/>
      <c r="O300" s="122"/>
      <c r="P300" s="96"/>
      <c r="Q300" s="14"/>
      <c r="R300" s="93">
        <v>1.7338419741698434</v>
      </c>
      <c r="S300" s="93">
        <v>92.240927419354591</v>
      </c>
      <c r="T300" s="122" t="s">
        <v>1518</v>
      </c>
      <c r="U300" s="7"/>
      <c r="V300" s="7"/>
      <c r="W300" s="122" t="s">
        <v>1518</v>
      </c>
      <c r="X300" s="122"/>
      <c r="Y300" s="122" t="s">
        <v>1518</v>
      </c>
      <c r="Z300" s="7" t="s">
        <v>7</v>
      </c>
      <c r="AA300" s="7"/>
      <c r="AB300" s="7"/>
      <c r="AC300" s="7"/>
      <c r="AD300" s="7">
        <v>1</v>
      </c>
      <c r="AE300" s="7"/>
      <c r="AF300" s="7"/>
      <c r="AG300" s="7"/>
      <c r="AH300" s="7"/>
      <c r="AI300" s="7"/>
      <c r="AJ300" s="7"/>
      <c r="AK300" s="7"/>
      <c r="AL300" s="7">
        <v>1</v>
      </c>
      <c r="AM300" s="16">
        <v>45262</v>
      </c>
      <c r="AN300" s="4"/>
      <c r="AO300" s="4" t="s">
        <v>249</v>
      </c>
      <c r="AP300" s="4"/>
      <c r="AQ300" s="4"/>
      <c r="AR300" s="4"/>
      <c r="AS300" s="11">
        <v>450</v>
      </c>
      <c r="AT300" s="11"/>
      <c r="AU300" s="11"/>
      <c r="AV300" s="11"/>
      <c r="AW300" s="4"/>
      <c r="AX300" s="4">
        <f t="shared" si="23"/>
        <v>2</v>
      </c>
      <c r="AY300" s="93"/>
      <c r="AZ300" s="4">
        <v>2</v>
      </c>
    </row>
    <row r="301" spans="2:52" ht="14.25" customHeight="1" x14ac:dyDescent="0.25">
      <c r="B301" s="114" t="s">
        <v>1558</v>
      </c>
      <c r="C301" s="6" t="s">
        <v>1368</v>
      </c>
      <c r="D301" s="8" t="s">
        <v>6</v>
      </c>
      <c r="E301" s="8" t="s">
        <v>26</v>
      </c>
      <c r="F301" s="8"/>
      <c r="G301" s="8"/>
      <c r="H301" s="8"/>
      <c r="I301" s="7"/>
      <c r="J301" s="7"/>
      <c r="K301" s="7"/>
      <c r="L301" s="7"/>
      <c r="M301" s="122"/>
      <c r="N301" s="122"/>
      <c r="O301" s="122"/>
      <c r="P301" s="96" t="s">
        <v>352</v>
      </c>
      <c r="Q301" s="7"/>
      <c r="R301" s="93">
        <v>9.9901317212235216E-4</v>
      </c>
      <c r="S301" s="93">
        <v>1.7727610619469047E-2</v>
      </c>
      <c r="T301" s="122"/>
      <c r="U301" s="7"/>
      <c r="V301" s="7"/>
      <c r="W301" s="122"/>
      <c r="X301" s="122"/>
      <c r="Y301" s="122" t="s">
        <v>1518</v>
      </c>
      <c r="Z301" s="7"/>
      <c r="AA301" s="7">
        <v>2</v>
      </c>
      <c r="AB301" s="7">
        <v>2</v>
      </c>
      <c r="AC301" s="7">
        <v>2</v>
      </c>
      <c r="AD301" s="7">
        <v>2</v>
      </c>
      <c r="AE301" s="7">
        <v>2</v>
      </c>
      <c r="AF301" s="7">
        <v>2</v>
      </c>
      <c r="AG301" s="7">
        <v>2</v>
      </c>
      <c r="AH301" s="7">
        <v>2</v>
      </c>
      <c r="AI301" s="7">
        <v>2</v>
      </c>
      <c r="AJ301" s="7">
        <v>2</v>
      </c>
      <c r="AK301" s="7">
        <v>2</v>
      </c>
      <c r="AL301" s="7">
        <v>2</v>
      </c>
      <c r="AM301" s="16">
        <v>44169</v>
      </c>
      <c r="AN301" s="4"/>
      <c r="AO301" s="4" t="s">
        <v>356</v>
      </c>
      <c r="AP301" s="4"/>
      <c r="AQ301" s="4"/>
      <c r="AR301" s="4"/>
      <c r="AS301" s="11">
        <v>30</v>
      </c>
      <c r="AT301" s="11"/>
      <c r="AU301" s="11"/>
      <c r="AV301" s="11"/>
      <c r="AW301" s="4"/>
      <c r="AX301" s="4">
        <f t="shared" si="23"/>
        <v>24</v>
      </c>
      <c r="AY301" s="93"/>
      <c r="AZ301" s="4">
        <v>3</v>
      </c>
    </row>
    <row r="302" spans="2:52" ht="14.25" customHeight="1" x14ac:dyDescent="0.25">
      <c r="B302" s="112" t="s">
        <v>354</v>
      </c>
      <c r="C302" s="6" t="s">
        <v>1255</v>
      </c>
      <c r="D302" s="8" t="s">
        <v>6</v>
      </c>
      <c r="E302" s="8" t="s">
        <v>29</v>
      </c>
      <c r="F302" s="8"/>
      <c r="G302" s="8"/>
      <c r="H302" s="8"/>
      <c r="I302" s="7"/>
      <c r="J302" s="7"/>
      <c r="K302" s="7"/>
      <c r="L302" s="7"/>
      <c r="M302" s="122"/>
      <c r="N302" s="122"/>
      <c r="O302" s="122"/>
      <c r="P302" s="96" t="s">
        <v>352</v>
      </c>
      <c r="Q302" s="7"/>
      <c r="R302" s="93">
        <v>3.8850512249202587E-3</v>
      </c>
      <c r="S302" s="93">
        <v>6.8940707964601847E-2</v>
      </c>
      <c r="T302" s="122"/>
      <c r="U302" s="7"/>
      <c r="V302" s="7"/>
      <c r="W302" s="122"/>
      <c r="X302" s="122"/>
      <c r="Y302" s="122" t="s">
        <v>1518</v>
      </c>
      <c r="Z302" s="7"/>
      <c r="AA302" s="7">
        <v>2</v>
      </c>
      <c r="AB302" s="7">
        <v>2</v>
      </c>
      <c r="AC302" s="7">
        <v>2</v>
      </c>
      <c r="AD302" s="7">
        <v>2</v>
      </c>
      <c r="AE302" s="7">
        <v>2</v>
      </c>
      <c r="AF302" s="7">
        <v>2</v>
      </c>
      <c r="AG302" s="7">
        <v>2</v>
      </c>
      <c r="AH302" s="7">
        <v>2</v>
      </c>
      <c r="AI302" s="7">
        <v>2</v>
      </c>
      <c r="AJ302" s="7">
        <v>2</v>
      </c>
      <c r="AK302" s="7">
        <v>2</v>
      </c>
      <c r="AL302" s="7">
        <v>2</v>
      </c>
      <c r="AM302" s="16">
        <v>44169</v>
      </c>
      <c r="AN302" s="4"/>
      <c r="AO302" s="4" t="s">
        <v>356</v>
      </c>
      <c r="AP302" s="4"/>
      <c r="AQ302" s="4"/>
      <c r="AR302" s="4"/>
      <c r="AS302" s="11">
        <v>50</v>
      </c>
      <c r="AT302" s="11"/>
      <c r="AU302" s="11"/>
      <c r="AV302" s="11"/>
      <c r="AW302" s="4"/>
      <c r="AX302" s="4">
        <f t="shared" si="23"/>
        <v>24</v>
      </c>
      <c r="AY302" s="93"/>
      <c r="AZ302" s="4">
        <v>7</v>
      </c>
    </row>
    <row r="303" spans="2:52" ht="14.25" customHeight="1" x14ac:dyDescent="0.25">
      <c r="B303" s="112" t="s">
        <v>954</v>
      </c>
      <c r="C303" s="6" t="s">
        <v>1256</v>
      </c>
      <c r="D303" s="8" t="s">
        <v>4</v>
      </c>
      <c r="E303" s="8" t="s">
        <v>29</v>
      </c>
      <c r="F303" s="9">
        <v>4</v>
      </c>
      <c r="G303" s="9"/>
      <c r="H303" s="9"/>
      <c r="I303" s="7"/>
      <c r="J303" s="7"/>
      <c r="K303" s="7"/>
      <c r="L303" s="7"/>
      <c r="M303" s="122"/>
      <c r="N303" s="122"/>
      <c r="O303" s="122"/>
      <c r="P303" s="96"/>
      <c r="Q303" s="7"/>
      <c r="R303" s="93">
        <v>4.9210917483710401E-4</v>
      </c>
      <c r="S303" s="93">
        <v>28.04689655172421</v>
      </c>
      <c r="T303" s="122" t="s">
        <v>1518</v>
      </c>
      <c r="U303" s="7"/>
      <c r="V303" s="7"/>
      <c r="W303" s="122"/>
      <c r="X303" s="122"/>
      <c r="Y303" s="122"/>
      <c r="Z303" s="7"/>
      <c r="AA303" s="7"/>
      <c r="AB303" s="7">
        <v>1</v>
      </c>
      <c r="AC303" s="7"/>
      <c r="AD303" s="7"/>
      <c r="AE303" s="7"/>
      <c r="AF303" s="7"/>
      <c r="AG303" s="7"/>
      <c r="AH303" s="7"/>
      <c r="AI303" s="7"/>
      <c r="AJ303" s="7"/>
      <c r="AK303" s="7"/>
      <c r="AL303" s="7">
        <v>1</v>
      </c>
      <c r="AM303" s="16">
        <v>45262</v>
      </c>
      <c r="AN303" s="4" t="s">
        <v>1968</v>
      </c>
      <c r="AO303" s="11" t="s">
        <v>126</v>
      </c>
      <c r="AP303" s="4"/>
      <c r="AQ303" s="4"/>
      <c r="AR303" s="4"/>
      <c r="AS303" s="11">
        <v>100</v>
      </c>
      <c r="AT303" s="11"/>
      <c r="AU303" s="11"/>
      <c r="AV303" s="11"/>
      <c r="AW303" s="4"/>
      <c r="AX303" s="4">
        <f t="shared" si="23"/>
        <v>2</v>
      </c>
      <c r="AY303" s="93">
        <v>1</v>
      </c>
      <c r="AZ303" s="4">
        <v>1.2</v>
      </c>
    </row>
    <row r="304" spans="2:52" ht="14.25" customHeight="1" x14ac:dyDescent="0.25">
      <c r="B304" s="112" t="s">
        <v>921</v>
      </c>
      <c r="C304" s="6" t="s">
        <v>1257</v>
      </c>
      <c r="D304" s="9" t="s">
        <v>4</v>
      </c>
      <c r="E304" s="9" t="s">
        <v>26</v>
      </c>
      <c r="F304" s="9">
        <v>15</v>
      </c>
      <c r="G304" s="9"/>
      <c r="H304" s="9"/>
      <c r="I304" s="7"/>
      <c r="J304" s="7"/>
      <c r="K304" s="7"/>
      <c r="L304" s="7"/>
      <c r="M304" s="122"/>
      <c r="N304" s="122"/>
      <c r="O304" s="122"/>
      <c r="P304" s="96"/>
      <c r="Q304" s="14"/>
      <c r="R304" s="93">
        <v>8.0546301395273971</v>
      </c>
      <c r="S304" s="93">
        <v>254.17500000000004</v>
      </c>
      <c r="T304" s="122" t="s">
        <v>1518</v>
      </c>
      <c r="U304" s="7"/>
      <c r="V304" s="7"/>
      <c r="W304" s="122" t="s">
        <v>1518</v>
      </c>
      <c r="X304" s="122"/>
      <c r="Y304" s="122" t="s">
        <v>1518</v>
      </c>
      <c r="Z304" s="7"/>
      <c r="AA304" s="7"/>
      <c r="AB304" s="7">
        <v>1</v>
      </c>
      <c r="AC304" s="7"/>
      <c r="AD304" s="7">
        <v>1</v>
      </c>
      <c r="AE304" s="7"/>
      <c r="AF304" s="7">
        <v>1</v>
      </c>
      <c r="AG304" s="7"/>
      <c r="AH304" s="7">
        <v>1</v>
      </c>
      <c r="AI304" s="7">
        <v>1</v>
      </c>
      <c r="AJ304" s="7"/>
      <c r="AK304" s="7"/>
      <c r="AL304" s="7"/>
      <c r="AM304" s="16">
        <v>44169</v>
      </c>
      <c r="AN304" s="4"/>
      <c r="AO304" s="6" t="s">
        <v>1008</v>
      </c>
      <c r="AP304" s="4"/>
      <c r="AQ304" s="4"/>
      <c r="AR304" s="4"/>
      <c r="AS304" s="11">
        <v>720</v>
      </c>
      <c r="AT304" s="11"/>
      <c r="AU304" s="11"/>
      <c r="AV304" s="11"/>
      <c r="AW304" s="4"/>
      <c r="AX304" s="4">
        <f t="shared" si="23"/>
        <v>5</v>
      </c>
      <c r="AY304" s="93"/>
      <c r="AZ304" s="4">
        <v>1.4</v>
      </c>
    </row>
    <row r="305" spans="2:52" ht="14.25" customHeight="1" x14ac:dyDescent="0.25">
      <c r="B305" s="112" t="s">
        <v>1842</v>
      </c>
      <c r="C305" s="6" t="s">
        <v>1843</v>
      </c>
      <c r="D305" s="9" t="s">
        <v>3</v>
      </c>
      <c r="E305" s="8" t="s">
        <v>26</v>
      </c>
      <c r="F305" s="9">
        <v>3</v>
      </c>
      <c r="G305" s="9"/>
      <c r="H305" s="9"/>
      <c r="I305" s="7"/>
      <c r="J305" s="7"/>
      <c r="K305" s="7"/>
      <c r="L305" s="7" t="s">
        <v>14</v>
      </c>
      <c r="M305" s="122"/>
      <c r="N305" s="122"/>
      <c r="O305" s="122"/>
      <c r="P305" s="96"/>
      <c r="Q305" s="14">
        <v>0.3</v>
      </c>
      <c r="R305" s="93">
        <v>2.0910301679515646</v>
      </c>
      <c r="S305" s="93">
        <v>6.9730576441102894</v>
      </c>
      <c r="T305" s="122" t="s">
        <v>1518</v>
      </c>
      <c r="U305" s="7"/>
      <c r="V305" s="7"/>
      <c r="W305" s="122" t="s">
        <v>1518</v>
      </c>
      <c r="X305" s="122"/>
      <c r="Y305" s="122"/>
      <c r="Z305" s="7"/>
      <c r="AA305" s="7">
        <v>1</v>
      </c>
      <c r="AB305" s="7">
        <v>1</v>
      </c>
      <c r="AC305" s="7">
        <v>1</v>
      </c>
      <c r="AD305" s="7"/>
      <c r="AE305" s="7">
        <v>1</v>
      </c>
      <c r="AF305" s="7"/>
      <c r="AG305" s="7"/>
      <c r="AH305" s="7"/>
      <c r="AI305" s="7"/>
      <c r="AJ305" s="7"/>
      <c r="AK305" s="7"/>
      <c r="AL305" s="7"/>
      <c r="AM305" s="16">
        <v>44911</v>
      </c>
      <c r="AN305" s="4"/>
      <c r="AO305" s="6" t="s">
        <v>1014</v>
      </c>
      <c r="AP305" s="4"/>
      <c r="AQ305" s="4"/>
      <c r="AR305" s="4"/>
      <c r="AS305" s="11">
        <v>250</v>
      </c>
      <c r="AT305" s="11"/>
      <c r="AU305" s="11"/>
      <c r="AV305" s="11"/>
      <c r="AW305" s="4"/>
      <c r="AX305" s="4">
        <f t="shared" si="23"/>
        <v>4</v>
      </c>
      <c r="AY305" s="93"/>
      <c r="AZ305" s="4">
        <v>0.5</v>
      </c>
    </row>
    <row r="306" spans="2:52" ht="14.25" customHeight="1" x14ac:dyDescent="0.25">
      <c r="B306" s="112" t="s">
        <v>250</v>
      </c>
      <c r="C306" s="6" t="s">
        <v>1258</v>
      </c>
      <c r="D306" s="8" t="s">
        <v>4</v>
      </c>
      <c r="E306" s="9" t="s">
        <v>26</v>
      </c>
      <c r="F306" s="9">
        <v>4</v>
      </c>
      <c r="G306" s="9"/>
      <c r="H306" s="9"/>
      <c r="I306" s="7"/>
      <c r="J306" s="7"/>
      <c r="K306" s="7"/>
      <c r="L306" s="7"/>
      <c r="M306" s="122"/>
      <c r="N306" s="122"/>
      <c r="O306" s="122"/>
      <c r="P306" s="96"/>
      <c r="Q306" s="7"/>
      <c r="R306" s="93">
        <v>4.3980995489875947E-2</v>
      </c>
      <c r="S306" s="93">
        <v>73.075312499999839</v>
      </c>
      <c r="T306" s="122" t="s">
        <v>1518</v>
      </c>
      <c r="U306" s="7"/>
      <c r="V306" s="7"/>
      <c r="W306" s="122" t="s">
        <v>1518</v>
      </c>
      <c r="X306" s="122"/>
      <c r="Y306" s="122"/>
      <c r="Z306" s="7"/>
      <c r="AA306" s="7">
        <v>1</v>
      </c>
      <c r="AB306" s="7"/>
      <c r="AC306" s="7"/>
      <c r="AD306" s="7">
        <v>1</v>
      </c>
      <c r="AE306" s="7"/>
      <c r="AF306" s="7"/>
      <c r="AG306" s="7"/>
      <c r="AH306" s="7"/>
      <c r="AI306" s="7"/>
      <c r="AJ306" s="7"/>
      <c r="AK306" s="7"/>
      <c r="AL306" s="7"/>
      <c r="AM306" s="16">
        <v>44169</v>
      </c>
      <c r="AN306" s="4"/>
      <c r="AO306" s="11" t="s">
        <v>142</v>
      </c>
      <c r="AP306" s="4"/>
      <c r="AQ306" s="4"/>
      <c r="AR306" s="4"/>
      <c r="AS306" s="11">
        <v>230</v>
      </c>
      <c r="AT306" s="11"/>
      <c r="AU306" s="11"/>
      <c r="AV306" s="11"/>
      <c r="AW306" s="4"/>
      <c r="AX306" s="4">
        <f t="shared" si="23"/>
        <v>2</v>
      </c>
      <c r="AY306" s="93"/>
      <c r="AZ306" s="4">
        <v>1.5</v>
      </c>
    </row>
    <row r="307" spans="2:52" ht="14.25" customHeight="1" x14ac:dyDescent="0.25">
      <c r="B307" s="112" t="s">
        <v>251</v>
      </c>
      <c r="C307" s="6" t="s">
        <v>1259</v>
      </c>
      <c r="D307" s="8" t="s">
        <v>4</v>
      </c>
      <c r="E307" s="7" t="s">
        <v>19</v>
      </c>
      <c r="F307" s="9">
        <v>3</v>
      </c>
      <c r="G307" s="9">
        <v>15</v>
      </c>
      <c r="H307" s="9"/>
      <c r="I307" s="7">
        <v>6</v>
      </c>
      <c r="J307" s="7"/>
      <c r="K307" s="7"/>
      <c r="L307" s="7" t="s">
        <v>120</v>
      </c>
      <c r="M307" s="122"/>
      <c r="N307" s="122"/>
      <c r="O307" s="122"/>
      <c r="P307" s="96"/>
      <c r="Q307" s="14">
        <v>0.3</v>
      </c>
      <c r="R307" s="93">
        <v>29.424386229964021</v>
      </c>
      <c r="S307" s="93">
        <v>131.36891257995734</v>
      </c>
      <c r="T307" s="122" t="s">
        <v>1518</v>
      </c>
      <c r="U307" s="7"/>
      <c r="V307" s="7"/>
      <c r="W307" s="122"/>
      <c r="X307" s="122"/>
      <c r="Y307" s="122" t="s">
        <v>1518</v>
      </c>
      <c r="Z307" s="7"/>
      <c r="AA307" s="7">
        <v>1</v>
      </c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16">
        <v>44169</v>
      </c>
      <c r="AN307" s="4"/>
      <c r="AO307" s="6" t="s">
        <v>1000</v>
      </c>
      <c r="AP307" s="4" t="s">
        <v>143</v>
      </c>
      <c r="AQ307" s="4"/>
      <c r="AR307" s="4"/>
      <c r="AS307" s="11">
        <v>300</v>
      </c>
      <c r="AT307" s="11">
        <v>60</v>
      </c>
      <c r="AU307" s="11"/>
      <c r="AV307" s="11"/>
      <c r="AW307" s="4"/>
      <c r="AX307" s="4">
        <f t="shared" si="23"/>
        <v>1</v>
      </c>
      <c r="AY307" s="93"/>
      <c r="AZ307" s="4">
        <v>4</v>
      </c>
    </row>
    <row r="308" spans="2:52" ht="14.25" customHeight="1" x14ac:dyDescent="0.25">
      <c r="B308" s="112" t="s">
        <v>252</v>
      </c>
      <c r="C308" s="6" t="s">
        <v>1260</v>
      </c>
      <c r="D308" s="8" t="s">
        <v>4</v>
      </c>
      <c r="E308" s="8" t="s">
        <v>64</v>
      </c>
      <c r="F308" s="9">
        <v>4</v>
      </c>
      <c r="G308" s="9">
        <v>4</v>
      </c>
      <c r="H308" s="9"/>
      <c r="I308" s="7"/>
      <c r="J308" s="7"/>
      <c r="K308" s="7"/>
      <c r="L308" s="7"/>
      <c r="M308" s="122"/>
      <c r="N308" s="122"/>
      <c r="O308" s="122"/>
      <c r="P308" s="96"/>
      <c r="Q308" s="7"/>
      <c r="R308" s="93">
        <v>2.1973804877698231</v>
      </c>
      <c r="S308" s="93">
        <v>25.395674839999941</v>
      </c>
      <c r="T308" s="122" t="s">
        <v>1518</v>
      </c>
      <c r="U308" s="7"/>
      <c r="V308" s="7"/>
      <c r="W308" s="122" t="s">
        <v>1518</v>
      </c>
      <c r="X308" s="122"/>
      <c r="Y308" s="122"/>
      <c r="Z308" s="7"/>
      <c r="AA308" s="7">
        <v>1</v>
      </c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>
        <v>1</v>
      </c>
      <c r="AM308" s="16">
        <v>44169</v>
      </c>
      <c r="AN308" s="4"/>
      <c r="AO308" s="11" t="s">
        <v>142</v>
      </c>
      <c r="AP308" s="11" t="s">
        <v>157</v>
      </c>
      <c r="AQ308" s="4"/>
      <c r="AR308" s="4"/>
      <c r="AS308" s="11">
        <v>29.8</v>
      </c>
      <c r="AT308" s="11">
        <v>363</v>
      </c>
      <c r="AU308" s="11"/>
      <c r="AV308" s="11"/>
      <c r="AW308" s="4"/>
      <c r="AX308" s="4">
        <f t="shared" si="23"/>
        <v>2</v>
      </c>
      <c r="AY308" s="93"/>
      <c r="AZ308" s="4">
        <v>4</v>
      </c>
    </row>
    <row r="309" spans="2:52" ht="14.25" customHeight="1" x14ac:dyDescent="0.25">
      <c r="B309" s="112" t="s">
        <v>253</v>
      </c>
      <c r="C309" s="6" t="s">
        <v>1261</v>
      </c>
      <c r="D309" s="8" t="s">
        <v>4</v>
      </c>
      <c r="E309" s="8" t="s">
        <v>13</v>
      </c>
      <c r="F309" s="9">
        <v>1</v>
      </c>
      <c r="G309" s="9"/>
      <c r="H309" s="9"/>
      <c r="I309" s="7"/>
      <c r="J309" s="7"/>
      <c r="K309" s="7"/>
      <c r="L309" s="7"/>
      <c r="M309" s="122"/>
      <c r="N309" s="122"/>
      <c r="O309" s="122"/>
      <c r="P309" s="96"/>
      <c r="Q309" s="7"/>
      <c r="R309" s="93">
        <v>0.20930595906075114</v>
      </c>
      <c r="S309" s="93">
        <v>29.272254714612789</v>
      </c>
      <c r="T309" s="122" t="s">
        <v>1518</v>
      </c>
      <c r="U309" s="7"/>
      <c r="V309" s="7"/>
      <c r="W309" s="122"/>
      <c r="X309" s="122"/>
      <c r="Y309" s="122"/>
      <c r="Z309" s="7"/>
      <c r="AA309" s="7">
        <v>1</v>
      </c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16">
        <v>44169</v>
      </c>
      <c r="AN309" s="4"/>
      <c r="AO309" s="6" t="s">
        <v>1030</v>
      </c>
      <c r="AP309" s="6" t="s">
        <v>300</v>
      </c>
      <c r="AQ309" s="4"/>
      <c r="AR309" s="4"/>
      <c r="AS309" s="11">
        <v>240</v>
      </c>
      <c r="AT309" s="11">
        <v>60</v>
      </c>
      <c r="AU309" s="11"/>
      <c r="AV309" s="11"/>
      <c r="AW309" s="4"/>
      <c r="AX309" s="4">
        <f t="shared" si="23"/>
        <v>1</v>
      </c>
      <c r="AY309" s="93"/>
      <c r="AZ309" s="4">
        <v>0.35</v>
      </c>
    </row>
    <row r="310" spans="2:52" ht="14.25" customHeight="1" x14ac:dyDescent="0.25">
      <c r="B310" s="112" t="s">
        <v>254</v>
      </c>
      <c r="C310" s="6" t="s">
        <v>1262</v>
      </c>
      <c r="D310" s="8" t="s">
        <v>4</v>
      </c>
      <c r="E310" s="8" t="s">
        <v>54</v>
      </c>
      <c r="F310" s="9">
        <v>1</v>
      </c>
      <c r="G310" s="9"/>
      <c r="H310" s="9"/>
      <c r="I310" s="7"/>
      <c r="J310" s="7"/>
      <c r="K310" s="7"/>
      <c r="L310" s="7"/>
      <c r="M310" s="122"/>
      <c r="N310" s="122"/>
      <c r="O310" s="122"/>
      <c r="P310" s="96"/>
      <c r="Q310" s="7"/>
      <c r="R310" s="93">
        <v>0.20930595906075114</v>
      </c>
      <c r="S310" s="93">
        <v>29.272254714612789</v>
      </c>
      <c r="T310" s="122" t="s">
        <v>1518</v>
      </c>
      <c r="U310" s="7"/>
      <c r="V310" s="7"/>
      <c r="W310" s="122"/>
      <c r="X310" s="122"/>
      <c r="Y310" s="122"/>
      <c r="Z310" s="7"/>
      <c r="AA310" s="7">
        <v>1</v>
      </c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16">
        <v>44169</v>
      </c>
      <c r="AN310" s="4"/>
      <c r="AO310" s="6" t="s">
        <v>1030</v>
      </c>
      <c r="AP310" s="6" t="s">
        <v>300</v>
      </c>
      <c r="AQ310" s="4"/>
      <c r="AR310" s="4"/>
      <c r="AS310" s="11">
        <v>240</v>
      </c>
      <c r="AT310" s="11">
        <v>60</v>
      </c>
      <c r="AU310" s="11"/>
      <c r="AV310" s="11"/>
      <c r="AW310" s="4"/>
      <c r="AX310" s="4">
        <f t="shared" si="23"/>
        <v>1</v>
      </c>
      <c r="AY310" s="93"/>
      <c r="AZ310" s="4">
        <v>0.35</v>
      </c>
    </row>
    <row r="311" spans="2:52" ht="14.25" customHeight="1" x14ac:dyDescent="0.25">
      <c r="B311" s="112" t="s">
        <v>81</v>
      </c>
      <c r="C311" s="6" t="s">
        <v>1263</v>
      </c>
      <c r="D311" s="9" t="s">
        <v>3</v>
      </c>
      <c r="E311" s="8" t="s">
        <v>29</v>
      </c>
      <c r="F311" s="9">
        <v>29</v>
      </c>
      <c r="G311" s="9"/>
      <c r="H311" s="9"/>
      <c r="I311" s="7">
        <v>20</v>
      </c>
      <c r="J311" s="7"/>
      <c r="K311" s="7"/>
      <c r="L311" s="7" t="s">
        <v>59</v>
      </c>
      <c r="M311" s="122"/>
      <c r="N311" s="122"/>
      <c r="O311" s="122"/>
      <c r="P311" s="96"/>
      <c r="Q311" s="7"/>
      <c r="R311" s="93">
        <v>6.4603069825525035</v>
      </c>
      <c r="S311" s="93">
        <v>23.113187954309396</v>
      </c>
      <c r="T311" s="122" t="s">
        <v>1518</v>
      </c>
      <c r="U311" s="7"/>
      <c r="V311" s="7"/>
      <c r="W311" s="122"/>
      <c r="X311" s="122"/>
      <c r="Y311" s="122" t="s">
        <v>1518</v>
      </c>
      <c r="Z311" s="7"/>
      <c r="AA311" s="7"/>
      <c r="AB311" s="7"/>
      <c r="AC311" s="7">
        <v>1</v>
      </c>
      <c r="AD311" s="7"/>
      <c r="AE311" s="7"/>
      <c r="AF311" s="7"/>
      <c r="AG311" s="7"/>
      <c r="AH311" s="7"/>
      <c r="AI311" s="7"/>
      <c r="AJ311" s="7"/>
      <c r="AK311" s="7"/>
      <c r="AL311" s="7"/>
      <c r="AM311" s="16">
        <v>44169</v>
      </c>
      <c r="AN311" s="4"/>
      <c r="AO311" s="11" t="s">
        <v>60</v>
      </c>
      <c r="AP311" s="4"/>
      <c r="AQ311" s="4"/>
      <c r="AR311" s="4"/>
      <c r="AS311" s="11">
        <v>500</v>
      </c>
      <c r="AT311" s="11"/>
      <c r="AU311" s="11"/>
      <c r="AV311" s="11"/>
      <c r="AW311" s="4"/>
      <c r="AX311" s="4">
        <f t="shared" si="23"/>
        <v>1</v>
      </c>
      <c r="AY311" s="93"/>
      <c r="AZ311" s="4">
        <v>0.4</v>
      </c>
    </row>
    <row r="312" spans="2:52" ht="14.25" customHeight="1" x14ac:dyDescent="0.25">
      <c r="B312" s="112" t="s">
        <v>1264</v>
      </c>
      <c r="C312" s="6" t="s">
        <v>1265</v>
      </c>
      <c r="D312" s="9" t="s">
        <v>3</v>
      </c>
      <c r="E312" s="8" t="s">
        <v>29</v>
      </c>
      <c r="F312" s="9">
        <v>12</v>
      </c>
      <c r="G312" s="9"/>
      <c r="H312" s="9"/>
      <c r="I312" s="7"/>
      <c r="J312" s="7"/>
      <c r="K312" s="7"/>
      <c r="L312" s="7"/>
      <c r="M312" s="122"/>
      <c r="N312" s="122"/>
      <c r="O312" s="122"/>
      <c r="P312" s="96"/>
      <c r="Q312" s="14">
        <v>0.3</v>
      </c>
      <c r="R312" s="93">
        <v>0</v>
      </c>
      <c r="S312" s="93">
        <v>0</v>
      </c>
      <c r="T312" s="122" t="s">
        <v>1518</v>
      </c>
      <c r="U312" s="7"/>
      <c r="V312" s="7"/>
      <c r="W312" s="122"/>
      <c r="X312" s="122"/>
      <c r="Y312" s="122"/>
      <c r="Z312" s="7"/>
      <c r="AA312" s="7"/>
      <c r="AB312" s="7"/>
      <c r="AC312" s="7">
        <v>1</v>
      </c>
      <c r="AD312" s="7"/>
      <c r="AE312" s="7"/>
      <c r="AF312" s="7"/>
      <c r="AG312" s="7"/>
      <c r="AH312" s="7"/>
      <c r="AI312" s="7"/>
      <c r="AJ312" s="7"/>
      <c r="AK312" s="7"/>
      <c r="AL312" s="7"/>
      <c r="AM312" s="16">
        <v>44169</v>
      </c>
      <c r="AN312" s="4"/>
      <c r="AO312" s="4" t="s">
        <v>82</v>
      </c>
      <c r="AP312" s="4"/>
      <c r="AQ312" s="4"/>
      <c r="AR312" s="4"/>
      <c r="AS312" s="11">
        <v>100</v>
      </c>
      <c r="AT312" s="11"/>
      <c r="AU312" s="11"/>
      <c r="AV312" s="11"/>
      <c r="AW312" s="4"/>
      <c r="AX312" s="4">
        <f t="shared" si="23"/>
        <v>1</v>
      </c>
      <c r="AY312" s="93"/>
      <c r="AZ312" s="4"/>
    </row>
    <row r="313" spans="2:52" ht="14.25" customHeight="1" x14ac:dyDescent="0.25">
      <c r="B313" s="112" t="s">
        <v>1671</v>
      </c>
      <c r="C313" s="6" t="s">
        <v>1634</v>
      </c>
      <c r="D313" s="9" t="s">
        <v>4</v>
      </c>
      <c r="E313" s="7" t="s">
        <v>17</v>
      </c>
      <c r="F313" s="9">
        <v>15</v>
      </c>
      <c r="G313" s="9"/>
      <c r="H313" s="9"/>
      <c r="I313" s="7"/>
      <c r="J313" s="7"/>
      <c r="K313" s="7"/>
      <c r="L313" s="7"/>
      <c r="M313" s="122"/>
      <c r="N313" s="122"/>
      <c r="O313" s="122"/>
      <c r="P313" s="96"/>
      <c r="Q313" s="14"/>
      <c r="R313" s="93">
        <v>8.0546301395273971</v>
      </c>
      <c r="S313" s="93">
        <v>254.17500000000004</v>
      </c>
      <c r="T313" s="122" t="s">
        <v>1518</v>
      </c>
      <c r="U313" s="7"/>
      <c r="V313" s="7"/>
      <c r="W313" s="122" t="s">
        <v>1518</v>
      </c>
      <c r="X313" s="122"/>
      <c r="Y313" s="122" t="s">
        <v>1518</v>
      </c>
      <c r="Z313" s="7"/>
      <c r="AA313" s="7"/>
      <c r="AB313" s="7">
        <v>1</v>
      </c>
      <c r="AC313" s="7"/>
      <c r="AD313" s="7">
        <v>1</v>
      </c>
      <c r="AE313" s="7"/>
      <c r="AF313" s="7">
        <v>1</v>
      </c>
      <c r="AG313" s="7"/>
      <c r="AH313" s="7">
        <v>1</v>
      </c>
      <c r="AI313" s="7">
        <v>1</v>
      </c>
      <c r="AJ313" s="7"/>
      <c r="AK313" s="7"/>
      <c r="AL313" s="7"/>
      <c r="AM313" s="16">
        <v>44540</v>
      </c>
      <c r="AN313" s="4"/>
      <c r="AO313" s="6" t="s">
        <v>1008</v>
      </c>
      <c r="AP313" s="4"/>
      <c r="AQ313" s="4"/>
      <c r="AR313" s="4"/>
      <c r="AS313" s="11">
        <v>720</v>
      </c>
      <c r="AT313" s="11"/>
      <c r="AU313" s="11"/>
      <c r="AV313" s="11"/>
      <c r="AW313" s="4"/>
      <c r="AX313" s="4">
        <f t="shared" si="23"/>
        <v>5</v>
      </c>
      <c r="AY313" s="93"/>
      <c r="AZ313" s="4">
        <v>1.4</v>
      </c>
    </row>
    <row r="314" spans="2:52" ht="14.25" customHeight="1" x14ac:dyDescent="0.25">
      <c r="B314" s="112" t="s">
        <v>1267</v>
      </c>
      <c r="C314" s="6" t="s">
        <v>1672</v>
      </c>
      <c r="D314" s="8" t="s">
        <v>4</v>
      </c>
      <c r="E314" s="9" t="s">
        <v>1685</v>
      </c>
      <c r="F314" s="9">
        <v>4</v>
      </c>
      <c r="G314" s="9"/>
      <c r="H314" s="9"/>
      <c r="I314" s="7"/>
      <c r="J314" s="7"/>
      <c r="K314" s="7"/>
      <c r="L314" s="7"/>
      <c r="M314" s="122"/>
      <c r="N314" s="122"/>
      <c r="O314" s="122"/>
      <c r="P314" s="96"/>
      <c r="Q314" s="7"/>
      <c r="R314" s="93">
        <v>2.2543230734764514</v>
      </c>
      <c r="S314" s="93">
        <v>0.15250499999999939</v>
      </c>
      <c r="T314" s="122" t="s">
        <v>1518</v>
      </c>
      <c r="U314" s="7"/>
      <c r="V314" s="7"/>
      <c r="W314" s="122" t="s">
        <v>1518</v>
      </c>
      <c r="X314" s="122"/>
      <c r="Y314" s="122"/>
      <c r="Z314" s="7"/>
      <c r="AA314" s="7">
        <v>1</v>
      </c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>
        <v>1</v>
      </c>
      <c r="AM314" s="16">
        <v>44169</v>
      </c>
      <c r="AN314" s="4"/>
      <c r="AO314" s="4" t="s">
        <v>157</v>
      </c>
      <c r="AP314" s="4"/>
      <c r="AQ314" s="4"/>
      <c r="AR314" s="4"/>
      <c r="AS314" s="11">
        <v>500</v>
      </c>
      <c r="AT314" s="11"/>
      <c r="AU314" s="11"/>
      <c r="AV314" s="11"/>
      <c r="AW314" s="4"/>
      <c r="AX314" s="4">
        <f t="shared" si="23"/>
        <v>2</v>
      </c>
      <c r="AY314" s="93"/>
      <c r="AZ314" s="4">
        <v>3</v>
      </c>
    </row>
    <row r="315" spans="2:52" ht="14.25" customHeight="1" x14ac:dyDescent="0.25">
      <c r="B315" s="112" t="s">
        <v>1268</v>
      </c>
      <c r="C315" s="6" t="s">
        <v>1269</v>
      </c>
      <c r="D315" s="8" t="s">
        <v>4</v>
      </c>
      <c r="E315" s="9" t="s">
        <v>1535</v>
      </c>
      <c r="F315" s="9">
        <v>4</v>
      </c>
      <c r="G315" s="9"/>
      <c r="H315" s="9"/>
      <c r="I315" s="7"/>
      <c r="J315" s="7"/>
      <c r="K315" s="7"/>
      <c r="L315" s="7"/>
      <c r="M315" s="122"/>
      <c r="N315" s="122"/>
      <c r="O315" s="122"/>
      <c r="P315" s="96"/>
      <c r="Q315" s="7"/>
      <c r="R315" s="93">
        <v>0.39355336380053729</v>
      </c>
      <c r="S315" s="93">
        <v>0.32534399999999936</v>
      </c>
      <c r="T315" s="122" t="s">
        <v>1518</v>
      </c>
      <c r="U315" s="7"/>
      <c r="V315" s="7"/>
      <c r="W315" s="122" t="s">
        <v>1518</v>
      </c>
      <c r="X315" s="122"/>
      <c r="Y315" s="122" t="s">
        <v>1518</v>
      </c>
      <c r="Z315" s="7"/>
      <c r="AA315" s="7">
        <v>1</v>
      </c>
      <c r="AB315" s="7"/>
      <c r="AC315" s="7">
        <v>1</v>
      </c>
      <c r="AD315" s="7"/>
      <c r="AE315" s="7"/>
      <c r="AF315" s="7"/>
      <c r="AG315" s="7">
        <v>1</v>
      </c>
      <c r="AH315" s="7"/>
      <c r="AI315" s="7"/>
      <c r="AJ315" s="7"/>
      <c r="AK315" s="7"/>
      <c r="AL315" s="7">
        <v>1</v>
      </c>
      <c r="AM315" s="16">
        <v>44169</v>
      </c>
      <c r="AN315" s="4"/>
      <c r="AO315" s="4" t="s">
        <v>205</v>
      </c>
      <c r="AP315" s="4"/>
      <c r="AQ315" s="4"/>
      <c r="AR315" s="4"/>
      <c r="AS315" s="11">
        <v>400</v>
      </c>
      <c r="AT315" s="11"/>
      <c r="AU315" s="11"/>
      <c r="AV315" s="11"/>
      <c r="AW315" s="4"/>
      <c r="AX315" s="4">
        <f t="shared" si="23"/>
        <v>4</v>
      </c>
      <c r="AY315" s="93"/>
      <c r="AZ315" s="4">
        <v>4</v>
      </c>
    </row>
    <row r="316" spans="2:52" ht="14.25" customHeight="1" x14ac:dyDescent="0.25">
      <c r="B316" s="112" t="s">
        <v>1268</v>
      </c>
      <c r="C316" s="6" t="s">
        <v>1269</v>
      </c>
      <c r="D316" s="8" t="s">
        <v>4</v>
      </c>
      <c r="E316" s="8" t="s">
        <v>54</v>
      </c>
      <c r="F316" s="9">
        <v>4</v>
      </c>
      <c r="G316" s="9"/>
      <c r="H316" s="9"/>
      <c r="I316" s="7"/>
      <c r="J316" s="7"/>
      <c r="K316" s="7"/>
      <c r="L316" s="7"/>
      <c r="M316" s="122"/>
      <c r="N316" s="122"/>
      <c r="O316" s="122"/>
      <c r="P316" s="96"/>
      <c r="Q316" s="7"/>
      <c r="R316" s="93">
        <v>0.39355336380053729</v>
      </c>
      <c r="S316" s="93">
        <v>0.32534399999999936</v>
      </c>
      <c r="T316" s="122" t="s">
        <v>1518</v>
      </c>
      <c r="U316" s="7"/>
      <c r="V316" s="7"/>
      <c r="W316" s="122" t="s">
        <v>1518</v>
      </c>
      <c r="X316" s="122"/>
      <c r="Y316" s="122" t="s">
        <v>1518</v>
      </c>
      <c r="Z316" s="7"/>
      <c r="AA316" s="7">
        <v>1</v>
      </c>
      <c r="AB316" s="7"/>
      <c r="AC316" s="7">
        <v>1</v>
      </c>
      <c r="AD316" s="7"/>
      <c r="AE316" s="7"/>
      <c r="AF316" s="7"/>
      <c r="AG316" s="7">
        <v>1</v>
      </c>
      <c r="AH316" s="7"/>
      <c r="AI316" s="7"/>
      <c r="AJ316" s="7"/>
      <c r="AK316" s="7"/>
      <c r="AL316" s="7">
        <v>1</v>
      </c>
      <c r="AM316" s="16">
        <v>44169</v>
      </c>
      <c r="AN316" s="4"/>
      <c r="AO316" s="4" t="s">
        <v>205</v>
      </c>
      <c r="AP316" s="4"/>
      <c r="AQ316" s="4"/>
      <c r="AR316" s="4"/>
      <c r="AS316" s="11">
        <v>400</v>
      </c>
      <c r="AT316" s="11"/>
      <c r="AU316" s="11"/>
      <c r="AV316" s="11"/>
      <c r="AW316" s="4"/>
      <c r="AX316" s="4">
        <f t="shared" si="23"/>
        <v>4</v>
      </c>
      <c r="AY316" s="93"/>
      <c r="AZ316" s="4">
        <v>4</v>
      </c>
    </row>
    <row r="317" spans="2:52" ht="14.25" customHeight="1" x14ac:dyDescent="0.25">
      <c r="B317" s="112" t="s">
        <v>1270</v>
      </c>
      <c r="C317" s="6" t="s">
        <v>1271</v>
      </c>
      <c r="D317" s="8" t="s">
        <v>4</v>
      </c>
      <c r="E317" s="8" t="s">
        <v>13</v>
      </c>
      <c r="F317" s="9">
        <v>4</v>
      </c>
      <c r="G317" s="9"/>
      <c r="H317" s="9"/>
      <c r="I317" s="7"/>
      <c r="J317" s="7"/>
      <c r="K317" s="7"/>
      <c r="L317" s="7"/>
      <c r="M317" s="122"/>
      <c r="N317" s="122"/>
      <c r="O317" s="122"/>
      <c r="P317" s="96"/>
      <c r="Q317" s="7"/>
      <c r="R317" s="93">
        <v>0.39355336380053729</v>
      </c>
      <c r="S317" s="93">
        <v>0.32534399999999936</v>
      </c>
      <c r="T317" s="122" t="s">
        <v>1518</v>
      </c>
      <c r="U317" s="7"/>
      <c r="V317" s="7"/>
      <c r="W317" s="122" t="s">
        <v>1518</v>
      </c>
      <c r="X317" s="122"/>
      <c r="Y317" s="122" t="s">
        <v>1518</v>
      </c>
      <c r="Z317" s="7"/>
      <c r="AA317" s="7">
        <v>1</v>
      </c>
      <c r="AB317" s="7"/>
      <c r="AC317" s="7">
        <v>1</v>
      </c>
      <c r="AD317" s="7"/>
      <c r="AE317" s="7"/>
      <c r="AF317" s="7"/>
      <c r="AG317" s="7">
        <v>1</v>
      </c>
      <c r="AH317" s="7"/>
      <c r="AI317" s="7"/>
      <c r="AJ317" s="7"/>
      <c r="AK317" s="7"/>
      <c r="AL317" s="7">
        <v>1</v>
      </c>
      <c r="AM317" s="16">
        <v>44169</v>
      </c>
      <c r="AN317" s="4"/>
      <c r="AO317" s="4" t="s">
        <v>205</v>
      </c>
      <c r="AP317" s="4"/>
      <c r="AQ317" s="4"/>
      <c r="AR317" s="4"/>
      <c r="AS317" s="11">
        <v>400</v>
      </c>
      <c r="AT317" s="11"/>
      <c r="AU317" s="11"/>
      <c r="AV317" s="11"/>
      <c r="AW317" s="4"/>
      <c r="AX317" s="4">
        <f t="shared" si="23"/>
        <v>4</v>
      </c>
      <c r="AY317" s="93"/>
      <c r="AZ317" s="4">
        <v>4</v>
      </c>
    </row>
    <row r="318" spans="2:52" ht="14.25" customHeight="1" x14ac:dyDescent="0.25">
      <c r="B318" s="112" t="s">
        <v>255</v>
      </c>
      <c r="C318" s="6" t="s">
        <v>1272</v>
      </c>
      <c r="D318" s="8" t="s">
        <v>4</v>
      </c>
      <c r="E318" s="8" t="s">
        <v>26</v>
      </c>
      <c r="F318" s="9">
        <v>4</v>
      </c>
      <c r="G318" s="9"/>
      <c r="H318" s="9"/>
      <c r="I318" s="7"/>
      <c r="J318" s="7"/>
      <c r="K318" s="7"/>
      <c r="L318" s="7"/>
      <c r="M318" s="122"/>
      <c r="N318" s="122"/>
      <c r="O318" s="122"/>
      <c r="P318" s="96"/>
      <c r="Q318" s="7"/>
      <c r="R318" s="93">
        <v>0.39355336380053729</v>
      </c>
      <c r="S318" s="93">
        <v>0.32534399999999936</v>
      </c>
      <c r="T318" s="122" t="s">
        <v>1518</v>
      </c>
      <c r="U318" s="7"/>
      <c r="V318" s="7"/>
      <c r="W318" s="122" t="s">
        <v>1518</v>
      </c>
      <c r="X318" s="122"/>
      <c r="Y318" s="122" t="s">
        <v>1518</v>
      </c>
      <c r="Z318" s="7"/>
      <c r="AA318" s="7">
        <v>1</v>
      </c>
      <c r="AB318" s="7"/>
      <c r="AC318" s="7">
        <v>1</v>
      </c>
      <c r="AD318" s="7"/>
      <c r="AE318" s="7"/>
      <c r="AF318" s="7"/>
      <c r="AG318" s="7">
        <v>1</v>
      </c>
      <c r="AH318" s="7"/>
      <c r="AI318" s="7"/>
      <c r="AJ318" s="7"/>
      <c r="AK318" s="7"/>
      <c r="AL318" s="7">
        <v>1</v>
      </c>
      <c r="AM318" s="16">
        <v>44169</v>
      </c>
      <c r="AN318" s="4"/>
      <c r="AO318" s="4" t="s">
        <v>205</v>
      </c>
      <c r="AP318" s="4"/>
      <c r="AQ318" s="4"/>
      <c r="AR318" s="4"/>
      <c r="AS318" s="11">
        <v>400</v>
      </c>
      <c r="AT318" s="11"/>
      <c r="AU318" s="11"/>
      <c r="AV318" s="11"/>
      <c r="AW318" s="4"/>
      <c r="AX318" s="4">
        <f t="shared" si="23"/>
        <v>4</v>
      </c>
      <c r="AY318" s="93"/>
      <c r="AZ318" s="4">
        <v>4</v>
      </c>
    </row>
    <row r="319" spans="2:52" ht="14.25" customHeight="1" x14ac:dyDescent="0.25">
      <c r="B319" s="112" t="s">
        <v>1701</v>
      </c>
      <c r="C319" s="6" t="s">
        <v>1266</v>
      </c>
      <c r="D319" s="8" t="s">
        <v>4</v>
      </c>
      <c r="E319" s="8" t="s">
        <v>54</v>
      </c>
      <c r="F319" s="9">
        <v>4</v>
      </c>
      <c r="G319" s="9">
        <v>4</v>
      </c>
      <c r="H319" s="9"/>
      <c r="I319" s="7">
        <v>6</v>
      </c>
      <c r="J319" s="7"/>
      <c r="K319" s="7">
        <v>6</v>
      </c>
      <c r="L319" s="7" t="s">
        <v>14</v>
      </c>
      <c r="M319" s="122"/>
      <c r="N319" s="122"/>
      <c r="O319" s="122"/>
      <c r="P319" s="96"/>
      <c r="Q319" s="7"/>
      <c r="R319" s="93">
        <v>2.693644807163043</v>
      </c>
      <c r="S319" s="93">
        <v>378.47549342105282</v>
      </c>
      <c r="T319" s="122" t="s">
        <v>1518</v>
      </c>
      <c r="U319" s="7"/>
      <c r="V319" s="7"/>
      <c r="W319" s="122" t="s">
        <v>1518</v>
      </c>
      <c r="X319" s="122"/>
      <c r="Y319" s="122" t="s">
        <v>1518</v>
      </c>
      <c r="Z319" s="7" t="s">
        <v>7</v>
      </c>
      <c r="AA319" s="7">
        <v>1</v>
      </c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>
        <v>1</v>
      </c>
      <c r="AM319" s="16">
        <v>44540</v>
      </c>
      <c r="AN319" s="4"/>
      <c r="AO319" s="6" t="s">
        <v>1022</v>
      </c>
      <c r="AP319" s="6" t="s">
        <v>112</v>
      </c>
      <c r="AQ319" s="4"/>
      <c r="AR319" s="4"/>
      <c r="AS319" s="11">
        <v>400</v>
      </c>
      <c r="AT319" s="11">
        <v>170</v>
      </c>
      <c r="AU319" s="11"/>
      <c r="AV319" s="11"/>
      <c r="AW319" s="4"/>
      <c r="AX319" s="4">
        <f t="shared" si="23"/>
        <v>2</v>
      </c>
      <c r="AY319" s="93"/>
      <c r="AZ319" s="4">
        <v>2.5</v>
      </c>
    </row>
    <row r="320" spans="2:52" ht="14.25" customHeight="1" x14ac:dyDescent="0.25">
      <c r="B320" s="92" t="s">
        <v>1273</v>
      </c>
      <c r="C320" s="6" t="s">
        <v>1274</v>
      </c>
      <c r="D320" s="7" t="s">
        <v>7</v>
      </c>
      <c r="E320" s="9" t="s">
        <v>17</v>
      </c>
      <c r="F320" s="137" t="s">
        <v>1555</v>
      </c>
      <c r="G320" s="137" t="s">
        <v>1555</v>
      </c>
      <c r="H320" s="7"/>
      <c r="I320" s="7"/>
      <c r="J320" s="7"/>
      <c r="K320" s="7"/>
      <c r="L320" s="7"/>
      <c r="M320" s="122"/>
      <c r="N320" s="122"/>
      <c r="O320" s="122"/>
      <c r="P320" s="96"/>
      <c r="Q320" s="7"/>
      <c r="R320" s="93">
        <v>2.1222936282616314E-2</v>
      </c>
      <c r="S320" s="93">
        <v>2.6172283714860352</v>
      </c>
      <c r="T320" s="122"/>
      <c r="U320" s="7"/>
      <c r="V320" s="7"/>
      <c r="W320" s="122"/>
      <c r="X320" s="122"/>
      <c r="Y320" s="122"/>
      <c r="Z320" s="7"/>
      <c r="AA320" s="7">
        <v>1</v>
      </c>
      <c r="AB320" s="7"/>
      <c r="AC320" s="7"/>
      <c r="AD320" s="7"/>
      <c r="AE320" s="7">
        <v>1</v>
      </c>
      <c r="AF320" s="7"/>
      <c r="AG320" s="7"/>
      <c r="AH320" s="7"/>
      <c r="AI320" s="7"/>
      <c r="AJ320" s="7"/>
      <c r="AK320" s="7"/>
      <c r="AL320" s="7"/>
      <c r="AM320" s="16">
        <v>44911</v>
      </c>
      <c r="AN320" s="4"/>
      <c r="AO320" s="6" t="s">
        <v>1020</v>
      </c>
      <c r="AP320" s="4" t="s">
        <v>371</v>
      </c>
      <c r="AQ320" s="4"/>
      <c r="AR320" s="4"/>
      <c r="AS320" s="11">
        <v>300</v>
      </c>
      <c r="AT320" s="11">
        <v>50</v>
      </c>
      <c r="AU320" s="11"/>
      <c r="AV320" s="11"/>
      <c r="AW320" s="4"/>
      <c r="AX320" s="4">
        <f t="shared" si="23"/>
        <v>2</v>
      </c>
      <c r="AY320" s="93">
        <v>1</v>
      </c>
      <c r="AZ320" s="4">
        <v>1.5</v>
      </c>
    </row>
    <row r="321" spans="1:52" ht="14.25" customHeight="1" x14ac:dyDescent="0.25">
      <c r="B321" s="92" t="s">
        <v>370</v>
      </c>
      <c r="C321" s="6" t="s">
        <v>1275</v>
      </c>
      <c r="D321" s="7" t="s">
        <v>7</v>
      </c>
      <c r="E321" s="9" t="s">
        <v>19</v>
      </c>
      <c r="F321" s="137" t="s">
        <v>1555</v>
      </c>
      <c r="G321" s="137" t="s">
        <v>1555</v>
      </c>
      <c r="H321" s="7"/>
      <c r="I321" s="7"/>
      <c r="J321" s="7"/>
      <c r="K321" s="7"/>
      <c r="L321" s="7"/>
      <c r="M321" s="122"/>
      <c r="N321" s="122"/>
      <c r="O321" s="122"/>
      <c r="P321" s="96"/>
      <c r="Q321" s="7"/>
      <c r="R321" s="93">
        <v>2.1222936282616314E-2</v>
      </c>
      <c r="S321" s="93">
        <v>2.6172283714860352</v>
      </c>
      <c r="T321" s="122"/>
      <c r="U321" s="7"/>
      <c r="V321" s="7"/>
      <c r="W321" s="122"/>
      <c r="X321" s="122"/>
      <c r="Y321" s="122"/>
      <c r="Z321" s="7"/>
      <c r="AA321" s="7">
        <v>1</v>
      </c>
      <c r="AB321" s="7"/>
      <c r="AC321" s="7"/>
      <c r="AD321" s="7"/>
      <c r="AE321" s="7">
        <v>1</v>
      </c>
      <c r="AF321" s="7"/>
      <c r="AG321" s="7"/>
      <c r="AH321" s="7"/>
      <c r="AI321" s="7"/>
      <c r="AJ321" s="7"/>
      <c r="AK321" s="7"/>
      <c r="AL321" s="7"/>
      <c r="AM321" s="16">
        <v>44911</v>
      </c>
      <c r="AN321" s="4"/>
      <c r="AO321" s="6" t="s">
        <v>1020</v>
      </c>
      <c r="AP321" s="4" t="s">
        <v>371</v>
      </c>
      <c r="AQ321" s="4"/>
      <c r="AR321" s="4"/>
      <c r="AS321" s="11">
        <v>300</v>
      </c>
      <c r="AT321" s="11">
        <v>50</v>
      </c>
      <c r="AU321" s="11"/>
      <c r="AV321" s="11"/>
      <c r="AW321" s="4"/>
      <c r="AX321" s="4">
        <f t="shared" si="23"/>
        <v>2</v>
      </c>
      <c r="AY321" s="93">
        <v>1</v>
      </c>
      <c r="AZ321" s="4">
        <v>1.5</v>
      </c>
    </row>
    <row r="322" spans="1:52" ht="14.25" customHeight="1" x14ac:dyDescent="0.25">
      <c r="B322" s="112" t="s">
        <v>1276</v>
      </c>
      <c r="C322" s="6" t="s">
        <v>1277</v>
      </c>
      <c r="D322" s="8" t="s">
        <v>4</v>
      </c>
      <c r="E322" s="9" t="s">
        <v>26</v>
      </c>
      <c r="F322" s="9">
        <v>5</v>
      </c>
      <c r="G322" s="9"/>
      <c r="H322" s="9"/>
      <c r="I322" s="7"/>
      <c r="J322" s="7"/>
      <c r="K322" s="7"/>
      <c r="L322" s="7"/>
      <c r="M322" s="122"/>
      <c r="N322" s="122"/>
      <c r="O322" s="122"/>
      <c r="P322" s="96"/>
      <c r="Q322" s="7"/>
      <c r="R322" s="93">
        <v>2.9479888141859618</v>
      </c>
      <c r="S322" s="93">
        <v>1.8827777777777825</v>
      </c>
      <c r="T322" s="122" t="s">
        <v>1518</v>
      </c>
      <c r="U322" s="7"/>
      <c r="V322" s="7"/>
      <c r="W322" s="122" t="s">
        <v>1518</v>
      </c>
      <c r="X322" s="122"/>
      <c r="Y322" s="122" t="s">
        <v>1518</v>
      </c>
      <c r="Z322" s="7"/>
      <c r="AA322" s="7"/>
      <c r="AB322" s="7">
        <v>1</v>
      </c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16">
        <v>44169</v>
      </c>
      <c r="AN322" s="4"/>
      <c r="AO322" s="4" t="s">
        <v>163</v>
      </c>
      <c r="AP322" s="4"/>
      <c r="AQ322" s="6"/>
      <c r="AR322" s="4"/>
      <c r="AS322" s="11">
        <v>160</v>
      </c>
      <c r="AT322" s="11"/>
      <c r="AU322" s="11"/>
      <c r="AV322" s="11"/>
      <c r="AW322" s="4"/>
      <c r="AX322" s="4">
        <f t="shared" si="23"/>
        <v>1</v>
      </c>
      <c r="AY322" s="93"/>
      <c r="AZ322" s="4">
        <v>1</v>
      </c>
    </row>
    <row r="323" spans="1:52" ht="14.25" customHeight="1" x14ac:dyDescent="0.25">
      <c r="B323" s="112" t="s">
        <v>1278</v>
      </c>
      <c r="C323" s="6" t="s">
        <v>1279</v>
      </c>
      <c r="D323" s="8" t="s">
        <v>118</v>
      </c>
      <c r="E323" s="8" t="s">
        <v>21</v>
      </c>
      <c r="F323" s="8"/>
      <c r="G323" s="8"/>
      <c r="H323" s="8"/>
      <c r="I323" s="7"/>
      <c r="J323" s="7"/>
      <c r="K323" s="7"/>
      <c r="L323" s="7"/>
      <c r="M323" s="122"/>
      <c r="N323" s="122"/>
      <c r="O323" s="122"/>
      <c r="P323" s="96"/>
      <c r="Q323" s="7"/>
      <c r="R323" s="93">
        <v>0.17670522406674652</v>
      </c>
      <c r="S323" s="93">
        <v>0.15397427331068347</v>
      </c>
      <c r="T323" s="122" t="s">
        <v>1518</v>
      </c>
      <c r="U323" s="7"/>
      <c r="V323" s="7"/>
      <c r="W323" s="122"/>
      <c r="X323" s="122"/>
      <c r="Y323" s="122"/>
      <c r="Z323" s="7"/>
      <c r="AA323" s="7">
        <v>1</v>
      </c>
      <c r="AB323" s="7">
        <v>1</v>
      </c>
      <c r="AC323" s="7">
        <v>1</v>
      </c>
      <c r="AD323" s="7">
        <v>1</v>
      </c>
      <c r="AE323" s="7">
        <v>1</v>
      </c>
      <c r="AF323" s="7">
        <v>1</v>
      </c>
      <c r="AG323" s="7">
        <v>1</v>
      </c>
      <c r="AH323" s="7">
        <v>1</v>
      </c>
      <c r="AI323" s="7">
        <v>1</v>
      </c>
      <c r="AJ323" s="7">
        <v>1</v>
      </c>
      <c r="AK323" s="7">
        <v>1</v>
      </c>
      <c r="AL323" s="7">
        <v>1</v>
      </c>
      <c r="AM323" s="16">
        <v>44169</v>
      </c>
      <c r="AN323" s="4"/>
      <c r="AO323" s="4" t="s">
        <v>332</v>
      </c>
      <c r="AP323" s="4"/>
      <c r="AQ323" s="6"/>
      <c r="AR323" s="4"/>
      <c r="AS323" s="11">
        <v>733</v>
      </c>
      <c r="AT323" s="11"/>
      <c r="AU323" s="11"/>
      <c r="AV323" s="11"/>
      <c r="AW323" s="4"/>
      <c r="AX323" s="4">
        <f t="shared" si="23"/>
        <v>12</v>
      </c>
      <c r="AY323" s="93"/>
      <c r="AZ323" s="4">
        <v>1</v>
      </c>
    </row>
    <row r="324" spans="1:52" ht="14.25" customHeight="1" x14ac:dyDescent="0.25">
      <c r="B324" s="112" t="s">
        <v>2047</v>
      </c>
      <c r="C324" s="6" t="s">
        <v>2048</v>
      </c>
      <c r="D324" s="9" t="s">
        <v>4</v>
      </c>
      <c r="E324" s="9" t="s">
        <v>109</v>
      </c>
      <c r="F324" s="9">
        <v>27</v>
      </c>
      <c r="G324" s="9"/>
      <c r="H324" s="9"/>
      <c r="I324" s="7"/>
      <c r="J324" s="7"/>
      <c r="K324" s="7"/>
      <c r="L324" s="7"/>
      <c r="M324" s="122"/>
      <c r="N324" s="122"/>
      <c r="O324" s="122"/>
      <c r="P324" s="96"/>
      <c r="Q324" s="7"/>
      <c r="R324" s="93">
        <f t="shared" ref="R324" si="29">+BN324</f>
        <v>0</v>
      </c>
      <c r="S324" s="93">
        <f t="shared" ref="S324" si="30">+BS324</f>
        <v>0</v>
      </c>
      <c r="T324" s="122" t="s">
        <v>1518</v>
      </c>
      <c r="U324" s="7"/>
      <c r="V324" s="7"/>
      <c r="W324" s="122" t="s">
        <v>1518</v>
      </c>
      <c r="X324" s="122"/>
      <c r="Y324" s="122"/>
      <c r="Z324" s="7"/>
      <c r="AA324" s="7"/>
      <c r="AB324" s="7"/>
      <c r="AC324" s="7"/>
      <c r="AD324" s="7">
        <v>1</v>
      </c>
      <c r="AE324" s="7"/>
      <c r="AF324" s="7"/>
      <c r="AG324" s="7"/>
      <c r="AH324" s="7"/>
      <c r="AI324" s="7"/>
      <c r="AJ324" s="7"/>
      <c r="AK324" s="7"/>
      <c r="AL324" s="7"/>
      <c r="AM324" s="16">
        <v>45295</v>
      </c>
      <c r="AN324" s="4"/>
      <c r="AO324" s="11" t="s">
        <v>989</v>
      </c>
      <c r="AP324" s="4"/>
      <c r="AQ324" s="4"/>
      <c r="AR324" s="4"/>
      <c r="AS324" s="11">
        <v>100</v>
      </c>
      <c r="AT324" s="11"/>
      <c r="AU324" s="11"/>
      <c r="AV324" s="11"/>
      <c r="AW324" s="4"/>
      <c r="AX324" s="4">
        <f t="shared" ref="AX324" si="31">SUM(AA324:AL324)</f>
        <v>1</v>
      </c>
      <c r="AY324" s="93"/>
      <c r="AZ324" s="267">
        <v>1.5</v>
      </c>
    </row>
    <row r="325" spans="1:52" ht="14.25" customHeight="1" x14ac:dyDescent="0.25">
      <c r="B325" s="112" t="s">
        <v>924</v>
      </c>
      <c r="C325" s="6" t="s">
        <v>1280</v>
      </c>
      <c r="D325" s="8" t="s">
        <v>4</v>
      </c>
      <c r="E325" s="8" t="s">
        <v>21</v>
      </c>
      <c r="F325" s="9">
        <v>5</v>
      </c>
      <c r="G325" s="9">
        <v>15</v>
      </c>
      <c r="H325" s="9"/>
      <c r="I325" s="7"/>
      <c r="J325" s="7"/>
      <c r="K325" s="7"/>
      <c r="L325" s="7"/>
      <c r="M325" s="122"/>
      <c r="N325" s="122"/>
      <c r="O325" s="122"/>
      <c r="P325" s="96"/>
      <c r="Q325" s="7"/>
      <c r="R325" s="93">
        <v>0.23315293144346194</v>
      </c>
      <c r="S325" s="93">
        <v>107.63926136363615</v>
      </c>
      <c r="T325" s="122" t="s">
        <v>1518</v>
      </c>
      <c r="U325" s="7"/>
      <c r="V325" s="7"/>
      <c r="W325" s="122"/>
      <c r="X325" s="122"/>
      <c r="Y325" s="122" t="s">
        <v>1518</v>
      </c>
      <c r="Z325" s="7"/>
      <c r="AA325" s="7"/>
      <c r="AB325" s="7">
        <v>1</v>
      </c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16">
        <v>44169</v>
      </c>
      <c r="AN325" s="4"/>
      <c r="AO325" s="6" t="s">
        <v>1017</v>
      </c>
      <c r="AP325" s="6" t="s">
        <v>1015</v>
      </c>
      <c r="AQ325" s="4"/>
      <c r="AR325" s="4"/>
      <c r="AS325" s="11">
        <v>350</v>
      </c>
      <c r="AT325" s="11">
        <v>150</v>
      </c>
      <c r="AU325" s="11"/>
      <c r="AV325" s="11"/>
      <c r="AW325" s="4"/>
      <c r="AX325" s="4">
        <f t="shared" si="23"/>
        <v>1</v>
      </c>
      <c r="AY325" s="93"/>
      <c r="AZ325" s="4">
        <v>1.3</v>
      </c>
    </row>
    <row r="326" spans="1:52" ht="14.25" customHeight="1" x14ac:dyDescent="0.25">
      <c r="B326" s="112" t="s">
        <v>1281</v>
      </c>
      <c r="C326" s="6" t="s">
        <v>1282</v>
      </c>
      <c r="D326" s="8" t="s">
        <v>4</v>
      </c>
      <c r="E326" s="8" t="s">
        <v>1700</v>
      </c>
      <c r="F326" s="9">
        <v>5</v>
      </c>
      <c r="G326" s="9"/>
      <c r="H326" s="9"/>
      <c r="I326" s="7"/>
      <c r="J326" s="7"/>
      <c r="K326" s="7"/>
      <c r="L326" s="7"/>
      <c r="M326" s="122"/>
      <c r="N326" s="122"/>
      <c r="O326" s="122"/>
      <c r="P326" s="96"/>
      <c r="Q326" s="7"/>
      <c r="R326" s="93">
        <v>0.12819947377256399</v>
      </c>
      <c r="S326" s="93">
        <v>134.78977272727238</v>
      </c>
      <c r="T326" s="122" t="s">
        <v>1518</v>
      </c>
      <c r="U326" s="7"/>
      <c r="V326" s="7"/>
      <c r="W326" s="122"/>
      <c r="X326" s="122"/>
      <c r="Y326" s="122" t="s">
        <v>1518</v>
      </c>
      <c r="Z326" s="7"/>
      <c r="AA326" s="7"/>
      <c r="AB326" s="7">
        <v>1</v>
      </c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16">
        <v>44169</v>
      </c>
      <c r="AN326" s="4"/>
      <c r="AO326" s="6" t="s">
        <v>1017</v>
      </c>
      <c r="AP326" s="4"/>
      <c r="AQ326" s="4"/>
      <c r="AR326" s="4"/>
      <c r="AS326" s="11">
        <v>700</v>
      </c>
      <c r="AT326" s="11"/>
      <c r="AU326" s="11"/>
      <c r="AV326" s="11"/>
      <c r="AW326" s="4"/>
      <c r="AX326" s="4">
        <f t="shared" si="23"/>
        <v>1</v>
      </c>
      <c r="AY326" s="93"/>
      <c r="AZ326" s="4">
        <v>1</v>
      </c>
    </row>
    <row r="327" spans="1:52" ht="14.25" customHeight="1" x14ac:dyDescent="0.25">
      <c r="B327" s="112" t="s">
        <v>1283</v>
      </c>
      <c r="C327" s="6" t="s">
        <v>1284</v>
      </c>
      <c r="D327" s="8" t="s">
        <v>4</v>
      </c>
      <c r="E327" s="8" t="s">
        <v>54</v>
      </c>
      <c r="F327" s="9">
        <v>5</v>
      </c>
      <c r="G327" s="9"/>
      <c r="H327" s="9"/>
      <c r="I327" s="7"/>
      <c r="J327" s="7"/>
      <c r="K327" s="7"/>
      <c r="L327" s="7"/>
      <c r="M327" s="122"/>
      <c r="N327" s="122"/>
      <c r="O327" s="122"/>
      <c r="P327" s="96"/>
      <c r="Q327" s="7"/>
      <c r="R327" s="93">
        <v>0.12819947377256399</v>
      </c>
      <c r="S327" s="93">
        <v>134.78977272727238</v>
      </c>
      <c r="T327" s="122" t="s">
        <v>1518</v>
      </c>
      <c r="U327" s="7"/>
      <c r="V327" s="7"/>
      <c r="W327" s="122"/>
      <c r="X327" s="122"/>
      <c r="Y327" s="122" t="s">
        <v>1518</v>
      </c>
      <c r="Z327" s="7"/>
      <c r="AA327" s="7"/>
      <c r="AB327" s="7">
        <v>1</v>
      </c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16">
        <v>44169</v>
      </c>
      <c r="AN327" s="4"/>
      <c r="AO327" s="6" t="s">
        <v>1017</v>
      </c>
      <c r="AP327" s="4"/>
      <c r="AQ327" s="4"/>
      <c r="AR327" s="4"/>
      <c r="AS327" s="11">
        <v>700</v>
      </c>
      <c r="AT327" s="11"/>
      <c r="AU327" s="11"/>
      <c r="AV327" s="11"/>
      <c r="AW327" s="4"/>
      <c r="AX327" s="4">
        <f t="shared" si="23"/>
        <v>1</v>
      </c>
      <c r="AY327" s="93"/>
      <c r="AZ327" s="4">
        <v>1</v>
      </c>
    </row>
    <row r="328" spans="1:52" ht="14.25" customHeight="1" x14ac:dyDescent="0.25">
      <c r="B328" s="112" t="s">
        <v>1524</v>
      </c>
      <c r="C328" s="6" t="s">
        <v>1285</v>
      </c>
      <c r="D328" s="8" t="s">
        <v>6</v>
      </c>
      <c r="E328" s="9" t="s">
        <v>17</v>
      </c>
      <c r="F328" s="8"/>
      <c r="G328" s="8"/>
      <c r="H328" s="8"/>
      <c r="I328" s="7"/>
      <c r="J328" s="7"/>
      <c r="K328" s="7"/>
      <c r="L328" s="7"/>
      <c r="M328" s="122"/>
      <c r="N328" s="122"/>
      <c r="O328" s="122"/>
      <c r="P328" s="96" t="s">
        <v>352</v>
      </c>
      <c r="Q328" s="7"/>
      <c r="R328" s="93">
        <v>2.2200292713830051E-3</v>
      </c>
      <c r="S328" s="93">
        <v>3.9394690265486768E-2</v>
      </c>
      <c r="T328" s="122"/>
      <c r="U328" s="7"/>
      <c r="V328" s="7"/>
      <c r="W328" s="122"/>
      <c r="X328" s="122"/>
      <c r="Y328" s="122" t="s">
        <v>1518</v>
      </c>
      <c r="Z328" s="7"/>
      <c r="AA328" s="7">
        <v>2</v>
      </c>
      <c r="AB328" s="7">
        <v>2</v>
      </c>
      <c r="AC328" s="7">
        <v>2</v>
      </c>
      <c r="AD328" s="7">
        <v>2</v>
      </c>
      <c r="AE328" s="7">
        <v>2</v>
      </c>
      <c r="AF328" s="7">
        <v>2</v>
      </c>
      <c r="AG328" s="7">
        <v>2</v>
      </c>
      <c r="AH328" s="7">
        <v>2</v>
      </c>
      <c r="AI328" s="7">
        <v>2</v>
      </c>
      <c r="AJ328" s="7">
        <v>2</v>
      </c>
      <c r="AK328" s="7">
        <v>2</v>
      </c>
      <c r="AL328" s="7">
        <v>2</v>
      </c>
      <c r="AM328" s="16">
        <v>44169</v>
      </c>
      <c r="AN328" s="4"/>
      <c r="AO328" s="4" t="s">
        <v>356</v>
      </c>
      <c r="AP328" s="4"/>
      <c r="AQ328" s="4"/>
      <c r="AR328" s="4"/>
      <c r="AS328" s="11">
        <v>40</v>
      </c>
      <c r="AT328" s="11"/>
      <c r="AU328" s="11"/>
      <c r="AV328" s="11"/>
      <c r="AW328" s="4"/>
      <c r="AX328" s="4">
        <f t="shared" si="23"/>
        <v>24</v>
      </c>
      <c r="AY328" s="93"/>
      <c r="AZ328" s="4">
        <v>5</v>
      </c>
    </row>
    <row r="329" spans="1:52" ht="14.25" customHeight="1" x14ac:dyDescent="0.25">
      <c r="B329" s="112" t="s">
        <v>1286</v>
      </c>
      <c r="C329" s="6" t="s">
        <v>1287</v>
      </c>
      <c r="D329" s="8" t="s">
        <v>6</v>
      </c>
      <c r="E329" s="8" t="s">
        <v>21</v>
      </c>
      <c r="F329" s="8"/>
      <c r="G329" s="8"/>
      <c r="H329" s="8"/>
      <c r="I329" s="7"/>
      <c r="J329" s="7"/>
      <c r="K329" s="7"/>
      <c r="L329" s="7"/>
      <c r="M329" s="122"/>
      <c r="N329" s="122"/>
      <c r="O329" s="122"/>
      <c r="P329" s="96" t="s">
        <v>352</v>
      </c>
      <c r="Q329" s="7"/>
      <c r="R329" s="93">
        <v>3.8850512249202587E-3</v>
      </c>
      <c r="S329" s="93">
        <v>6.8940707964601847E-2</v>
      </c>
      <c r="T329" s="122"/>
      <c r="U329" s="7"/>
      <c r="V329" s="7"/>
      <c r="W329" s="122"/>
      <c r="X329" s="122"/>
      <c r="Y329" s="122" t="s">
        <v>1518</v>
      </c>
      <c r="Z329" s="7"/>
      <c r="AA329" s="7">
        <v>2</v>
      </c>
      <c r="AB329" s="7">
        <v>2</v>
      </c>
      <c r="AC329" s="7">
        <v>2</v>
      </c>
      <c r="AD329" s="7">
        <v>2</v>
      </c>
      <c r="AE329" s="7">
        <v>2</v>
      </c>
      <c r="AF329" s="7">
        <v>2</v>
      </c>
      <c r="AG329" s="7">
        <v>2</v>
      </c>
      <c r="AH329" s="7">
        <v>2</v>
      </c>
      <c r="AI329" s="7">
        <v>2</v>
      </c>
      <c r="AJ329" s="7">
        <v>2</v>
      </c>
      <c r="AK329" s="7">
        <v>2</v>
      </c>
      <c r="AL329" s="7">
        <v>2</v>
      </c>
      <c r="AM329" s="16">
        <v>44169</v>
      </c>
      <c r="AN329" s="4"/>
      <c r="AO329" s="4" t="s">
        <v>356</v>
      </c>
      <c r="AP329" s="4"/>
      <c r="AQ329" s="4"/>
      <c r="AR329" s="4"/>
      <c r="AS329" s="11">
        <v>50</v>
      </c>
      <c r="AT329" s="11"/>
      <c r="AU329" s="11"/>
      <c r="AV329" s="11"/>
      <c r="AW329" s="4"/>
      <c r="AX329" s="4">
        <f t="shared" si="23"/>
        <v>24</v>
      </c>
      <c r="AY329" s="93"/>
      <c r="AZ329" s="4">
        <v>7</v>
      </c>
    </row>
    <row r="330" spans="1:52" ht="14.25" customHeight="1" x14ac:dyDescent="0.25">
      <c r="B330" s="112" t="s">
        <v>1621</v>
      </c>
      <c r="C330" s="6" t="s">
        <v>1673</v>
      </c>
      <c r="D330" s="9" t="s">
        <v>3</v>
      </c>
      <c r="E330" s="7" t="s">
        <v>26</v>
      </c>
      <c r="F330" s="9" t="s">
        <v>20</v>
      </c>
      <c r="G330" s="9"/>
      <c r="H330" s="9"/>
      <c r="I330" s="7"/>
      <c r="J330" s="7"/>
      <c r="K330" s="7"/>
      <c r="L330" s="7"/>
      <c r="M330" s="122"/>
      <c r="N330" s="122"/>
      <c r="O330" s="122"/>
      <c r="P330" s="96"/>
      <c r="Q330" s="7"/>
      <c r="R330" s="93">
        <v>64.61058916832306</v>
      </c>
      <c r="S330" s="93">
        <v>14.885923566878985</v>
      </c>
      <c r="T330" s="122" t="s">
        <v>1518</v>
      </c>
      <c r="U330" s="7"/>
      <c r="V330" s="7"/>
      <c r="W330" s="124"/>
      <c r="X330" s="124"/>
      <c r="Y330" s="122" t="s">
        <v>1518</v>
      </c>
      <c r="Z330" s="12"/>
      <c r="AA330" s="7"/>
      <c r="AB330" s="7"/>
      <c r="AC330" s="7">
        <v>1</v>
      </c>
      <c r="AD330" s="7"/>
      <c r="AE330" s="7"/>
      <c r="AF330" s="7"/>
      <c r="AG330" s="7"/>
      <c r="AH330" s="7"/>
      <c r="AI330" s="7"/>
      <c r="AJ330" s="7"/>
      <c r="AK330" s="7"/>
      <c r="AL330" s="7"/>
      <c r="AM330" s="16">
        <v>44540</v>
      </c>
      <c r="AN330" s="4"/>
      <c r="AO330" s="6" t="s">
        <v>1332</v>
      </c>
      <c r="AP330" s="4"/>
      <c r="AQ330" s="4"/>
      <c r="AR330" s="4"/>
      <c r="AS330" s="11">
        <v>700</v>
      </c>
      <c r="AT330" s="11"/>
      <c r="AU330" s="11"/>
      <c r="AV330" s="11"/>
      <c r="AW330" s="4"/>
      <c r="AX330" s="4">
        <f t="shared" si="23"/>
        <v>1</v>
      </c>
      <c r="AY330" s="93"/>
      <c r="AZ330" s="4">
        <v>3</v>
      </c>
    </row>
    <row r="331" spans="1:52" ht="14.25" customHeight="1" x14ac:dyDescent="0.25">
      <c r="B331" s="112" t="s">
        <v>256</v>
      </c>
      <c r="C331" s="6" t="s">
        <v>1288</v>
      </c>
      <c r="D331" s="8" t="s">
        <v>4</v>
      </c>
      <c r="E331" s="9" t="s">
        <v>26</v>
      </c>
      <c r="F331" s="9">
        <v>5</v>
      </c>
      <c r="G331" s="9">
        <v>34</v>
      </c>
      <c r="H331" s="9"/>
      <c r="I331" s="7"/>
      <c r="J331" s="7"/>
      <c r="K331" s="7"/>
      <c r="L331" s="7" t="s">
        <v>14</v>
      </c>
      <c r="M331" s="122"/>
      <c r="N331" s="122"/>
      <c r="O331" s="122"/>
      <c r="P331" s="96"/>
      <c r="Q331" s="14">
        <v>0.3</v>
      </c>
      <c r="R331" s="93">
        <v>3.5567438848573989</v>
      </c>
      <c r="S331" s="93">
        <v>486.23347402597341</v>
      </c>
      <c r="T331" s="122" t="s">
        <v>1518</v>
      </c>
      <c r="U331" s="7"/>
      <c r="V331" s="7"/>
      <c r="W331" s="122"/>
      <c r="X331" s="122"/>
      <c r="Y331" s="122" t="s">
        <v>1518</v>
      </c>
      <c r="Z331" s="7"/>
      <c r="AA331" s="7"/>
      <c r="AB331" s="7"/>
      <c r="AC331" s="7">
        <v>1</v>
      </c>
      <c r="AD331" s="7"/>
      <c r="AE331" s="7"/>
      <c r="AF331" s="7"/>
      <c r="AG331" s="7"/>
      <c r="AH331" s="7"/>
      <c r="AI331" s="7"/>
      <c r="AJ331" s="7"/>
      <c r="AK331" s="7"/>
      <c r="AL331" s="7"/>
      <c r="AM331" s="16">
        <v>44169</v>
      </c>
      <c r="AN331" s="4"/>
      <c r="AO331" s="6" t="s">
        <v>1012</v>
      </c>
      <c r="AP331" s="4" t="s">
        <v>178</v>
      </c>
      <c r="AQ331" s="4"/>
      <c r="AR331" s="4"/>
      <c r="AS331" s="11">
        <v>233</v>
      </c>
      <c r="AT331" s="11">
        <v>60</v>
      </c>
      <c r="AU331" s="11"/>
      <c r="AV331" s="11"/>
      <c r="AW331" s="4"/>
      <c r="AX331" s="4">
        <f t="shared" si="23"/>
        <v>1</v>
      </c>
      <c r="AY331" s="93"/>
      <c r="AZ331" s="4">
        <v>1.5</v>
      </c>
    </row>
    <row r="332" spans="1:52" ht="14.25" customHeight="1" x14ac:dyDescent="0.25">
      <c r="B332" s="92" t="s">
        <v>1289</v>
      </c>
      <c r="C332" s="6" t="s">
        <v>1290</v>
      </c>
      <c r="D332" s="7" t="s">
        <v>7</v>
      </c>
      <c r="E332" s="8" t="s">
        <v>21</v>
      </c>
      <c r="F332" s="137" t="s">
        <v>1555</v>
      </c>
      <c r="G332" s="7"/>
      <c r="H332" s="7"/>
      <c r="I332" s="7"/>
      <c r="J332" s="7"/>
      <c r="K332" s="7"/>
      <c r="L332" s="7"/>
      <c r="M332" s="122"/>
      <c r="N332" s="122"/>
      <c r="O332" s="122"/>
      <c r="P332" s="96"/>
      <c r="Q332" s="7"/>
      <c r="R332" s="93">
        <v>6.5387595185225203E-2</v>
      </c>
      <c r="S332" s="93">
        <v>0.97622807017543634</v>
      </c>
      <c r="T332" s="122" t="s">
        <v>1518</v>
      </c>
      <c r="U332" s="7"/>
      <c r="V332" s="7"/>
      <c r="W332" s="122"/>
      <c r="X332" s="122"/>
      <c r="Y332" s="122"/>
      <c r="Z332" s="7"/>
      <c r="AA332" s="7">
        <v>1</v>
      </c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16">
        <v>44169</v>
      </c>
      <c r="AN332" s="4"/>
      <c r="AO332" s="4" t="s">
        <v>372</v>
      </c>
      <c r="AP332" s="4"/>
      <c r="AQ332" s="4"/>
      <c r="AR332" s="4"/>
      <c r="AS332" s="11">
        <v>250</v>
      </c>
      <c r="AT332" s="11"/>
      <c r="AU332" s="11"/>
      <c r="AV332" s="11"/>
      <c r="AW332" s="4"/>
      <c r="AX332" s="4">
        <f t="shared" ref="AX332:AX357" si="32">SUM(AA332:AL332)</f>
        <v>1</v>
      </c>
      <c r="AY332" s="93"/>
      <c r="AZ332" s="4">
        <v>0.6</v>
      </c>
    </row>
    <row r="333" spans="1:52" ht="14.25" customHeight="1" x14ac:dyDescent="0.25">
      <c r="B333" s="92" t="s">
        <v>373</v>
      </c>
      <c r="C333" s="6" t="s">
        <v>1291</v>
      </c>
      <c r="D333" s="7" t="s">
        <v>7</v>
      </c>
      <c r="E333" s="9" t="s">
        <v>26</v>
      </c>
      <c r="F333" s="137" t="s">
        <v>1555</v>
      </c>
      <c r="G333" s="7"/>
      <c r="H333" s="7"/>
      <c r="I333" s="7"/>
      <c r="J333" s="7"/>
      <c r="K333" s="7"/>
      <c r="L333" s="7"/>
      <c r="M333" s="122"/>
      <c r="N333" s="122"/>
      <c r="O333" s="122"/>
      <c r="P333" s="96"/>
      <c r="Q333" s="7"/>
      <c r="R333" s="93">
        <v>6.5387595185225203E-2</v>
      </c>
      <c r="S333" s="93">
        <v>0.97622807017543634</v>
      </c>
      <c r="T333" s="122"/>
      <c r="U333" s="7"/>
      <c r="V333" s="7"/>
      <c r="W333" s="122" t="s">
        <v>1518</v>
      </c>
      <c r="X333" s="122"/>
      <c r="Y333" s="122"/>
      <c r="Z333" s="7"/>
      <c r="AA333" s="7">
        <v>1</v>
      </c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16">
        <v>44169</v>
      </c>
      <c r="AN333" s="4"/>
      <c r="AO333" s="4" t="s">
        <v>372</v>
      </c>
      <c r="AP333" s="4"/>
      <c r="AQ333" s="4"/>
      <c r="AR333" s="4"/>
      <c r="AS333" s="11">
        <v>250</v>
      </c>
      <c r="AT333" s="11"/>
      <c r="AU333" s="11"/>
      <c r="AV333" s="11"/>
      <c r="AW333" s="4"/>
      <c r="AX333" s="4">
        <f t="shared" si="32"/>
        <v>1</v>
      </c>
      <c r="AY333" s="93"/>
      <c r="AZ333" s="4">
        <v>0.6</v>
      </c>
    </row>
    <row r="334" spans="1:52" ht="14.25" customHeight="1" x14ac:dyDescent="0.25">
      <c r="A334" s="1">
        <v>11</v>
      </c>
      <c r="B334" s="112" t="s">
        <v>257</v>
      </c>
      <c r="C334" s="6" t="s">
        <v>1292</v>
      </c>
      <c r="D334" s="8" t="s">
        <v>4</v>
      </c>
      <c r="E334" s="8" t="s">
        <v>13</v>
      </c>
      <c r="F334" s="9">
        <v>12</v>
      </c>
      <c r="G334" s="9">
        <v>15</v>
      </c>
      <c r="H334" s="9"/>
      <c r="I334" s="7">
        <v>6</v>
      </c>
      <c r="J334" s="7"/>
      <c r="K334" s="7"/>
      <c r="L334" s="7" t="s">
        <v>14</v>
      </c>
      <c r="M334" s="122"/>
      <c r="N334" s="122"/>
      <c r="O334" s="122"/>
      <c r="P334" s="96"/>
      <c r="Q334" s="14">
        <v>0.3</v>
      </c>
      <c r="R334" s="93">
        <v>16.552595829761422</v>
      </c>
      <c r="S334" s="93">
        <v>218.6711904761903</v>
      </c>
      <c r="T334" s="122" t="s">
        <v>1518</v>
      </c>
      <c r="U334" s="7"/>
      <c r="V334" s="7"/>
      <c r="W334" s="122"/>
      <c r="X334" s="122"/>
      <c r="Y334" s="122" t="s">
        <v>1518</v>
      </c>
      <c r="Z334" s="7"/>
      <c r="AA334" s="7">
        <v>1</v>
      </c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16">
        <v>44169</v>
      </c>
      <c r="AN334" s="4"/>
      <c r="AO334" s="6" t="s">
        <v>999</v>
      </c>
      <c r="AP334" s="4" t="s">
        <v>143</v>
      </c>
      <c r="AQ334" s="4"/>
      <c r="AR334" s="4"/>
      <c r="AS334" s="53">
        <v>200</v>
      </c>
      <c r="AT334" s="53">
        <v>400</v>
      </c>
      <c r="AU334" s="11"/>
      <c r="AV334" s="11"/>
      <c r="AW334" s="4"/>
      <c r="AX334" s="4">
        <f t="shared" si="32"/>
        <v>1</v>
      </c>
      <c r="AY334" s="93"/>
      <c r="AZ334" s="4">
        <v>0.4</v>
      </c>
    </row>
    <row r="335" spans="1:52" ht="14.25" customHeight="1" x14ac:dyDescent="0.25">
      <c r="B335" s="112" t="s">
        <v>258</v>
      </c>
      <c r="C335" s="6" t="s">
        <v>1292</v>
      </c>
      <c r="D335" s="8" t="s">
        <v>4</v>
      </c>
      <c r="E335" s="8" t="s">
        <v>13</v>
      </c>
      <c r="F335" s="9">
        <v>12</v>
      </c>
      <c r="G335" s="9">
        <v>15</v>
      </c>
      <c r="H335" s="9"/>
      <c r="I335" s="7">
        <v>6</v>
      </c>
      <c r="J335" s="7"/>
      <c r="K335" s="7"/>
      <c r="L335" s="7" t="s">
        <v>120</v>
      </c>
      <c r="M335" s="122"/>
      <c r="N335" s="122"/>
      <c r="O335" s="122"/>
      <c r="P335" s="96"/>
      <c r="Q335" s="14">
        <v>0.3</v>
      </c>
      <c r="R335" s="93">
        <v>24.82889374464213</v>
      </c>
      <c r="S335" s="93">
        <v>328.00678571428546</v>
      </c>
      <c r="T335" s="122" t="s">
        <v>1518</v>
      </c>
      <c r="U335" s="7"/>
      <c r="V335" s="7"/>
      <c r="W335" s="122"/>
      <c r="X335" s="122"/>
      <c r="Y335" s="122" t="s">
        <v>1518</v>
      </c>
      <c r="Z335" s="7"/>
      <c r="AA335" s="7">
        <v>1</v>
      </c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16">
        <v>44169</v>
      </c>
      <c r="AN335" s="4"/>
      <c r="AO335" s="6" t="s">
        <v>999</v>
      </c>
      <c r="AP335" s="4" t="s">
        <v>143</v>
      </c>
      <c r="AQ335" s="4"/>
      <c r="AR335" s="4"/>
      <c r="AS335" s="53">
        <v>200</v>
      </c>
      <c r="AT335" s="53">
        <v>400</v>
      </c>
      <c r="AU335" s="11"/>
      <c r="AV335" s="11"/>
      <c r="AW335" s="4"/>
      <c r="AX335" s="4">
        <f t="shared" si="32"/>
        <v>1</v>
      </c>
      <c r="AY335" s="93"/>
      <c r="AZ335" s="4">
        <v>0.6</v>
      </c>
    </row>
    <row r="336" spans="1:52" ht="14.25" customHeight="1" x14ac:dyDescent="0.25">
      <c r="B336" s="112" t="s">
        <v>1490</v>
      </c>
      <c r="C336" s="6" t="s">
        <v>1293</v>
      </c>
      <c r="D336" s="8" t="s">
        <v>4</v>
      </c>
      <c r="E336" s="9" t="s">
        <v>17</v>
      </c>
      <c r="F336" s="9">
        <v>14</v>
      </c>
      <c r="G336" s="9"/>
      <c r="H336" s="9"/>
      <c r="I336" s="7">
        <v>20</v>
      </c>
      <c r="J336" s="7">
        <v>20</v>
      </c>
      <c r="K336" s="7"/>
      <c r="L336" s="7" t="s">
        <v>80</v>
      </c>
      <c r="M336" s="122"/>
      <c r="N336" s="122"/>
      <c r="O336" s="122"/>
      <c r="P336" s="96"/>
      <c r="Q336" s="7"/>
      <c r="R336" s="93">
        <v>8.2530898715917562</v>
      </c>
      <c r="S336" s="93">
        <v>769.78714285714273</v>
      </c>
      <c r="T336" s="122" t="s">
        <v>1518</v>
      </c>
      <c r="U336" s="7"/>
      <c r="V336" s="7"/>
      <c r="W336" s="122" t="s">
        <v>1518</v>
      </c>
      <c r="X336" s="122"/>
      <c r="Y336" s="122"/>
      <c r="Z336" s="7"/>
      <c r="AA336" s="7"/>
      <c r="AB336" s="7"/>
      <c r="AC336" s="7">
        <v>1</v>
      </c>
      <c r="AD336" s="7"/>
      <c r="AE336" s="7"/>
      <c r="AF336" s="7"/>
      <c r="AG336" s="7"/>
      <c r="AH336" s="7"/>
      <c r="AI336" s="7"/>
      <c r="AJ336" s="7"/>
      <c r="AK336" s="7"/>
      <c r="AL336" s="7"/>
      <c r="AM336" s="16">
        <v>44169</v>
      </c>
      <c r="AN336" s="4"/>
      <c r="AO336" s="6" t="s">
        <v>1025</v>
      </c>
      <c r="AP336" s="4"/>
      <c r="AQ336" s="4"/>
      <c r="AR336" s="4"/>
      <c r="AS336" s="11">
        <v>10.6</v>
      </c>
      <c r="AT336" s="11"/>
      <c r="AU336" s="11"/>
      <c r="AV336" s="11"/>
      <c r="AW336" s="4"/>
      <c r="AX336" s="4">
        <f t="shared" si="32"/>
        <v>1</v>
      </c>
      <c r="AY336" s="93">
        <v>2</v>
      </c>
      <c r="AZ336" s="4">
        <v>2</v>
      </c>
    </row>
    <row r="337" spans="2:52" ht="14.25" customHeight="1" x14ac:dyDescent="0.25">
      <c r="B337" s="112" t="s">
        <v>1491</v>
      </c>
      <c r="C337" s="6" t="s">
        <v>1293</v>
      </c>
      <c r="D337" s="8" t="s">
        <v>4</v>
      </c>
      <c r="E337" s="9" t="s">
        <v>17</v>
      </c>
      <c r="F337" s="9">
        <v>14</v>
      </c>
      <c r="G337" s="9"/>
      <c r="H337" s="9"/>
      <c r="I337" s="7">
        <v>6</v>
      </c>
      <c r="J337" s="7">
        <v>6</v>
      </c>
      <c r="K337" s="7"/>
      <c r="L337" s="7" t="s">
        <v>120</v>
      </c>
      <c r="M337" s="122"/>
      <c r="N337" s="122"/>
      <c r="O337" s="122"/>
      <c r="P337" s="96"/>
      <c r="Q337" s="7"/>
      <c r="R337" s="93">
        <v>8.2530898715917562</v>
      </c>
      <c r="S337" s="93">
        <v>769.78714285714273</v>
      </c>
      <c r="T337" s="122" t="s">
        <v>1518</v>
      </c>
      <c r="U337" s="7"/>
      <c r="V337" s="7"/>
      <c r="W337" s="122" t="s">
        <v>1518</v>
      </c>
      <c r="X337" s="122"/>
      <c r="Y337" s="122"/>
      <c r="Z337" s="7"/>
      <c r="AA337" s="7"/>
      <c r="AB337" s="7"/>
      <c r="AC337" s="7">
        <v>1</v>
      </c>
      <c r="AD337" s="7"/>
      <c r="AE337" s="7"/>
      <c r="AF337" s="7"/>
      <c r="AG337" s="7"/>
      <c r="AH337" s="7"/>
      <c r="AI337" s="7"/>
      <c r="AJ337" s="7"/>
      <c r="AK337" s="7"/>
      <c r="AL337" s="7"/>
      <c r="AM337" s="16">
        <v>44169</v>
      </c>
      <c r="AN337" s="4"/>
      <c r="AO337" s="6" t="s">
        <v>1025</v>
      </c>
      <c r="AP337" s="4"/>
      <c r="AQ337" s="4"/>
      <c r="AR337" s="4"/>
      <c r="AS337" s="11">
        <v>10.6</v>
      </c>
      <c r="AT337" s="11"/>
      <c r="AU337" s="11"/>
      <c r="AV337" s="11"/>
      <c r="AW337" s="4"/>
      <c r="AX337" s="4">
        <f t="shared" si="32"/>
        <v>1</v>
      </c>
      <c r="AY337" s="93">
        <v>2</v>
      </c>
      <c r="AZ337" s="4">
        <v>2</v>
      </c>
    </row>
    <row r="338" spans="2:52" ht="14.25" customHeight="1" x14ac:dyDescent="0.25">
      <c r="B338" s="92" t="s">
        <v>374</v>
      </c>
      <c r="C338" s="6" t="s">
        <v>1686</v>
      </c>
      <c r="D338" s="7" t="s">
        <v>7</v>
      </c>
      <c r="E338" s="8" t="s">
        <v>1687</v>
      </c>
      <c r="F338" s="137" t="s">
        <v>1555</v>
      </c>
      <c r="G338" s="7"/>
      <c r="H338" s="7"/>
      <c r="I338" s="7"/>
      <c r="J338" s="7"/>
      <c r="K338" s="7"/>
      <c r="L338" s="7"/>
      <c r="M338" s="122"/>
      <c r="N338" s="122"/>
      <c r="O338" s="122"/>
      <c r="P338" s="96"/>
      <c r="Q338" s="7"/>
      <c r="R338" s="93">
        <v>6.5387595185225203E-2</v>
      </c>
      <c r="S338" s="93">
        <v>0.97622807017543634</v>
      </c>
      <c r="T338" s="122" t="s">
        <v>1518</v>
      </c>
      <c r="U338" s="7"/>
      <c r="V338" s="7"/>
      <c r="W338" s="122"/>
      <c r="X338" s="122"/>
      <c r="Y338" s="122"/>
      <c r="Z338" s="7"/>
      <c r="AA338" s="7">
        <v>1</v>
      </c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16">
        <v>44169</v>
      </c>
      <c r="AN338" s="4"/>
      <c r="AO338" s="11" t="s">
        <v>372</v>
      </c>
      <c r="AP338" s="4"/>
      <c r="AQ338" s="4"/>
      <c r="AR338" s="4"/>
      <c r="AS338" s="11">
        <v>250</v>
      </c>
      <c r="AT338" s="11"/>
      <c r="AU338" s="11"/>
      <c r="AV338" s="11"/>
      <c r="AW338" s="4"/>
      <c r="AX338" s="4">
        <f t="shared" si="32"/>
        <v>1</v>
      </c>
      <c r="AY338" s="93"/>
      <c r="AZ338" s="4">
        <v>0.6</v>
      </c>
    </row>
    <row r="339" spans="2:52" ht="14.25" customHeight="1" x14ac:dyDescent="0.25">
      <c r="B339" s="112" t="s">
        <v>259</v>
      </c>
      <c r="C339" s="6" t="s">
        <v>1294</v>
      </c>
      <c r="D339" s="8" t="s">
        <v>4</v>
      </c>
      <c r="E339" s="8" t="s">
        <v>29</v>
      </c>
      <c r="F339" s="9">
        <v>4</v>
      </c>
      <c r="G339" s="9">
        <v>12</v>
      </c>
      <c r="H339" s="9"/>
      <c r="I339" s="7"/>
      <c r="J339" s="7"/>
      <c r="K339" s="7"/>
      <c r="L339" s="7"/>
      <c r="M339" s="122"/>
      <c r="N339" s="122"/>
      <c r="O339" s="122"/>
      <c r="P339" s="96"/>
      <c r="Q339" s="14">
        <v>0.3</v>
      </c>
      <c r="R339" s="93">
        <v>9.1745733654138863</v>
      </c>
      <c r="S339" s="93">
        <v>382.32156250000003</v>
      </c>
      <c r="T339" s="122" t="s">
        <v>1518</v>
      </c>
      <c r="U339" s="7"/>
      <c r="V339" s="7"/>
      <c r="W339" s="122"/>
      <c r="X339" s="122"/>
      <c r="Y339" s="122" t="s">
        <v>1518</v>
      </c>
      <c r="Z339" s="7"/>
      <c r="AA339" s="7">
        <v>1</v>
      </c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16">
        <v>44169</v>
      </c>
      <c r="AN339" s="4"/>
      <c r="AO339" s="6" t="s">
        <v>1022</v>
      </c>
      <c r="AP339" s="11" t="s">
        <v>999</v>
      </c>
      <c r="AQ339" s="11"/>
      <c r="AR339" s="4"/>
      <c r="AS339" s="11">
        <v>500</v>
      </c>
      <c r="AT339" s="11">
        <v>33.299999999999997</v>
      </c>
      <c r="AU339" s="11"/>
      <c r="AV339" s="11"/>
      <c r="AW339" s="4"/>
      <c r="AX339" s="4">
        <f t="shared" si="32"/>
        <v>1</v>
      </c>
      <c r="AY339" s="93">
        <v>1</v>
      </c>
      <c r="AZ339" s="4">
        <v>2</v>
      </c>
    </row>
    <row r="340" spans="2:52" ht="14.25" customHeight="1" x14ac:dyDescent="0.25">
      <c r="B340" s="112" t="s">
        <v>260</v>
      </c>
      <c r="C340" s="6" t="s">
        <v>1295</v>
      </c>
      <c r="D340" s="8" t="s">
        <v>4</v>
      </c>
      <c r="E340" s="8" t="s">
        <v>13</v>
      </c>
      <c r="F340" s="9">
        <v>2</v>
      </c>
      <c r="G340" s="9"/>
      <c r="H340" s="9"/>
      <c r="I340" s="7"/>
      <c r="J340" s="7">
        <v>3</v>
      </c>
      <c r="K340" s="7"/>
      <c r="L340" s="7" t="s">
        <v>14</v>
      </c>
      <c r="M340" s="122"/>
      <c r="N340" s="122"/>
      <c r="O340" s="122"/>
      <c r="P340" s="96" t="s">
        <v>1608</v>
      </c>
      <c r="Q340" s="7"/>
      <c r="R340" s="93">
        <v>1.5223772272282301</v>
      </c>
      <c r="S340" s="93">
        <v>282.41666666666691</v>
      </c>
      <c r="T340" s="122" t="s">
        <v>1518</v>
      </c>
      <c r="U340" s="7"/>
      <c r="V340" s="7"/>
      <c r="W340" s="122"/>
      <c r="X340" s="122"/>
      <c r="Y340" s="122"/>
      <c r="Z340" s="7"/>
      <c r="AA340" s="7">
        <v>1</v>
      </c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16">
        <v>44169</v>
      </c>
      <c r="AN340" s="4"/>
      <c r="AO340" s="11" t="s">
        <v>261</v>
      </c>
      <c r="AP340" s="4"/>
      <c r="AQ340" s="4"/>
      <c r="AR340" s="4"/>
      <c r="AS340" s="11">
        <v>800</v>
      </c>
      <c r="AT340" s="11"/>
      <c r="AU340" s="11"/>
      <c r="AV340" s="11"/>
      <c r="AW340" s="4"/>
      <c r="AX340" s="4">
        <f t="shared" si="32"/>
        <v>1</v>
      </c>
      <c r="AY340" s="93"/>
      <c r="AZ340" s="4">
        <v>2.5000000000000001E-2</v>
      </c>
    </row>
    <row r="341" spans="2:52" ht="14.25" customHeight="1" x14ac:dyDescent="0.25">
      <c r="B341" s="112" t="s">
        <v>1838</v>
      </c>
      <c r="C341" s="6" t="s">
        <v>1840</v>
      </c>
      <c r="D341" s="8" t="s">
        <v>4</v>
      </c>
      <c r="E341" s="8" t="s">
        <v>29</v>
      </c>
      <c r="F341" s="9">
        <v>2</v>
      </c>
      <c r="G341" s="9"/>
      <c r="H341" s="9"/>
      <c r="I341" s="7">
        <v>6</v>
      </c>
      <c r="J341" s="7"/>
      <c r="K341" s="7"/>
      <c r="L341" s="7" t="s">
        <v>14</v>
      </c>
      <c r="M341" s="122"/>
      <c r="N341" s="122"/>
      <c r="O341" s="122"/>
      <c r="P341" s="96"/>
      <c r="Q341" s="7"/>
      <c r="R341" s="93">
        <v>3.495152312259183</v>
      </c>
      <c r="S341" s="93">
        <v>182.93661941489336</v>
      </c>
      <c r="T341" s="122" t="s">
        <v>1518</v>
      </c>
      <c r="U341" s="7"/>
      <c r="V341" s="7"/>
      <c r="W341" s="122"/>
      <c r="X341" s="122"/>
      <c r="Y341" s="122" t="s">
        <v>1518</v>
      </c>
      <c r="Z341" s="7"/>
      <c r="AA341" s="7"/>
      <c r="AB341" s="7"/>
      <c r="AC341" s="7"/>
      <c r="AD341" s="7">
        <v>1</v>
      </c>
      <c r="AE341" s="7"/>
      <c r="AF341" s="7"/>
      <c r="AG341" s="7"/>
      <c r="AH341" s="7"/>
      <c r="AI341" s="7"/>
      <c r="AJ341" s="7"/>
      <c r="AK341" s="7"/>
      <c r="AL341" s="7"/>
      <c r="AM341" s="16">
        <v>44889</v>
      </c>
      <c r="AN341" s="4"/>
      <c r="AO341" s="11" t="s">
        <v>195</v>
      </c>
      <c r="AP341" s="11" t="s">
        <v>211</v>
      </c>
      <c r="AQ341" s="4"/>
      <c r="AR341" s="4"/>
      <c r="AS341" s="11">
        <v>22.5</v>
      </c>
      <c r="AT341" s="11">
        <v>22.5</v>
      </c>
      <c r="AU341" s="11"/>
      <c r="AV341" s="11"/>
      <c r="AW341" s="4"/>
      <c r="AX341" s="4">
        <f t="shared" si="32"/>
        <v>1</v>
      </c>
      <c r="AY341" s="93">
        <v>1</v>
      </c>
      <c r="AZ341" s="4">
        <v>1.5</v>
      </c>
    </row>
    <row r="342" spans="2:52" ht="14.25" customHeight="1" x14ac:dyDescent="0.25">
      <c r="B342" s="112" t="s">
        <v>1839</v>
      </c>
      <c r="C342" s="6" t="s">
        <v>1840</v>
      </c>
      <c r="D342" s="8" t="s">
        <v>4</v>
      </c>
      <c r="E342" s="8" t="s">
        <v>29</v>
      </c>
      <c r="F342" s="9">
        <v>2</v>
      </c>
      <c r="G342" s="9"/>
      <c r="H342" s="9"/>
      <c r="I342" s="7">
        <v>6</v>
      </c>
      <c r="J342" s="7"/>
      <c r="K342" s="7"/>
      <c r="L342" s="7" t="s">
        <v>120</v>
      </c>
      <c r="M342" s="122"/>
      <c r="N342" s="122"/>
      <c r="O342" s="122"/>
      <c r="P342" s="96"/>
      <c r="Q342" s="7"/>
      <c r="R342" s="93">
        <v>4.6602030830122443</v>
      </c>
      <c r="S342" s="93">
        <v>243.91549255319114</v>
      </c>
      <c r="T342" s="122" t="s">
        <v>1518</v>
      </c>
      <c r="U342" s="7"/>
      <c r="V342" s="7"/>
      <c r="W342" s="122"/>
      <c r="X342" s="122"/>
      <c r="Y342" s="122" t="s">
        <v>1518</v>
      </c>
      <c r="Z342" s="7"/>
      <c r="AA342" s="7"/>
      <c r="AB342" s="7"/>
      <c r="AC342" s="7"/>
      <c r="AD342" s="7">
        <v>1</v>
      </c>
      <c r="AE342" s="7"/>
      <c r="AF342" s="7"/>
      <c r="AG342" s="7"/>
      <c r="AH342" s="7"/>
      <c r="AI342" s="7"/>
      <c r="AJ342" s="7"/>
      <c r="AK342" s="7"/>
      <c r="AL342" s="7"/>
      <c r="AM342" s="16">
        <v>44889</v>
      </c>
      <c r="AN342" s="4"/>
      <c r="AO342" s="11" t="s">
        <v>195</v>
      </c>
      <c r="AP342" s="11" t="s">
        <v>211</v>
      </c>
      <c r="AQ342" s="4"/>
      <c r="AR342" s="4"/>
      <c r="AS342" s="11">
        <v>22.5</v>
      </c>
      <c r="AT342" s="11">
        <v>22.5</v>
      </c>
      <c r="AU342" s="11"/>
      <c r="AV342" s="11"/>
      <c r="AW342" s="4"/>
      <c r="AX342" s="4">
        <f t="shared" si="32"/>
        <v>1</v>
      </c>
      <c r="AY342" s="93">
        <v>1</v>
      </c>
      <c r="AZ342" s="4">
        <v>2</v>
      </c>
    </row>
    <row r="343" spans="2:52" ht="14.25" customHeight="1" x14ac:dyDescent="0.25">
      <c r="B343" s="112" t="s">
        <v>84</v>
      </c>
      <c r="C343" s="6" t="s">
        <v>1296</v>
      </c>
      <c r="D343" s="9" t="s">
        <v>3</v>
      </c>
      <c r="E343" s="8" t="s">
        <v>21</v>
      </c>
      <c r="F343" s="9">
        <v>7</v>
      </c>
      <c r="G343" s="9"/>
      <c r="H343" s="9"/>
      <c r="I343" s="7"/>
      <c r="J343" s="7"/>
      <c r="K343" s="7"/>
      <c r="L343" s="7"/>
      <c r="M343" s="122"/>
      <c r="N343" s="122"/>
      <c r="O343" s="122"/>
      <c r="P343" s="96"/>
      <c r="Q343" s="7"/>
      <c r="R343" s="93">
        <v>0.20863579427924969</v>
      </c>
      <c r="S343" s="93">
        <v>5.4393939393939349E-2</v>
      </c>
      <c r="T343" s="122" t="s">
        <v>1518</v>
      </c>
      <c r="U343" s="7"/>
      <c r="V343" s="7"/>
      <c r="W343" s="122"/>
      <c r="X343" s="122"/>
      <c r="Y343" s="122"/>
      <c r="Z343" s="7"/>
      <c r="AA343" s="7"/>
      <c r="AB343" s="7"/>
      <c r="AC343" s="7"/>
      <c r="AD343" s="7"/>
      <c r="AE343" s="7"/>
      <c r="AF343" s="7"/>
      <c r="AG343" s="7">
        <v>1</v>
      </c>
      <c r="AH343" s="7"/>
      <c r="AI343" s="7"/>
      <c r="AJ343" s="7"/>
      <c r="AK343" s="7"/>
      <c r="AL343" s="7"/>
      <c r="AM343" s="16">
        <v>44169</v>
      </c>
      <c r="AN343" s="4"/>
      <c r="AO343" s="11" t="s">
        <v>92</v>
      </c>
      <c r="AP343" s="4"/>
      <c r="AQ343" s="4"/>
      <c r="AR343" s="4"/>
      <c r="AS343" s="11">
        <v>500</v>
      </c>
      <c r="AT343" s="11"/>
      <c r="AU343" s="11"/>
      <c r="AV343" s="11"/>
      <c r="AW343" s="4"/>
      <c r="AX343" s="4">
        <f t="shared" si="32"/>
        <v>1</v>
      </c>
      <c r="AY343" s="93">
        <v>2</v>
      </c>
      <c r="AZ343" s="4">
        <v>0.5</v>
      </c>
    </row>
    <row r="344" spans="2:52" ht="14.25" customHeight="1" x14ac:dyDescent="0.25">
      <c r="B344" s="112" t="s">
        <v>85</v>
      </c>
      <c r="C344" s="6" t="s">
        <v>1297</v>
      </c>
      <c r="D344" s="9" t="s">
        <v>3</v>
      </c>
      <c r="E344" s="8" t="s">
        <v>21</v>
      </c>
      <c r="F344" s="9">
        <v>7</v>
      </c>
      <c r="G344" s="9">
        <v>11</v>
      </c>
      <c r="H344" s="9"/>
      <c r="I344" s="7"/>
      <c r="J344" s="7"/>
      <c r="K344" s="7"/>
      <c r="L344" s="7"/>
      <c r="M344" s="122"/>
      <c r="N344" s="122"/>
      <c r="O344" s="122"/>
      <c r="P344" s="96"/>
      <c r="Q344" s="7"/>
      <c r="R344" s="93">
        <v>14.236652583985714</v>
      </c>
      <c r="S344" s="93">
        <v>9.5554809634809725</v>
      </c>
      <c r="T344" s="122" t="s">
        <v>1518</v>
      </c>
      <c r="U344" s="7"/>
      <c r="V344" s="7"/>
      <c r="W344" s="122"/>
      <c r="X344" s="122"/>
      <c r="Y344" s="122"/>
      <c r="Z344" s="7"/>
      <c r="AA344" s="7"/>
      <c r="AB344" s="7"/>
      <c r="AC344" s="7"/>
      <c r="AD344" s="7"/>
      <c r="AE344" s="7"/>
      <c r="AF344" s="7"/>
      <c r="AG344" s="7">
        <v>1</v>
      </c>
      <c r="AH344" s="7"/>
      <c r="AI344" s="7"/>
      <c r="AJ344" s="7"/>
      <c r="AK344" s="7">
        <v>1</v>
      </c>
      <c r="AL344" s="7"/>
      <c r="AM344" s="16">
        <v>44169</v>
      </c>
      <c r="AN344" s="4"/>
      <c r="AO344" s="4" t="s">
        <v>92</v>
      </c>
      <c r="AP344" s="4" t="s">
        <v>22</v>
      </c>
      <c r="AQ344" s="4"/>
      <c r="AR344" s="4"/>
      <c r="AS344" s="11">
        <v>250</v>
      </c>
      <c r="AT344" s="11">
        <v>250</v>
      </c>
      <c r="AU344" s="11"/>
      <c r="AV344" s="11"/>
      <c r="AW344" s="4"/>
      <c r="AX344" s="4">
        <f t="shared" si="32"/>
        <v>2</v>
      </c>
      <c r="AY344" s="93">
        <v>2</v>
      </c>
      <c r="AZ344" s="4">
        <v>0.8</v>
      </c>
    </row>
    <row r="345" spans="2:52" ht="14.25" customHeight="1" x14ac:dyDescent="0.25">
      <c r="B345" s="112" t="s">
        <v>337</v>
      </c>
      <c r="C345" s="6" t="s">
        <v>1298</v>
      </c>
      <c r="D345" s="9" t="s">
        <v>5</v>
      </c>
      <c r="E345" s="8" t="s">
        <v>959</v>
      </c>
      <c r="F345" s="9">
        <v>23</v>
      </c>
      <c r="G345" s="9"/>
      <c r="H345" s="9"/>
      <c r="I345" s="7"/>
      <c r="J345" s="7"/>
      <c r="K345" s="7"/>
      <c r="L345" s="7"/>
      <c r="M345" s="122"/>
      <c r="N345" s="122"/>
      <c r="O345" s="122"/>
      <c r="P345" s="96"/>
      <c r="Q345" s="7"/>
      <c r="R345" s="93">
        <v>3.2087053571428541E-2</v>
      </c>
      <c r="S345" s="93">
        <v>52.561397984886533</v>
      </c>
      <c r="T345" s="122" t="s">
        <v>1518</v>
      </c>
      <c r="U345" s="7"/>
      <c r="V345" s="7"/>
      <c r="W345" s="122"/>
      <c r="X345" s="122"/>
      <c r="Y345" s="122" t="s">
        <v>1518</v>
      </c>
      <c r="Z345" s="7"/>
      <c r="AA345" s="7"/>
      <c r="AB345" s="7">
        <v>1</v>
      </c>
      <c r="AC345" s="7">
        <v>1</v>
      </c>
      <c r="AD345" s="7"/>
      <c r="AE345" s="7"/>
      <c r="AF345" s="7"/>
      <c r="AG345" s="7"/>
      <c r="AH345" s="7"/>
      <c r="AI345" s="7"/>
      <c r="AJ345" s="7"/>
      <c r="AK345" s="7"/>
      <c r="AL345" s="7"/>
      <c r="AM345" s="16">
        <v>44169</v>
      </c>
      <c r="AN345" s="4"/>
      <c r="AO345" s="6" t="s">
        <v>1031</v>
      </c>
      <c r="AP345" s="4"/>
      <c r="AQ345" s="4"/>
      <c r="AR345" s="4"/>
      <c r="AS345" s="11">
        <v>100</v>
      </c>
      <c r="AT345" s="11"/>
      <c r="AU345" s="11"/>
      <c r="AV345" s="11"/>
      <c r="AW345" s="4"/>
      <c r="AX345" s="4">
        <f t="shared" si="32"/>
        <v>2</v>
      </c>
      <c r="AY345" s="93">
        <v>2</v>
      </c>
      <c r="AZ345" s="4">
        <v>0.75</v>
      </c>
    </row>
    <row r="346" spans="2:52" ht="14.25" customHeight="1" x14ac:dyDescent="0.25">
      <c r="B346" s="112" t="s">
        <v>1527</v>
      </c>
      <c r="C346" s="6" t="s">
        <v>1299</v>
      </c>
      <c r="D346" s="8" t="s">
        <v>4</v>
      </c>
      <c r="E346" s="8" t="s">
        <v>54</v>
      </c>
      <c r="F346" s="9">
        <v>12</v>
      </c>
      <c r="G346" s="9">
        <v>15</v>
      </c>
      <c r="H346" s="9"/>
      <c r="I346" s="7">
        <v>6</v>
      </c>
      <c r="J346" s="7"/>
      <c r="K346" s="7"/>
      <c r="L346" s="7" t="s">
        <v>14</v>
      </c>
      <c r="M346" s="122"/>
      <c r="N346" s="122"/>
      <c r="O346" s="122"/>
      <c r="P346" s="96"/>
      <c r="Q346" s="14">
        <v>0.3</v>
      </c>
      <c r="R346" s="93">
        <v>16.552595829761422</v>
      </c>
      <c r="S346" s="93">
        <v>218.6711904761903</v>
      </c>
      <c r="T346" s="122" t="s">
        <v>1518</v>
      </c>
      <c r="U346" s="7"/>
      <c r="V346" s="7"/>
      <c r="W346" s="122"/>
      <c r="X346" s="122"/>
      <c r="Y346" s="122" t="s">
        <v>1518</v>
      </c>
      <c r="Z346" s="7"/>
      <c r="AA346" s="7">
        <v>1</v>
      </c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16">
        <v>44169</v>
      </c>
      <c r="AN346" s="4"/>
      <c r="AO346" s="6" t="s">
        <v>999</v>
      </c>
      <c r="AP346" s="4" t="s">
        <v>143</v>
      </c>
      <c r="AQ346" s="4"/>
      <c r="AR346" s="4"/>
      <c r="AS346" s="53">
        <v>200</v>
      </c>
      <c r="AT346" s="53">
        <v>400</v>
      </c>
      <c r="AU346" s="11"/>
      <c r="AV346" s="11"/>
      <c r="AW346" s="4"/>
      <c r="AX346" s="4">
        <f t="shared" si="32"/>
        <v>1</v>
      </c>
      <c r="AY346" s="93"/>
      <c r="AZ346" s="4">
        <v>0.4</v>
      </c>
    </row>
    <row r="347" spans="2:52" ht="14.25" customHeight="1" x14ac:dyDescent="0.25">
      <c r="B347" s="112" t="s">
        <v>1528</v>
      </c>
      <c r="C347" s="6" t="s">
        <v>1299</v>
      </c>
      <c r="D347" s="8" t="s">
        <v>4</v>
      </c>
      <c r="E347" s="8" t="s">
        <v>54</v>
      </c>
      <c r="F347" s="9">
        <v>12</v>
      </c>
      <c r="G347" s="9">
        <v>15</v>
      </c>
      <c r="H347" s="9"/>
      <c r="I347" s="7">
        <v>6</v>
      </c>
      <c r="J347" s="7"/>
      <c r="K347" s="7"/>
      <c r="L347" s="7" t="s">
        <v>120</v>
      </c>
      <c r="M347" s="122"/>
      <c r="N347" s="122"/>
      <c r="O347" s="122"/>
      <c r="P347" s="96"/>
      <c r="Q347" s="14">
        <v>0.3</v>
      </c>
      <c r="R347" s="93">
        <v>24.82889374464213</v>
      </c>
      <c r="S347" s="93">
        <v>328.00678571428546</v>
      </c>
      <c r="T347" s="122" t="s">
        <v>1518</v>
      </c>
      <c r="U347" s="7"/>
      <c r="V347" s="7"/>
      <c r="W347" s="122"/>
      <c r="X347" s="122"/>
      <c r="Y347" s="122" t="s">
        <v>1518</v>
      </c>
      <c r="Z347" s="7"/>
      <c r="AA347" s="7">
        <v>1</v>
      </c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16">
        <v>44169</v>
      </c>
      <c r="AN347" s="4"/>
      <c r="AO347" s="6" t="s">
        <v>999</v>
      </c>
      <c r="AP347" s="4" t="s">
        <v>143</v>
      </c>
      <c r="AQ347" s="4"/>
      <c r="AR347" s="4"/>
      <c r="AS347" s="53">
        <v>200</v>
      </c>
      <c r="AT347" s="53">
        <v>400</v>
      </c>
      <c r="AU347" s="11"/>
      <c r="AV347" s="11"/>
      <c r="AW347" s="4"/>
      <c r="AX347" s="4">
        <f t="shared" si="32"/>
        <v>1</v>
      </c>
      <c r="AY347" s="93"/>
      <c r="AZ347" s="4">
        <v>0.6</v>
      </c>
    </row>
    <row r="348" spans="2:52" ht="14.25" customHeight="1" x14ac:dyDescent="0.25">
      <c r="B348" s="112" t="s">
        <v>262</v>
      </c>
      <c r="C348" s="6" t="s">
        <v>1300</v>
      </c>
      <c r="D348" s="8" t="s">
        <v>4</v>
      </c>
      <c r="E348" s="8" t="s">
        <v>54</v>
      </c>
      <c r="F348" s="9" t="s">
        <v>962</v>
      </c>
      <c r="G348" s="9"/>
      <c r="H348" s="9"/>
      <c r="I348" s="7"/>
      <c r="J348" s="7"/>
      <c r="K348" s="7"/>
      <c r="L348" s="7"/>
      <c r="M348" s="122"/>
      <c r="N348" s="122"/>
      <c r="O348" s="122"/>
      <c r="P348" s="96"/>
      <c r="Q348" s="7"/>
      <c r="R348" s="93">
        <v>0.54862255127722548</v>
      </c>
      <c r="S348" s="93">
        <v>22.137822580645185</v>
      </c>
      <c r="T348" s="122" t="s">
        <v>1518</v>
      </c>
      <c r="U348" s="7"/>
      <c r="V348" s="7"/>
      <c r="W348" s="122"/>
      <c r="X348" s="122"/>
      <c r="Y348" s="122"/>
      <c r="Z348" s="7"/>
      <c r="AA348" s="7"/>
      <c r="AB348" s="7"/>
      <c r="AC348" s="7"/>
      <c r="AD348" s="7"/>
      <c r="AE348" s="7">
        <v>1</v>
      </c>
      <c r="AF348" s="7"/>
      <c r="AG348" s="7"/>
      <c r="AH348" s="7"/>
      <c r="AI348" s="7"/>
      <c r="AJ348" s="7"/>
      <c r="AK348" s="7">
        <v>1</v>
      </c>
      <c r="AL348" s="7"/>
      <c r="AM348" s="16">
        <v>44169</v>
      </c>
      <c r="AN348" s="4"/>
      <c r="AO348" s="4" t="s">
        <v>177</v>
      </c>
      <c r="AP348" s="4"/>
      <c r="AQ348" s="4"/>
      <c r="AR348" s="4"/>
      <c r="AS348" s="11">
        <v>450</v>
      </c>
      <c r="AT348" s="11"/>
      <c r="AU348" s="11"/>
      <c r="AV348" s="11"/>
      <c r="AW348" s="4"/>
      <c r="AX348" s="4">
        <f t="shared" si="32"/>
        <v>2</v>
      </c>
      <c r="AY348" s="93"/>
      <c r="AZ348" s="4">
        <v>3</v>
      </c>
    </row>
    <row r="349" spans="2:52" ht="14.25" customHeight="1" x14ac:dyDescent="0.25">
      <c r="B349" s="112" t="s">
        <v>263</v>
      </c>
      <c r="C349" s="6" t="s">
        <v>1301</v>
      </c>
      <c r="D349" s="8" t="s">
        <v>4</v>
      </c>
      <c r="E349" s="9" t="s">
        <v>17</v>
      </c>
      <c r="F349" s="9" t="s">
        <v>962</v>
      </c>
      <c r="G349" s="9"/>
      <c r="H349" s="9"/>
      <c r="I349" s="7"/>
      <c r="J349" s="7"/>
      <c r="K349" s="7"/>
      <c r="L349" s="7"/>
      <c r="M349" s="122"/>
      <c r="N349" s="122"/>
      <c r="O349" s="122"/>
      <c r="P349" s="96"/>
      <c r="Q349" s="7"/>
      <c r="R349" s="93">
        <v>0.83934837092731995</v>
      </c>
      <c r="S349" s="93">
        <v>65.299268004722563</v>
      </c>
      <c r="T349" s="122" t="s">
        <v>1518</v>
      </c>
      <c r="U349" s="7"/>
      <c r="V349" s="7"/>
      <c r="W349" s="122" t="s">
        <v>1518</v>
      </c>
      <c r="X349" s="122"/>
      <c r="Y349" s="122" t="s">
        <v>1518</v>
      </c>
      <c r="Z349" s="7"/>
      <c r="AA349" s="7"/>
      <c r="AB349" s="7"/>
      <c r="AC349" s="7">
        <v>1</v>
      </c>
      <c r="AD349" s="7"/>
      <c r="AE349" s="7"/>
      <c r="AF349" s="7"/>
      <c r="AG349" s="7"/>
      <c r="AH349" s="7"/>
      <c r="AI349" s="7"/>
      <c r="AJ349" s="7"/>
      <c r="AK349" s="7"/>
      <c r="AL349" s="7"/>
      <c r="AM349" s="16">
        <v>44169</v>
      </c>
      <c r="AN349" s="4"/>
      <c r="AO349" s="4" t="s">
        <v>264</v>
      </c>
      <c r="AP349" s="4"/>
      <c r="AQ349" s="4"/>
      <c r="AR349" s="4"/>
      <c r="AS349" s="11">
        <v>680</v>
      </c>
      <c r="AT349" s="11"/>
      <c r="AU349" s="11"/>
      <c r="AV349" s="11"/>
      <c r="AW349" s="4"/>
      <c r="AX349" s="4">
        <f t="shared" si="32"/>
        <v>1</v>
      </c>
      <c r="AY349" s="93">
        <v>2</v>
      </c>
      <c r="AZ349" s="4">
        <v>16</v>
      </c>
    </row>
    <row r="350" spans="2:52" ht="14.25" customHeight="1" x14ac:dyDescent="0.25">
      <c r="B350" s="112" t="s">
        <v>338</v>
      </c>
      <c r="C350" s="6" t="s">
        <v>1302</v>
      </c>
      <c r="D350" s="8" t="s">
        <v>5</v>
      </c>
      <c r="E350" s="8" t="s">
        <v>24</v>
      </c>
      <c r="F350" s="8" t="s">
        <v>339</v>
      </c>
      <c r="G350" s="8"/>
      <c r="H350" s="8"/>
      <c r="I350" s="7"/>
      <c r="J350" s="7"/>
      <c r="K350" s="7"/>
      <c r="L350" s="7"/>
      <c r="M350" s="122"/>
      <c r="N350" s="122"/>
      <c r="O350" s="122"/>
      <c r="P350" s="96"/>
      <c r="Q350" s="7"/>
      <c r="R350" s="93">
        <v>0.72544658231387604</v>
      </c>
      <c r="S350" s="93">
        <v>4.6174513124470865E-2</v>
      </c>
      <c r="T350" s="122" t="s">
        <v>1518</v>
      </c>
      <c r="U350" s="7"/>
      <c r="V350" s="7"/>
      <c r="W350" s="122"/>
      <c r="X350" s="122"/>
      <c r="Y350" s="122"/>
      <c r="Z350" s="7"/>
      <c r="AA350" s="7"/>
      <c r="AB350" s="7"/>
      <c r="AC350" s="7">
        <v>2</v>
      </c>
      <c r="AD350" s="7"/>
      <c r="AE350" s="7"/>
      <c r="AF350" s="7"/>
      <c r="AG350" s="7"/>
      <c r="AH350" s="7"/>
      <c r="AI350" s="7"/>
      <c r="AJ350" s="7"/>
      <c r="AK350" s="7"/>
      <c r="AL350" s="7"/>
      <c r="AM350" s="16">
        <v>44169</v>
      </c>
      <c r="AN350" s="4"/>
      <c r="AO350" s="6" t="s">
        <v>995</v>
      </c>
      <c r="AP350" s="4"/>
      <c r="AQ350" s="4"/>
      <c r="AR350" s="4"/>
      <c r="AS350" s="11">
        <v>9.8000000000000007</v>
      </c>
      <c r="AT350" s="11"/>
      <c r="AU350" s="11"/>
      <c r="AV350" s="11"/>
      <c r="AW350" s="4"/>
      <c r="AX350" s="4">
        <f t="shared" si="32"/>
        <v>2</v>
      </c>
      <c r="AY350" s="93">
        <v>2</v>
      </c>
      <c r="AZ350" s="4">
        <v>2.5</v>
      </c>
    </row>
    <row r="351" spans="2:52" ht="14.25" customHeight="1" x14ac:dyDescent="0.25">
      <c r="B351" s="112" t="s">
        <v>1892</v>
      </c>
      <c r="C351" s="6" t="s">
        <v>1893</v>
      </c>
      <c r="D351" s="8" t="s">
        <v>5</v>
      </c>
      <c r="E351" s="8" t="s">
        <v>29</v>
      </c>
      <c r="F351" s="8" t="s">
        <v>339</v>
      </c>
      <c r="G351" s="8"/>
      <c r="H351" s="8"/>
      <c r="I351" s="7"/>
      <c r="J351" s="7"/>
      <c r="K351" s="7"/>
      <c r="L351" s="7"/>
      <c r="M351" s="122"/>
      <c r="N351" s="122"/>
      <c r="O351" s="122"/>
      <c r="P351" s="96"/>
      <c r="Q351" s="7"/>
      <c r="R351" s="93">
        <v>0.72544658231387604</v>
      </c>
      <c r="S351" s="93">
        <v>4.6174513124470865E-2</v>
      </c>
      <c r="T351" s="122" t="s">
        <v>1518</v>
      </c>
      <c r="U351" s="7"/>
      <c r="V351" s="7"/>
      <c r="W351" s="122"/>
      <c r="X351" s="122"/>
      <c r="Y351" s="122"/>
      <c r="Z351" s="7"/>
      <c r="AA351" s="7"/>
      <c r="AB351" s="7"/>
      <c r="AC351" s="7">
        <v>2</v>
      </c>
      <c r="AD351" s="7"/>
      <c r="AE351" s="7"/>
      <c r="AF351" s="7"/>
      <c r="AG351" s="7"/>
      <c r="AH351" s="7"/>
      <c r="AI351" s="7"/>
      <c r="AJ351" s="7"/>
      <c r="AK351" s="7"/>
      <c r="AL351" s="7"/>
      <c r="AM351" s="16">
        <v>44169</v>
      </c>
      <c r="AN351" s="4"/>
      <c r="AO351" s="6" t="s">
        <v>995</v>
      </c>
      <c r="AP351" s="4"/>
      <c r="AQ351" s="4"/>
      <c r="AR351" s="4"/>
      <c r="AS351" s="11">
        <v>9.8000000000000007</v>
      </c>
      <c r="AT351" s="11"/>
      <c r="AU351" s="11"/>
      <c r="AV351" s="11"/>
      <c r="AW351" s="4"/>
      <c r="AX351" s="4">
        <f t="shared" si="32"/>
        <v>2</v>
      </c>
      <c r="AY351" s="93">
        <v>2</v>
      </c>
      <c r="AZ351" s="4">
        <v>2.5</v>
      </c>
    </row>
    <row r="352" spans="2:52" ht="14.25" customHeight="1" x14ac:dyDescent="0.25">
      <c r="B352" s="112" t="s">
        <v>265</v>
      </c>
      <c r="C352" s="6" t="s">
        <v>1303</v>
      </c>
      <c r="D352" s="8" t="s">
        <v>4</v>
      </c>
      <c r="E352" s="8" t="s">
        <v>958</v>
      </c>
      <c r="F352" s="9">
        <v>2</v>
      </c>
      <c r="G352" s="9"/>
      <c r="H352" s="9"/>
      <c r="I352" s="7">
        <v>6</v>
      </c>
      <c r="J352" s="7">
        <v>6</v>
      </c>
      <c r="K352" s="7"/>
      <c r="L352" s="7" t="s">
        <v>14</v>
      </c>
      <c r="M352" s="122" t="s">
        <v>1518</v>
      </c>
      <c r="N352" s="122" t="s">
        <v>1518</v>
      </c>
      <c r="O352" s="122"/>
      <c r="P352" s="96" t="s">
        <v>136</v>
      </c>
      <c r="Q352" s="14">
        <v>0.3</v>
      </c>
      <c r="R352" s="93">
        <v>2.187241912022742</v>
      </c>
      <c r="S352" s="93">
        <v>1276.1924686192472</v>
      </c>
      <c r="T352" s="122" t="s">
        <v>1518</v>
      </c>
      <c r="U352" s="7"/>
      <c r="V352" s="7"/>
      <c r="W352" s="122" t="s">
        <v>1518</v>
      </c>
      <c r="X352" s="122"/>
      <c r="Y352" s="122"/>
      <c r="Z352" s="7"/>
      <c r="AA352" s="7"/>
      <c r="AB352" s="7"/>
      <c r="AC352" s="7"/>
      <c r="AD352" s="7">
        <v>3</v>
      </c>
      <c r="AE352" s="7"/>
      <c r="AF352" s="7"/>
      <c r="AG352" s="7"/>
      <c r="AH352" s="7"/>
      <c r="AI352" s="7"/>
      <c r="AJ352" s="7"/>
      <c r="AK352" s="7"/>
      <c r="AL352" s="7"/>
      <c r="AM352" s="16">
        <v>44169</v>
      </c>
      <c r="AN352" s="4"/>
      <c r="AO352" s="4" t="s">
        <v>137</v>
      </c>
      <c r="AP352" s="4"/>
      <c r="AQ352" s="4"/>
      <c r="AR352" s="4"/>
      <c r="AS352" s="11">
        <v>40</v>
      </c>
      <c r="AT352" s="11"/>
      <c r="AU352" s="11"/>
      <c r="AV352" s="11"/>
      <c r="AW352" s="4" t="s">
        <v>1824</v>
      </c>
      <c r="AX352" s="4">
        <f t="shared" si="32"/>
        <v>3</v>
      </c>
      <c r="AY352" s="93">
        <v>1</v>
      </c>
      <c r="AZ352" s="4">
        <v>1.5</v>
      </c>
    </row>
    <row r="353" spans="1:52" ht="14.25" customHeight="1" x14ac:dyDescent="0.25">
      <c r="B353" s="112" t="s">
        <v>377</v>
      </c>
      <c r="C353" s="6" t="s">
        <v>1443</v>
      </c>
      <c r="D353" s="8" t="s">
        <v>4</v>
      </c>
      <c r="E353" s="8" t="s">
        <v>64</v>
      </c>
      <c r="F353" s="9">
        <v>2</v>
      </c>
      <c r="G353" s="9"/>
      <c r="H353" s="9"/>
      <c r="I353" s="7">
        <v>6</v>
      </c>
      <c r="J353" s="7">
        <v>6</v>
      </c>
      <c r="K353" s="7"/>
      <c r="L353" s="7" t="s">
        <v>14</v>
      </c>
      <c r="M353" s="122" t="s">
        <v>1518</v>
      </c>
      <c r="N353" s="122" t="s">
        <v>1518</v>
      </c>
      <c r="O353" s="122"/>
      <c r="P353" s="96" t="s">
        <v>136</v>
      </c>
      <c r="Q353" s="14">
        <v>0.3</v>
      </c>
      <c r="R353" s="93">
        <v>2.187241912022742</v>
      </c>
      <c r="S353" s="93">
        <v>1276.1924686192472</v>
      </c>
      <c r="T353" s="122" t="s">
        <v>1518</v>
      </c>
      <c r="U353" s="7"/>
      <c r="V353" s="7"/>
      <c r="W353" s="122" t="s">
        <v>1518</v>
      </c>
      <c r="X353" s="122"/>
      <c r="Y353" s="122"/>
      <c r="Z353" s="7"/>
      <c r="AA353" s="7"/>
      <c r="AB353" s="7"/>
      <c r="AC353" s="7"/>
      <c r="AD353" s="7">
        <v>3</v>
      </c>
      <c r="AE353" s="7"/>
      <c r="AF353" s="7"/>
      <c r="AG353" s="7"/>
      <c r="AH353" s="7"/>
      <c r="AI353" s="7"/>
      <c r="AJ353" s="7"/>
      <c r="AK353" s="7"/>
      <c r="AL353" s="7"/>
      <c r="AM353" s="16">
        <v>44169</v>
      </c>
      <c r="AN353" s="4"/>
      <c r="AO353" s="4" t="s">
        <v>137</v>
      </c>
      <c r="AP353" s="4"/>
      <c r="AQ353" s="4"/>
      <c r="AR353" s="4"/>
      <c r="AS353" s="11">
        <v>40</v>
      </c>
      <c r="AT353" s="11"/>
      <c r="AU353" s="11"/>
      <c r="AV353" s="11"/>
      <c r="AW353" s="4" t="s">
        <v>1824</v>
      </c>
      <c r="AX353" s="4">
        <f t="shared" si="32"/>
        <v>3</v>
      </c>
      <c r="AY353" s="93">
        <v>1</v>
      </c>
      <c r="AZ353" s="4">
        <v>1.5</v>
      </c>
    </row>
    <row r="354" spans="1:52" ht="14.25" customHeight="1" x14ac:dyDescent="0.25">
      <c r="B354" s="112" t="s">
        <v>266</v>
      </c>
      <c r="C354" s="6" t="s">
        <v>1304</v>
      </c>
      <c r="D354" s="8" t="s">
        <v>4</v>
      </c>
      <c r="E354" s="9" t="s">
        <v>26</v>
      </c>
      <c r="F354" s="9" t="s">
        <v>962</v>
      </c>
      <c r="G354" s="9"/>
      <c r="H354" s="9"/>
      <c r="I354" s="7"/>
      <c r="J354" s="7"/>
      <c r="K354" s="7"/>
      <c r="L354" s="7"/>
      <c r="M354" s="122"/>
      <c r="N354" s="122"/>
      <c r="O354" s="122"/>
      <c r="P354" s="96"/>
      <c r="Q354" s="7"/>
      <c r="R354" s="93">
        <v>0.54862255127722548</v>
      </c>
      <c r="S354" s="93">
        <v>22.137822580645185</v>
      </c>
      <c r="T354" s="122" t="s">
        <v>1518</v>
      </c>
      <c r="U354" s="7"/>
      <c r="V354" s="7"/>
      <c r="W354" s="122" t="s">
        <v>1518</v>
      </c>
      <c r="X354" s="122"/>
      <c r="Y354" s="122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>
        <v>1</v>
      </c>
      <c r="AL354" s="7"/>
      <c r="AM354" s="16">
        <v>44169</v>
      </c>
      <c r="AN354" s="4"/>
      <c r="AO354" s="4" t="s">
        <v>177</v>
      </c>
      <c r="AP354" s="4"/>
      <c r="AQ354" s="4"/>
      <c r="AR354" s="4"/>
      <c r="AS354" s="11">
        <v>450</v>
      </c>
      <c r="AT354" s="11"/>
      <c r="AU354" s="11"/>
      <c r="AV354" s="11"/>
      <c r="AW354" s="4"/>
      <c r="AX354" s="4">
        <f t="shared" si="32"/>
        <v>1</v>
      </c>
      <c r="AY354" s="93"/>
      <c r="AZ354" s="4">
        <v>3</v>
      </c>
    </row>
    <row r="355" spans="1:52" ht="14.25" customHeight="1" x14ac:dyDescent="0.25">
      <c r="A355" s="1">
        <v>1</v>
      </c>
      <c r="B355" s="112" t="s">
        <v>1643</v>
      </c>
      <c r="C355" s="6" t="s">
        <v>1644</v>
      </c>
      <c r="D355" s="8" t="s">
        <v>4</v>
      </c>
      <c r="E355" s="8" t="s">
        <v>17</v>
      </c>
      <c r="F355" s="9">
        <v>3</v>
      </c>
      <c r="G355" s="9"/>
      <c r="H355" s="9"/>
      <c r="I355" s="7"/>
      <c r="J355" s="7"/>
      <c r="K355" s="7"/>
      <c r="L355" s="7"/>
      <c r="M355" s="122"/>
      <c r="N355" s="122"/>
      <c r="O355" s="122"/>
      <c r="P355" s="96"/>
      <c r="Q355" s="7"/>
      <c r="R355" s="93">
        <v>2.8008459820015257</v>
      </c>
      <c r="S355" s="93">
        <v>188.27777777777837</v>
      </c>
      <c r="T355" s="122" t="s">
        <v>1518</v>
      </c>
      <c r="U355" s="7"/>
      <c r="V355" s="7"/>
      <c r="W355" s="122"/>
      <c r="X355" s="122"/>
      <c r="Y355" s="122" t="s">
        <v>1518</v>
      </c>
      <c r="Z355" s="7"/>
      <c r="AA355" s="7"/>
      <c r="AB355" s="7"/>
      <c r="AC355" s="7"/>
      <c r="AD355" s="7"/>
      <c r="AE355" s="7">
        <v>1</v>
      </c>
      <c r="AF355" s="7"/>
      <c r="AG355" s="7"/>
      <c r="AH355" s="7"/>
      <c r="AI355" s="7"/>
      <c r="AJ355" s="7"/>
      <c r="AK355" s="7"/>
      <c r="AL355" s="7"/>
      <c r="AM355" s="16">
        <v>44540</v>
      </c>
      <c r="AN355" s="4"/>
      <c r="AO355" s="4" t="s">
        <v>234</v>
      </c>
      <c r="AP355" s="4"/>
      <c r="AQ355" s="4"/>
      <c r="AR355" s="4"/>
      <c r="AS355" s="11">
        <v>400</v>
      </c>
      <c r="AT355" s="11"/>
      <c r="AU355" s="11"/>
      <c r="AV355" s="11"/>
      <c r="AW355" s="4"/>
      <c r="AX355" s="4">
        <f t="shared" si="32"/>
        <v>1</v>
      </c>
      <c r="AY355" s="93"/>
      <c r="AZ355" s="4">
        <v>1.875</v>
      </c>
    </row>
    <row r="356" spans="1:52" ht="14.25" customHeight="1" x14ac:dyDescent="0.25">
      <c r="B356" s="112" t="s">
        <v>1305</v>
      </c>
      <c r="C356" s="6" t="s">
        <v>1306</v>
      </c>
      <c r="D356" s="8" t="s">
        <v>3</v>
      </c>
      <c r="E356" s="8" t="s">
        <v>17</v>
      </c>
      <c r="F356" s="8">
        <v>27</v>
      </c>
      <c r="G356" s="8">
        <v>29</v>
      </c>
      <c r="H356" s="8"/>
      <c r="I356" s="7">
        <v>6</v>
      </c>
      <c r="J356" s="7"/>
      <c r="K356" s="7"/>
      <c r="L356" s="7" t="s">
        <v>80</v>
      </c>
      <c r="M356" s="122"/>
      <c r="N356" s="122"/>
      <c r="O356" s="122"/>
      <c r="P356" s="96"/>
      <c r="Q356" s="14">
        <v>0.5</v>
      </c>
      <c r="R356" s="93">
        <v>6.0112606527709689</v>
      </c>
      <c r="S356" s="93">
        <v>26.090898861848757</v>
      </c>
      <c r="T356" s="122" t="s">
        <v>1518</v>
      </c>
      <c r="U356" s="7"/>
      <c r="V356" s="7"/>
      <c r="W356" s="122" t="s">
        <v>1518</v>
      </c>
      <c r="X356" s="122"/>
      <c r="Y356" s="122" t="s">
        <v>1518</v>
      </c>
      <c r="Z356" s="7"/>
      <c r="AA356" s="7"/>
      <c r="AB356" s="7"/>
      <c r="AC356" s="7">
        <v>1</v>
      </c>
      <c r="AD356" s="7"/>
      <c r="AE356" s="7"/>
      <c r="AF356" s="7"/>
      <c r="AG356" s="7"/>
      <c r="AH356" s="7"/>
      <c r="AI356" s="7"/>
      <c r="AJ356" s="7"/>
      <c r="AK356" s="7"/>
      <c r="AL356" s="7"/>
      <c r="AM356" s="16">
        <v>44540</v>
      </c>
      <c r="AN356" s="4"/>
      <c r="AO356" s="11" t="s">
        <v>30</v>
      </c>
      <c r="AP356" s="4" t="s">
        <v>60</v>
      </c>
      <c r="AQ356" s="4"/>
      <c r="AR356" s="4"/>
      <c r="AS356" s="11">
        <v>200</v>
      </c>
      <c r="AT356" s="11">
        <v>300</v>
      </c>
      <c r="AU356" s="11"/>
      <c r="AV356" s="11"/>
      <c r="AW356" s="4"/>
      <c r="AX356" s="4">
        <f t="shared" si="32"/>
        <v>1</v>
      </c>
      <c r="AY356" s="93"/>
      <c r="AZ356" s="4">
        <v>0.6</v>
      </c>
    </row>
    <row r="357" spans="1:52" ht="14.25" customHeight="1" x14ac:dyDescent="0.25">
      <c r="B357" s="112" t="s">
        <v>340</v>
      </c>
      <c r="C357" s="6" t="s">
        <v>1307</v>
      </c>
      <c r="D357" s="8" t="s">
        <v>5</v>
      </c>
      <c r="E357" s="8" t="s">
        <v>13</v>
      </c>
      <c r="F357" s="8">
        <v>11</v>
      </c>
      <c r="G357" s="8"/>
      <c r="H357" s="8"/>
      <c r="I357" s="7"/>
      <c r="J357" s="7"/>
      <c r="K357" s="7"/>
      <c r="L357" s="7"/>
      <c r="M357" s="122"/>
      <c r="N357" s="122"/>
      <c r="O357" s="122"/>
      <c r="P357" s="96"/>
      <c r="Q357" s="7"/>
      <c r="R357" s="93">
        <v>0</v>
      </c>
      <c r="S357" s="93">
        <v>0</v>
      </c>
      <c r="T357" s="122"/>
      <c r="U357" s="7"/>
      <c r="V357" s="7"/>
      <c r="W357" s="122"/>
      <c r="X357" s="122"/>
      <c r="Y357" s="122"/>
      <c r="Z357" s="7"/>
      <c r="AA357" s="7"/>
      <c r="AB357" s="7"/>
      <c r="AC357" s="7">
        <v>2</v>
      </c>
      <c r="AD357" s="7"/>
      <c r="AE357" s="7"/>
      <c r="AF357" s="7"/>
      <c r="AG357" s="7"/>
      <c r="AH357" s="7"/>
      <c r="AI357" s="7"/>
      <c r="AJ357" s="7"/>
      <c r="AK357" s="7"/>
      <c r="AL357" s="7"/>
      <c r="AM357" s="16">
        <v>44169</v>
      </c>
      <c r="AN357" s="4"/>
      <c r="AO357" s="4" t="s">
        <v>341</v>
      </c>
      <c r="AP357" s="4"/>
      <c r="AQ357" s="4"/>
      <c r="AR357" s="4"/>
      <c r="AS357" s="11">
        <v>30</v>
      </c>
      <c r="AT357" s="11"/>
      <c r="AU357" s="11"/>
      <c r="AV357" s="11"/>
      <c r="AW357" s="4"/>
      <c r="AX357" s="4">
        <f t="shared" si="32"/>
        <v>2</v>
      </c>
      <c r="AY357" s="93"/>
      <c r="AZ357" s="4">
        <v>5</v>
      </c>
    </row>
    <row r="358" spans="1:52" ht="14.25" customHeight="1" x14ac:dyDescent="0.25">
      <c r="B358" s="112" t="s">
        <v>1873</v>
      </c>
      <c r="C358" s="6" t="s">
        <v>1874</v>
      </c>
      <c r="D358" s="8" t="s">
        <v>4</v>
      </c>
      <c r="E358" s="8" t="s">
        <v>109</v>
      </c>
      <c r="F358" s="8">
        <v>9</v>
      </c>
      <c r="G358" s="8"/>
      <c r="H358" s="8"/>
      <c r="I358" s="7"/>
      <c r="J358" s="7"/>
      <c r="K358" s="7"/>
      <c r="L358" s="7"/>
      <c r="M358" s="122"/>
      <c r="N358" s="122"/>
      <c r="O358" s="122"/>
      <c r="P358" s="96"/>
      <c r="Q358" s="7"/>
      <c r="R358" s="93">
        <v>0</v>
      </c>
      <c r="S358" s="93">
        <v>0</v>
      </c>
      <c r="T358" s="122"/>
      <c r="U358" s="7"/>
      <c r="V358" s="7"/>
      <c r="W358" s="122"/>
      <c r="X358" s="122"/>
      <c r="Y358" s="122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16">
        <v>44911</v>
      </c>
      <c r="AN358" s="4"/>
      <c r="AO358" s="4" t="s">
        <v>228</v>
      </c>
      <c r="AP358" s="4"/>
      <c r="AQ358" s="4"/>
      <c r="AR358" s="4"/>
      <c r="AS358" s="11">
        <v>360</v>
      </c>
      <c r="AT358" s="11"/>
      <c r="AU358" s="11"/>
      <c r="AV358" s="11"/>
      <c r="AW358" s="4"/>
      <c r="AX358" s="4"/>
      <c r="AY358" s="93"/>
      <c r="AZ358" s="4">
        <v>10</v>
      </c>
    </row>
    <row r="359" spans="1:52" ht="14.25" customHeight="1" x14ac:dyDescent="0.25">
      <c r="A359" s="1">
        <v>11</v>
      </c>
      <c r="B359" s="112" t="s">
        <v>1645</v>
      </c>
      <c r="C359" s="6" t="s">
        <v>1646</v>
      </c>
      <c r="D359" s="8" t="s">
        <v>4</v>
      </c>
      <c r="E359" s="8"/>
      <c r="F359" s="9">
        <v>5</v>
      </c>
      <c r="G359" s="9"/>
      <c r="H359" s="9"/>
      <c r="I359" s="7"/>
      <c r="J359" s="7"/>
      <c r="K359" s="7"/>
      <c r="L359" s="7"/>
      <c r="M359" s="122"/>
      <c r="N359" s="122"/>
      <c r="O359" s="122"/>
      <c r="P359" s="96"/>
      <c r="Q359" s="7"/>
      <c r="R359" s="93">
        <v>0.12819947377256399</v>
      </c>
      <c r="S359" s="93">
        <v>134.78977272727238</v>
      </c>
      <c r="T359" s="122" t="s">
        <v>1518</v>
      </c>
      <c r="U359" s="7"/>
      <c r="V359" s="7"/>
      <c r="W359" s="122"/>
      <c r="X359" s="122"/>
      <c r="Y359" s="122" t="s">
        <v>1518</v>
      </c>
      <c r="Z359" s="7"/>
      <c r="AA359" s="7"/>
      <c r="AB359" s="7">
        <v>1</v>
      </c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16">
        <v>44540</v>
      </c>
      <c r="AN359" s="4"/>
      <c r="AO359" s="6" t="s">
        <v>1017</v>
      </c>
      <c r="AP359" s="4"/>
      <c r="AQ359" s="4"/>
      <c r="AR359" s="4"/>
      <c r="AS359" s="11">
        <v>700</v>
      </c>
      <c r="AT359" s="11"/>
      <c r="AU359" s="11"/>
      <c r="AV359" s="11"/>
      <c r="AW359" s="4"/>
      <c r="AX359" s="4">
        <f t="shared" ref="AX359:AX392" si="33">SUM(AA359:AL359)</f>
        <v>1</v>
      </c>
      <c r="AY359" s="93"/>
      <c r="AZ359" s="4">
        <v>1</v>
      </c>
    </row>
    <row r="360" spans="1:52" ht="14.25" customHeight="1" x14ac:dyDescent="0.25">
      <c r="A360" s="1">
        <v>11</v>
      </c>
      <c r="B360" s="112" t="s">
        <v>941</v>
      </c>
      <c r="C360" s="6" t="s">
        <v>1308</v>
      </c>
      <c r="D360" s="8" t="s">
        <v>4</v>
      </c>
      <c r="E360" s="8" t="s">
        <v>1536</v>
      </c>
      <c r="F360" s="9">
        <v>5</v>
      </c>
      <c r="G360" s="9">
        <v>15</v>
      </c>
      <c r="H360" s="9"/>
      <c r="I360" s="7"/>
      <c r="J360" s="7"/>
      <c r="K360" s="7"/>
      <c r="L360" s="7"/>
      <c r="M360" s="122"/>
      <c r="N360" s="122"/>
      <c r="O360" s="122"/>
      <c r="P360" s="96"/>
      <c r="Q360" s="7"/>
      <c r="R360" s="93">
        <v>0.23315293144346194</v>
      </c>
      <c r="S360" s="93">
        <v>107.63926136363615</v>
      </c>
      <c r="T360" s="122" t="s">
        <v>1518</v>
      </c>
      <c r="U360" s="7"/>
      <c r="V360" s="7"/>
      <c r="W360" s="122"/>
      <c r="X360" s="122"/>
      <c r="Y360" s="122" t="s">
        <v>1518</v>
      </c>
      <c r="Z360" s="7"/>
      <c r="AA360" s="7"/>
      <c r="AB360" s="7">
        <v>1</v>
      </c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16">
        <v>44169</v>
      </c>
      <c r="AN360" s="4"/>
      <c r="AO360" s="6" t="s">
        <v>1017</v>
      </c>
      <c r="AP360" s="6" t="s">
        <v>1015</v>
      </c>
      <c r="AQ360" s="4"/>
      <c r="AR360" s="4"/>
      <c r="AS360" s="11">
        <v>350</v>
      </c>
      <c r="AT360" s="11">
        <v>150</v>
      </c>
      <c r="AU360" s="11"/>
      <c r="AV360" s="11"/>
      <c r="AW360" s="4"/>
      <c r="AX360" s="4">
        <f t="shared" si="33"/>
        <v>1</v>
      </c>
      <c r="AY360" s="93"/>
      <c r="AZ360" s="4">
        <v>1.3</v>
      </c>
    </row>
    <row r="361" spans="1:52" ht="14.25" customHeight="1" x14ac:dyDescent="0.25">
      <c r="B361" s="112" t="s">
        <v>1940</v>
      </c>
      <c r="C361" s="6" t="s">
        <v>1954</v>
      </c>
      <c r="D361" s="8" t="s">
        <v>5</v>
      </c>
      <c r="E361" s="8" t="s">
        <v>13</v>
      </c>
      <c r="F361" s="8" t="s">
        <v>339</v>
      </c>
      <c r="G361" s="8"/>
      <c r="H361" s="8"/>
      <c r="I361" s="7"/>
      <c r="J361" s="7"/>
      <c r="K361" s="7"/>
      <c r="L361" s="7"/>
      <c r="M361" s="122"/>
      <c r="N361" s="122"/>
      <c r="O361" s="122"/>
      <c r="P361" s="96"/>
      <c r="Q361" s="7"/>
      <c r="R361" s="93">
        <v>1.1547925187853538</v>
      </c>
      <c r="S361" s="93">
        <v>7.3502286198137298E-2</v>
      </c>
      <c r="T361" s="122" t="s">
        <v>1518</v>
      </c>
      <c r="U361" s="7"/>
      <c r="V361" s="7"/>
      <c r="W361" s="122"/>
      <c r="X361" s="122"/>
      <c r="Y361" s="122"/>
      <c r="Z361" s="7" t="s">
        <v>7</v>
      </c>
      <c r="AA361" s="7"/>
      <c r="AB361" s="7"/>
      <c r="AC361" s="7">
        <v>2</v>
      </c>
      <c r="AD361" s="7"/>
      <c r="AE361" s="7"/>
      <c r="AF361" s="7"/>
      <c r="AG361" s="7"/>
      <c r="AH361" s="7"/>
      <c r="AI361" s="7"/>
      <c r="AJ361" s="7"/>
      <c r="AK361" s="7"/>
      <c r="AL361" s="7"/>
      <c r="AM361" s="16">
        <v>45262</v>
      </c>
      <c r="AN361" s="4"/>
      <c r="AO361" s="6" t="s">
        <v>995</v>
      </c>
      <c r="AP361" s="4"/>
      <c r="AQ361" s="4"/>
      <c r="AR361" s="4"/>
      <c r="AS361" s="11">
        <v>26</v>
      </c>
      <c r="AT361" s="11"/>
      <c r="AU361" s="11"/>
      <c r="AV361" s="11"/>
      <c r="AW361" s="4"/>
      <c r="AX361" s="4">
        <f t="shared" ref="AX361" si="34">SUM(AA361:AL361)</f>
        <v>2</v>
      </c>
      <c r="AY361" s="93">
        <v>3</v>
      </c>
      <c r="AZ361" s="4">
        <v>1.5</v>
      </c>
    </row>
    <row r="362" spans="1:52" ht="14.25" customHeight="1" x14ac:dyDescent="0.25">
      <c r="B362" s="112" t="s">
        <v>1309</v>
      </c>
      <c r="C362" s="6" t="s">
        <v>1310</v>
      </c>
      <c r="D362" s="8" t="s">
        <v>4</v>
      </c>
      <c r="E362" s="8" t="s">
        <v>54</v>
      </c>
      <c r="F362" s="9">
        <v>34</v>
      </c>
      <c r="G362" s="9"/>
      <c r="H362" s="9"/>
      <c r="I362" s="7"/>
      <c r="J362" s="7"/>
      <c r="K362" s="7"/>
      <c r="L362" s="7"/>
      <c r="M362" s="122"/>
      <c r="N362" s="122"/>
      <c r="O362" s="122"/>
      <c r="P362" s="96"/>
      <c r="Q362" s="7"/>
      <c r="R362" s="93">
        <v>4.1306204920660977E-2</v>
      </c>
      <c r="S362" s="93">
        <v>122.00399999999995</v>
      </c>
      <c r="T362" s="122"/>
      <c r="U362" s="7"/>
      <c r="V362" s="7"/>
      <c r="W362" s="122"/>
      <c r="X362" s="122"/>
      <c r="Y362" s="122"/>
      <c r="Z362" s="7"/>
      <c r="AA362" s="7"/>
      <c r="AB362" s="7">
        <v>1</v>
      </c>
      <c r="AC362" s="7">
        <v>1</v>
      </c>
      <c r="AD362" s="7"/>
      <c r="AE362" s="7">
        <v>1</v>
      </c>
      <c r="AF362" s="7"/>
      <c r="AG362" s="7">
        <v>1</v>
      </c>
      <c r="AH362" s="7">
        <v>1</v>
      </c>
      <c r="AI362" s="7">
        <v>1</v>
      </c>
      <c r="AJ362" s="7">
        <v>1</v>
      </c>
      <c r="AK362" s="7">
        <v>1</v>
      </c>
      <c r="AL362" s="7"/>
      <c r="AM362" s="16">
        <v>44169</v>
      </c>
      <c r="AN362" s="4"/>
      <c r="AO362" s="11" t="s">
        <v>178</v>
      </c>
      <c r="AP362" s="4"/>
      <c r="AQ362" s="4"/>
      <c r="AR362" s="4"/>
      <c r="AS362" s="11">
        <v>360</v>
      </c>
      <c r="AT362" s="11"/>
      <c r="AU362" s="11"/>
      <c r="AV362" s="11"/>
      <c r="AW362" s="4"/>
      <c r="AX362" s="4">
        <f t="shared" si="33"/>
        <v>8</v>
      </c>
      <c r="AY362" s="93"/>
      <c r="AZ362" s="4">
        <v>0.3</v>
      </c>
    </row>
    <row r="363" spans="1:52" ht="14.25" customHeight="1" x14ac:dyDescent="0.25">
      <c r="A363" s="1">
        <v>11</v>
      </c>
      <c r="B363" s="112" t="s">
        <v>87</v>
      </c>
      <c r="C363" s="6" t="s">
        <v>1311</v>
      </c>
      <c r="D363" s="9" t="s">
        <v>3</v>
      </c>
      <c r="E363" s="7" t="s">
        <v>19</v>
      </c>
      <c r="F363" s="9">
        <v>40</v>
      </c>
      <c r="G363" s="9">
        <v>45</v>
      </c>
      <c r="H363" s="9"/>
      <c r="I363" s="7"/>
      <c r="J363" s="7"/>
      <c r="K363" s="7"/>
      <c r="L363" s="7"/>
      <c r="M363" s="122"/>
      <c r="N363" s="122"/>
      <c r="O363" s="122"/>
      <c r="P363" s="96"/>
      <c r="Q363" s="7"/>
      <c r="R363" s="93">
        <v>0.70864045903439876</v>
      </c>
      <c r="S363" s="93">
        <v>0.17156515196811159</v>
      </c>
      <c r="T363" s="122"/>
      <c r="U363" s="7"/>
      <c r="V363" s="7"/>
      <c r="W363" s="122"/>
      <c r="X363" s="122"/>
      <c r="Y363" s="122"/>
      <c r="Z363" s="7"/>
      <c r="AA363" s="7"/>
      <c r="AB363" s="7"/>
      <c r="AC363" s="7">
        <v>1</v>
      </c>
      <c r="AD363" s="7"/>
      <c r="AE363" s="7"/>
      <c r="AF363" s="7"/>
      <c r="AG363" s="7"/>
      <c r="AH363" s="7"/>
      <c r="AI363" s="7"/>
      <c r="AJ363" s="7"/>
      <c r="AK363" s="7"/>
      <c r="AL363" s="7"/>
      <c r="AM363" s="16">
        <v>44169</v>
      </c>
      <c r="AN363" s="4"/>
      <c r="AO363" s="6" t="s">
        <v>1001</v>
      </c>
      <c r="AP363" s="4" t="s">
        <v>666</v>
      </c>
      <c r="AQ363" s="4"/>
      <c r="AR363" s="4"/>
      <c r="AS363" s="11">
        <v>225</v>
      </c>
      <c r="AT363" s="11">
        <v>300</v>
      </c>
      <c r="AU363" s="11"/>
      <c r="AV363" s="11"/>
      <c r="AW363" s="4"/>
      <c r="AX363" s="4">
        <f t="shared" si="33"/>
        <v>1</v>
      </c>
      <c r="AY363" s="93"/>
      <c r="AZ363" s="4">
        <v>0.8</v>
      </c>
    </row>
    <row r="364" spans="1:52" ht="14.25" customHeight="1" x14ac:dyDescent="0.25">
      <c r="A364" s="1">
        <v>11</v>
      </c>
      <c r="B364" s="112" t="s">
        <v>342</v>
      </c>
      <c r="C364" s="6" t="s">
        <v>1312</v>
      </c>
      <c r="D364" s="8" t="s">
        <v>5</v>
      </c>
      <c r="E364" s="8" t="s">
        <v>29</v>
      </c>
      <c r="F364" s="8" t="s">
        <v>319</v>
      </c>
      <c r="G364" s="8"/>
      <c r="H364" s="8"/>
      <c r="I364" s="7"/>
      <c r="J364" s="7"/>
      <c r="K364" s="7"/>
      <c r="L364" s="7" t="s">
        <v>14</v>
      </c>
      <c r="M364" s="122"/>
      <c r="N364" s="122"/>
      <c r="O364" s="122"/>
      <c r="P364" s="96"/>
      <c r="Q364" s="7"/>
      <c r="R364" s="93">
        <v>18.289336497105278</v>
      </c>
      <c r="S364" s="93">
        <v>695.56249999999977</v>
      </c>
      <c r="T364" s="122" t="s">
        <v>1518</v>
      </c>
      <c r="U364" s="7"/>
      <c r="V364" s="7"/>
      <c r="W364" s="122"/>
      <c r="X364" s="122"/>
      <c r="Y364" s="122"/>
      <c r="Z364" s="7"/>
      <c r="AA364" s="7"/>
      <c r="AB364" s="7">
        <v>3</v>
      </c>
      <c r="AC364" s="7">
        <v>3</v>
      </c>
      <c r="AD364" s="7"/>
      <c r="AE364" s="7">
        <v>1</v>
      </c>
      <c r="AF364" s="7"/>
      <c r="AG364" s="7"/>
      <c r="AH364" s="7"/>
      <c r="AI364" s="7"/>
      <c r="AJ364" s="7"/>
      <c r="AK364" s="7">
        <v>3</v>
      </c>
      <c r="AL364" s="7"/>
      <c r="AM364" s="16">
        <v>44169</v>
      </c>
      <c r="AN364" s="4"/>
      <c r="AO364" s="11" t="s">
        <v>331</v>
      </c>
      <c r="AP364" s="4"/>
      <c r="AQ364" s="4"/>
      <c r="AR364" s="4"/>
      <c r="AS364" s="11">
        <v>200</v>
      </c>
      <c r="AT364" s="11"/>
      <c r="AU364" s="11"/>
      <c r="AV364" s="11"/>
      <c r="AW364" s="4"/>
      <c r="AX364" s="4">
        <f t="shared" si="33"/>
        <v>10</v>
      </c>
      <c r="AY364" s="93">
        <v>1</v>
      </c>
      <c r="AZ364" s="4">
        <v>0.2</v>
      </c>
    </row>
    <row r="365" spans="1:52" ht="14.25" customHeight="1" x14ac:dyDescent="0.25">
      <c r="B365" s="112" t="s">
        <v>267</v>
      </c>
      <c r="C365" s="6" t="s">
        <v>1313</v>
      </c>
      <c r="D365" s="8" t="s">
        <v>4</v>
      </c>
      <c r="E365" s="8" t="s">
        <v>959</v>
      </c>
      <c r="F365" s="9">
        <v>2</v>
      </c>
      <c r="G365" s="9">
        <v>2</v>
      </c>
      <c r="H365" s="9">
        <v>12</v>
      </c>
      <c r="I365" s="7"/>
      <c r="J365" s="7">
        <v>3</v>
      </c>
      <c r="K365" s="7"/>
      <c r="L365" s="7"/>
      <c r="M365" s="122"/>
      <c r="N365" s="122"/>
      <c r="O365" s="122"/>
      <c r="P365" s="96"/>
      <c r="Q365" s="14">
        <v>0.3</v>
      </c>
      <c r="R365" s="93">
        <v>11.529593842330964</v>
      </c>
      <c r="S365" s="93">
        <v>873.72732502499935</v>
      </c>
      <c r="T365" s="122" t="s">
        <v>1518</v>
      </c>
      <c r="U365" s="7"/>
      <c r="V365" s="7"/>
      <c r="W365" s="122" t="s">
        <v>1518</v>
      </c>
      <c r="X365" s="122"/>
      <c r="Y365" s="122"/>
      <c r="Z365" s="7"/>
      <c r="AA365" s="7">
        <v>1</v>
      </c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16">
        <v>45232</v>
      </c>
      <c r="AN365" s="4"/>
      <c r="AO365" s="11" t="s">
        <v>133</v>
      </c>
      <c r="AP365" s="6" t="s">
        <v>1006</v>
      </c>
      <c r="AQ365" s="6" t="s">
        <v>999</v>
      </c>
      <c r="AR365" s="6" t="s">
        <v>1007</v>
      </c>
      <c r="AS365" s="11">
        <v>2.5</v>
      </c>
      <c r="AT365" s="11">
        <v>7.5</v>
      </c>
      <c r="AU365" s="11">
        <v>50</v>
      </c>
      <c r="AV365" s="11">
        <v>22.5</v>
      </c>
      <c r="AW365" s="4"/>
      <c r="AX365" s="4">
        <f t="shared" si="33"/>
        <v>1</v>
      </c>
      <c r="AY365" s="93">
        <v>1</v>
      </c>
      <c r="AZ365" s="4">
        <v>1.5</v>
      </c>
    </row>
    <row r="366" spans="1:52" ht="28.5" customHeight="1" x14ac:dyDescent="0.25">
      <c r="B366" s="112" t="s">
        <v>914</v>
      </c>
      <c r="C366" s="6" t="s">
        <v>1314</v>
      </c>
      <c r="D366" s="8" t="s">
        <v>4</v>
      </c>
      <c r="E366" s="8" t="s">
        <v>21</v>
      </c>
      <c r="F366" s="8">
        <v>2</v>
      </c>
      <c r="G366" s="8">
        <v>2</v>
      </c>
      <c r="H366" s="8">
        <v>2</v>
      </c>
      <c r="I366" s="7"/>
      <c r="J366" s="7">
        <v>6</v>
      </c>
      <c r="K366" s="7"/>
      <c r="L366" s="7"/>
      <c r="M366" s="122"/>
      <c r="N366" s="122"/>
      <c r="O366" s="122"/>
      <c r="P366" s="96"/>
      <c r="Q366" s="14"/>
      <c r="R366" s="165">
        <v>2.3851657935837638</v>
      </c>
      <c r="S366" s="93">
        <v>1469.5411272613785</v>
      </c>
      <c r="T366" s="122" t="s">
        <v>1518</v>
      </c>
      <c r="U366" s="7"/>
      <c r="V366" s="7"/>
      <c r="W366" s="122" t="s">
        <v>1518</v>
      </c>
      <c r="X366" s="122"/>
      <c r="Y366" s="122"/>
      <c r="Z366" s="7"/>
      <c r="AA366" s="7">
        <v>1</v>
      </c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16">
        <v>45232</v>
      </c>
      <c r="AN366" s="4"/>
      <c r="AO366" s="4" t="s">
        <v>133</v>
      </c>
      <c r="AP366" s="4" t="s">
        <v>1006</v>
      </c>
      <c r="AQ366" s="4" t="s">
        <v>116</v>
      </c>
      <c r="AR366" s="4" t="s">
        <v>1007</v>
      </c>
      <c r="AS366" s="11">
        <v>45</v>
      </c>
      <c r="AT366" s="11">
        <v>45</v>
      </c>
      <c r="AU366" s="11">
        <v>37.5</v>
      </c>
      <c r="AV366" s="11">
        <v>135</v>
      </c>
      <c r="AW366" s="4"/>
      <c r="AX366" s="4">
        <f t="shared" si="33"/>
        <v>1</v>
      </c>
      <c r="AY366" s="93">
        <v>1</v>
      </c>
      <c r="AZ366" s="4">
        <v>0.2</v>
      </c>
    </row>
    <row r="367" spans="1:52" ht="14.25" customHeight="1" x14ac:dyDescent="0.25">
      <c r="B367" s="112" t="s">
        <v>940</v>
      </c>
      <c r="C367" s="6" t="s">
        <v>1315</v>
      </c>
      <c r="D367" s="8" t="s">
        <v>4</v>
      </c>
      <c r="E367" s="8" t="s">
        <v>13</v>
      </c>
      <c r="F367" s="9">
        <v>15</v>
      </c>
      <c r="G367" s="9"/>
      <c r="H367" s="9"/>
      <c r="I367" s="7"/>
      <c r="J367" s="7"/>
      <c r="K367" s="7"/>
      <c r="L367" s="7" t="s">
        <v>14</v>
      </c>
      <c r="M367" s="122"/>
      <c r="N367" s="122"/>
      <c r="O367" s="122"/>
      <c r="P367" s="96"/>
      <c r="Q367" s="7"/>
      <c r="R367" s="93">
        <v>7.5491503505291222</v>
      </c>
      <c r="S367" s="93">
        <v>60.653243847874926</v>
      </c>
      <c r="T367" s="122" t="s">
        <v>1518</v>
      </c>
      <c r="U367" s="7"/>
      <c r="V367" s="7"/>
      <c r="W367" s="122"/>
      <c r="X367" s="122"/>
      <c r="Y367" s="122" t="s">
        <v>1518</v>
      </c>
      <c r="Z367" s="7" t="s">
        <v>7</v>
      </c>
      <c r="AA367" s="7">
        <v>1</v>
      </c>
      <c r="AB367" s="7"/>
      <c r="AC367" s="7">
        <v>1</v>
      </c>
      <c r="AD367" s="7"/>
      <c r="AE367" s="7"/>
      <c r="AF367" s="7"/>
      <c r="AG367" s="7"/>
      <c r="AH367" s="7"/>
      <c r="AI367" s="7"/>
      <c r="AJ367" s="7"/>
      <c r="AK367" s="7"/>
      <c r="AL367" s="7"/>
      <c r="AM367" s="16">
        <v>44911</v>
      </c>
      <c r="AN367" s="4"/>
      <c r="AO367" s="11" t="s">
        <v>131</v>
      </c>
      <c r="AP367" s="4"/>
      <c r="AQ367" s="4"/>
      <c r="AR367" s="4"/>
      <c r="AS367" s="11">
        <v>800</v>
      </c>
      <c r="AT367" s="11"/>
      <c r="AU367" s="11"/>
      <c r="AV367" s="11"/>
      <c r="AW367" s="4"/>
      <c r="AX367" s="4">
        <f t="shared" si="33"/>
        <v>2</v>
      </c>
      <c r="AY367" s="93">
        <v>1</v>
      </c>
      <c r="AZ367" s="4">
        <v>5</v>
      </c>
    </row>
    <row r="368" spans="1:52" ht="14.25" customHeight="1" x14ac:dyDescent="0.25">
      <c r="B368" s="112" t="s">
        <v>1316</v>
      </c>
      <c r="C368" s="6" t="s">
        <v>1317</v>
      </c>
      <c r="D368" s="9" t="s">
        <v>3</v>
      </c>
      <c r="E368" s="9" t="s">
        <v>17</v>
      </c>
      <c r="F368" s="9" t="s">
        <v>25</v>
      </c>
      <c r="G368" s="9"/>
      <c r="H368" s="9"/>
      <c r="I368" s="7"/>
      <c r="J368" s="7"/>
      <c r="K368" s="7"/>
      <c r="L368" s="7"/>
      <c r="M368" s="122"/>
      <c r="N368" s="122"/>
      <c r="O368" s="122"/>
      <c r="P368" s="96"/>
      <c r="Q368" s="14">
        <v>0.5</v>
      </c>
      <c r="R368" s="93">
        <v>54.702135370361887</v>
      </c>
      <c r="S368" s="93">
        <v>1.2912099447513867</v>
      </c>
      <c r="T368" s="122" t="s">
        <v>1518</v>
      </c>
      <c r="U368" s="7"/>
      <c r="V368" s="7"/>
      <c r="W368" s="122"/>
      <c r="X368" s="122"/>
      <c r="Y368" s="122" t="s">
        <v>1518</v>
      </c>
      <c r="Z368" s="7"/>
      <c r="AA368" s="7"/>
      <c r="AB368" s="7"/>
      <c r="AC368" s="7">
        <v>1</v>
      </c>
      <c r="AD368" s="7"/>
      <c r="AE368" s="7"/>
      <c r="AF368" s="7"/>
      <c r="AG368" s="7"/>
      <c r="AH368" s="7"/>
      <c r="AI368" s="7"/>
      <c r="AJ368" s="7"/>
      <c r="AK368" s="7">
        <v>1</v>
      </c>
      <c r="AL368" s="7"/>
      <c r="AM368" s="16">
        <v>44169</v>
      </c>
      <c r="AN368" s="4"/>
      <c r="AO368" s="11" t="s">
        <v>49</v>
      </c>
      <c r="AP368" s="11"/>
      <c r="AQ368" s="4"/>
      <c r="AR368" s="4"/>
      <c r="AS368" s="11">
        <v>350</v>
      </c>
      <c r="AT368" s="11"/>
      <c r="AU368" s="11"/>
      <c r="AV368" s="11"/>
      <c r="AW368" s="4"/>
      <c r="AX368" s="4">
        <f t="shared" si="33"/>
        <v>2</v>
      </c>
      <c r="AY368" s="93"/>
      <c r="AZ368" s="4">
        <v>3</v>
      </c>
    </row>
    <row r="369" spans="1:52" ht="14.25" customHeight="1" x14ac:dyDescent="0.25">
      <c r="B369" s="112" t="s">
        <v>1941</v>
      </c>
      <c r="C369" s="6" t="s">
        <v>1318</v>
      </c>
      <c r="D369" s="8" t="s">
        <v>4</v>
      </c>
      <c r="E369" s="8" t="s">
        <v>21</v>
      </c>
      <c r="F369" s="9">
        <v>2</v>
      </c>
      <c r="G369" s="9">
        <v>2</v>
      </c>
      <c r="H369" s="9">
        <v>2</v>
      </c>
      <c r="I369" s="7"/>
      <c r="J369" s="7">
        <v>6</v>
      </c>
      <c r="K369" s="7"/>
      <c r="L369" s="7" t="s">
        <v>14</v>
      </c>
      <c r="M369" s="122"/>
      <c r="N369" s="122"/>
      <c r="O369" s="122"/>
      <c r="P369" s="96"/>
      <c r="Q369" s="7"/>
      <c r="R369" s="93">
        <v>0.75071715453940546</v>
      </c>
      <c r="S369" s="93">
        <v>396.14247135661662</v>
      </c>
      <c r="T369" s="122" t="s">
        <v>1518</v>
      </c>
      <c r="U369" s="7"/>
      <c r="V369" s="7"/>
      <c r="W369" s="122" t="s">
        <v>1518</v>
      </c>
      <c r="X369" s="122"/>
      <c r="Y369" s="122"/>
      <c r="Z369" s="7"/>
      <c r="AA369" s="7">
        <v>1</v>
      </c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16">
        <v>45232</v>
      </c>
      <c r="AN369" s="4"/>
      <c r="AO369" s="11" t="s">
        <v>133</v>
      </c>
      <c r="AP369" s="6" t="s">
        <v>1006</v>
      </c>
      <c r="AQ369" s="4" t="s">
        <v>185</v>
      </c>
      <c r="AR369" s="6" t="s">
        <v>1007</v>
      </c>
      <c r="AS369" s="11">
        <v>10</v>
      </c>
      <c r="AT369" s="11">
        <v>30</v>
      </c>
      <c r="AU369" s="11">
        <v>50</v>
      </c>
      <c r="AV369" s="11">
        <v>90</v>
      </c>
      <c r="AW369" s="4"/>
      <c r="AX369" s="4">
        <f t="shared" si="33"/>
        <v>1</v>
      </c>
      <c r="AY369" s="93"/>
      <c r="AZ369" s="4">
        <v>0.2</v>
      </c>
    </row>
    <row r="370" spans="1:52" ht="14.25" customHeight="1" x14ac:dyDescent="0.25">
      <c r="B370" s="112" t="s">
        <v>1942</v>
      </c>
      <c r="C370" s="6" t="s">
        <v>1318</v>
      </c>
      <c r="D370" s="8" t="s">
        <v>4</v>
      </c>
      <c r="E370" s="8" t="s">
        <v>21</v>
      </c>
      <c r="F370" s="9">
        <v>2</v>
      </c>
      <c r="G370" s="9">
        <v>2</v>
      </c>
      <c r="H370" s="9">
        <v>2</v>
      </c>
      <c r="I370" s="7"/>
      <c r="J370" s="7">
        <v>20</v>
      </c>
      <c r="K370" s="7"/>
      <c r="L370" s="7" t="s">
        <v>14</v>
      </c>
      <c r="M370" s="122"/>
      <c r="N370" s="122"/>
      <c r="O370" s="122"/>
      <c r="P370" s="96"/>
      <c r="Q370" s="7"/>
      <c r="R370" s="93">
        <v>1.5014343090788109</v>
      </c>
      <c r="S370" s="93">
        <v>792.28494271323325</v>
      </c>
      <c r="T370" s="122" t="s">
        <v>1518</v>
      </c>
      <c r="U370" s="7"/>
      <c r="V370" s="7"/>
      <c r="W370" s="122" t="s">
        <v>1518</v>
      </c>
      <c r="X370" s="122"/>
      <c r="Y370" s="122"/>
      <c r="Z370" s="7"/>
      <c r="AA370" s="7">
        <v>1</v>
      </c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16">
        <v>45232</v>
      </c>
      <c r="AN370" s="4"/>
      <c r="AO370" s="11" t="s">
        <v>133</v>
      </c>
      <c r="AP370" s="6" t="s">
        <v>1006</v>
      </c>
      <c r="AQ370" s="4" t="s">
        <v>185</v>
      </c>
      <c r="AR370" s="6" t="s">
        <v>1007</v>
      </c>
      <c r="AS370" s="11">
        <v>10</v>
      </c>
      <c r="AT370" s="11">
        <v>30</v>
      </c>
      <c r="AU370" s="11">
        <v>50</v>
      </c>
      <c r="AV370" s="11">
        <v>90</v>
      </c>
      <c r="AW370" s="4"/>
      <c r="AX370" s="4">
        <f t="shared" ref="AX370" si="35">SUM(AA370:AL370)</f>
        <v>1</v>
      </c>
      <c r="AY370" s="93"/>
      <c r="AZ370" s="4">
        <v>0.4</v>
      </c>
    </row>
    <row r="371" spans="1:52" ht="14.25" customHeight="1" x14ac:dyDescent="0.25">
      <c r="B371" s="112" t="s">
        <v>2049</v>
      </c>
      <c r="C371" s="6" t="s">
        <v>2050</v>
      </c>
      <c r="D371" s="9" t="s">
        <v>5</v>
      </c>
      <c r="E371" s="9" t="s">
        <v>109</v>
      </c>
      <c r="F371" s="9"/>
      <c r="G371" s="9"/>
      <c r="H371" s="9"/>
      <c r="I371" s="7"/>
      <c r="J371" s="7"/>
      <c r="K371" s="7"/>
      <c r="L371" s="7"/>
      <c r="M371" s="122"/>
      <c r="N371" s="122"/>
      <c r="O371" s="122"/>
      <c r="P371" s="96"/>
      <c r="Q371" s="7"/>
      <c r="R371" s="93">
        <f t="shared" ref="R371" si="36">ROUND(BN371,0)</f>
        <v>0</v>
      </c>
      <c r="S371" s="93">
        <f t="shared" ref="S371" si="37">ROUND(BS371,0)</f>
        <v>0</v>
      </c>
      <c r="T371" s="122"/>
      <c r="U371" s="7"/>
      <c r="V371" s="7"/>
      <c r="W371" s="122"/>
      <c r="X371" s="122"/>
      <c r="Y371" s="122"/>
      <c r="Z371" s="7"/>
      <c r="AA371" s="7"/>
      <c r="AB371" s="7"/>
      <c r="AC371" s="7">
        <v>2</v>
      </c>
      <c r="AD371" s="7"/>
      <c r="AE371" s="7"/>
      <c r="AF371" s="7"/>
      <c r="AG371" s="7"/>
      <c r="AH371" s="7"/>
      <c r="AI371" s="7"/>
      <c r="AJ371" s="7"/>
      <c r="AK371" s="7"/>
      <c r="AL371" s="7"/>
      <c r="AM371" s="16">
        <v>45295</v>
      </c>
      <c r="AN371" s="4"/>
      <c r="AO371" s="11" t="s">
        <v>334</v>
      </c>
      <c r="AP371" s="4"/>
      <c r="AQ371" s="4"/>
      <c r="AR371" s="4"/>
      <c r="AS371" s="11">
        <v>830</v>
      </c>
      <c r="AT371" s="11"/>
      <c r="AU371" s="11"/>
      <c r="AV371" s="11"/>
      <c r="AW371" s="4"/>
      <c r="AX371" s="4">
        <f t="shared" ref="AX371" si="38">SUM(AA371:AL371)</f>
        <v>2</v>
      </c>
      <c r="AY371" s="93"/>
      <c r="AZ371" s="267">
        <v>7</v>
      </c>
    </row>
    <row r="372" spans="1:52" ht="14.25" customHeight="1" x14ac:dyDescent="0.25">
      <c r="B372" s="112" t="s">
        <v>1319</v>
      </c>
      <c r="C372" s="6" t="s">
        <v>1320</v>
      </c>
      <c r="D372" s="9" t="s">
        <v>3</v>
      </c>
      <c r="E372" s="9" t="s">
        <v>17</v>
      </c>
      <c r="F372" s="9">
        <v>3</v>
      </c>
      <c r="G372" s="9">
        <v>7</v>
      </c>
      <c r="H372" s="9"/>
      <c r="I372" s="7"/>
      <c r="J372" s="7"/>
      <c r="K372" s="7"/>
      <c r="L372" s="7" t="s">
        <v>14</v>
      </c>
      <c r="M372" s="122"/>
      <c r="N372" s="122"/>
      <c r="O372" s="122"/>
      <c r="P372" s="96"/>
      <c r="Q372" s="14">
        <v>0.5</v>
      </c>
      <c r="R372" s="93">
        <v>4.0955350935800166</v>
      </c>
      <c r="S372" s="93">
        <v>10.868920108695647</v>
      </c>
      <c r="T372" s="122" t="s">
        <v>1518</v>
      </c>
      <c r="U372" s="7"/>
      <c r="V372" s="7"/>
      <c r="W372" s="122"/>
      <c r="X372" s="122"/>
      <c r="Y372" s="122" t="s">
        <v>1518</v>
      </c>
      <c r="Z372" s="7"/>
      <c r="AA372" s="7">
        <v>1</v>
      </c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16">
        <v>44169</v>
      </c>
      <c r="AN372" s="4"/>
      <c r="AO372" s="11" t="s">
        <v>41</v>
      </c>
      <c r="AP372" s="11" t="s">
        <v>16</v>
      </c>
      <c r="AQ372" s="4"/>
      <c r="AR372" s="4"/>
      <c r="AS372" s="11">
        <v>166</v>
      </c>
      <c r="AT372" s="11">
        <v>50</v>
      </c>
      <c r="AU372" s="11"/>
      <c r="AV372" s="11"/>
      <c r="AW372" s="4"/>
      <c r="AX372" s="4">
        <f t="shared" si="33"/>
        <v>1</v>
      </c>
      <c r="AY372" s="94" t="s">
        <v>935</v>
      </c>
      <c r="AZ372" s="4">
        <v>1.5</v>
      </c>
    </row>
    <row r="373" spans="1:52" ht="14.25" customHeight="1" x14ac:dyDescent="0.25">
      <c r="B373" s="112" t="s">
        <v>1321</v>
      </c>
      <c r="C373" s="6" t="s">
        <v>1322</v>
      </c>
      <c r="D373" s="9" t="s">
        <v>4</v>
      </c>
      <c r="E373" s="9" t="s">
        <v>17</v>
      </c>
      <c r="F373" s="9">
        <v>6</v>
      </c>
      <c r="G373" s="9"/>
      <c r="H373" s="9"/>
      <c r="I373" s="7"/>
      <c r="J373" s="7">
        <v>3</v>
      </c>
      <c r="K373" s="7"/>
      <c r="L373" s="7"/>
      <c r="M373" s="122" t="s">
        <v>1518</v>
      </c>
      <c r="N373" s="122" t="s">
        <v>1518</v>
      </c>
      <c r="O373" s="122" t="s">
        <v>1518</v>
      </c>
      <c r="P373" s="96" t="s">
        <v>1521</v>
      </c>
      <c r="Q373" s="14"/>
      <c r="R373" s="93">
        <v>1.0963567907586515E-2</v>
      </c>
      <c r="S373" s="93">
        <v>74.844761538461754</v>
      </c>
      <c r="T373" s="122" t="s">
        <v>1518</v>
      </c>
      <c r="U373" s="7"/>
      <c r="V373" s="7"/>
      <c r="W373" s="122" t="s">
        <v>1518</v>
      </c>
      <c r="X373" s="122"/>
      <c r="Y373" s="122" t="s">
        <v>1518</v>
      </c>
      <c r="Z373" s="7"/>
      <c r="AA373" s="7">
        <v>1</v>
      </c>
      <c r="AB373" s="7"/>
      <c r="AC373" s="7">
        <v>1</v>
      </c>
      <c r="AD373" s="7">
        <v>1</v>
      </c>
      <c r="AE373" s="7"/>
      <c r="AF373" s="7"/>
      <c r="AG373" s="7">
        <v>1</v>
      </c>
      <c r="AH373" s="7">
        <v>1</v>
      </c>
      <c r="AI373" s="7"/>
      <c r="AJ373" s="7"/>
      <c r="AK373" s="7"/>
      <c r="AL373" s="7">
        <v>1</v>
      </c>
      <c r="AM373" s="16">
        <v>44169</v>
      </c>
      <c r="AN373" s="16"/>
      <c r="AO373" s="11" t="s">
        <v>161</v>
      </c>
      <c r="AP373" s="11"/>
      <c r="AQ373" s="4"/>
      <c r="AR373" s="4"/>
      <c r="AS373" s="11">
        <v>870</v>
      </c>
      <c r="AT373" s="11"/>
      <c r="AU373" s="11"/>
      <c r="AV373" s="11"/>
      <c r="AW373" s="4"/>
      <c r="AX373" s="4">
        <f t="shared" si="33"/>
        <v>6</v>
      </c>
      <c r="AY373" s="93"/>
      <c r="AZ373" s="4">
        <v>1.1000000000000001</v>
      </c>
    </row>
    <row r="374" spans="1:52" ht="14.25" customHeight="1" x14ac:dyDescent="0.25">
      <c r="B374" s="112" t="s">
        <v>956</v>
      </c>
      <c r="C374" s="6" t="s">
        <v>1323</v>
      </c>
      <c r="D374" s="8" t="s">
        <v>4</v>
      </c>
      <c r="E374" s="8" t="s">
        <v>13</v>
      </c>
      <c r="F374" s="9">
        <v>3</v>
      </c>
      <c r="G374" s="9"/>
      <c r="H374" s="9"/>
      <c r="I374" s="7"/>
      <c r="J374" s="7"/>
      <c r="K374" s="7"/>
      <c r="L374" s="7"/>
      <c r="M374" s="122"/>
      <c r="N374" s="122"/>
      <c r="O374" s="122"/>
      <c r="P374" s="96"/>
      <c r="Q374" s="14">
        <v>0.3</v>
      </c>
      <c r="R374" s="93">
        <v>28.017591244955252</v>
      </c>
      <c r="S374" s="93">
        <v>20.232835820895463</v>
      </c>
      <c r="T374" s="122" t="s">
        <v>1518</v>
      </c>
      <c r="U374" s="7"/>
      <c r="V374" s="7"/>
      <c r="W374" s="122"/>
      <c r="X374" s="122"/>
      <c r="Y374" s="122"/>
      <c r="Z374" s="7"/>
      <c r="AA374" s="7">
        <v>1</v>
      </c>
      <c r="AB374" s="7"/>
      <c r="AC374" s="7"/>
      <c r="AD374" s="7">
        <v>1</v>
      </c>
      <c r="AE374" s="7"/>
      <c r="AF374" s="7">
        <v>1</v>
      </c>
      <c r="AG374" s="7">
        <v>1</v>
      </c>
      <c r="AH374" s="7"/>
      <c r="AI374" s="7"/>
      <c r="AJ374" s="7">
        <v>1</v>
      </c>
      <c r="AK374" s="7"/>
      <c r="AL374" s="7">
        <v>1</v>
      </c>
      <c r="AM374" s="16">
        <v>44169</v>
      </c>
      <c r="AN374" s="4"/>
      <c r="AO374" s="6" t="s">
        <v>1000</v>
      </c>
      <c r="AP374" s="11"/>
      <c r="AQ374" s="4"/>
      <c r="AR374" s="4"/>
      <c r="AS374" s="11">
        <v>400</v>
      </c>
      <c r="AT374" s="11"/>
      <c r="AU374" s="11"/>
      <c r="AV374" s="11"/>
      <c r="AW374" s="4"/>
      <c r="AX374" s="4">
        <f t="shared" si="33"/>
        <v>6</v>
      </c>
      <c r="AY374" s="93"/>
      <c r="AZ374" s="4">
        <v>4</v>
      </c>
    </row>
    <row r="375" spans="1:52" ht="14.25" customHeight="1" x14ac:dyDescent="0.25">
      <c r="B375" s="112" t="s">
        <v>2051</v>
      </c>
      <c r="C375" s="6" t="s">
        <v>2052</v>
      </c>
      <c r="D375" s="9" t="s">
        <v>4</v>
      </c>
      <c r="E375" s="9" t="s">
        <v>109</v>
      </c>
      <c r="F375" s="9">
        <v>3</v>
      </c>
      <c r="G375" s="9"/>
      <c r="H375" s="9"/>
      <c r="I375" s="7"/>
      <c r="J375" s="7"/>
      <c r="K375" s="7"/>
      <c r="L375" s="7"/>
      <c r="M375" s="122"/>
      <c r="N375" s="122"/>
      <c r="O375" s="122"/>
      <c r="P375" s="96"/>
      <c r="Q375" s="14">
        <v>0.3</v>
      </c>
      <c r="R375" s="93">
        <f t="shared" ref="R375" si="39">+BN375</f>
        <v>0</v>
      </c>
      <c r="S375" s="93">
        <f t="shared" ref="S375" si="40">+BS375</f>
        <v>0</v>
      </c>
      <c r="T375" s="122" t="s">
        <v>1518</v>
      </c>
      <c r="U375" s="7"/>
      <c r="V375" s="7"/>
      <c r="W375" s="122"/>
      <c r="X375" s="122"/>
      <c r="Y375" s="122" t="s">
        <v>1518</v>
      </c>
      <c r="Z375" s="7"/>
      <c r="AA375" s="7">
        <v>1</v>
      </c>
      <c r="AB375" s="7"/>
      <c r="AC375" s="7">
        <v>1</v>
      </c>
      <c r="AD375" s="7">
        <v>1</v>
      </c>
      <c r="AE375" s="7"/>
      <c r="AF375" s="7">
        <v>1</v>
      </c>
      <c r="AG375" s="7">
        <v>1</v>
      </c>
      <c r="AH375" s="7"/>
      <c r="AI375" s="7"/>
      <c r="AJ375" s="7"/>
      <c r="AK375" s="7"/>
      <c r="AL375" s="7">
        <v>1</v>
      </c>
      <c r="AM375" s="16">
        <v>45383</v>
      </c>
      <c r="AN375" s="4"/>
      <c r="AO375" s="6" t="s">
        <v>1000</v>
      </c>
      <c r="AP375" s="11"/>
      <c r="AQ375" s="4"/>
      <c r="AR375" s="4"/>
      <c r="AS375" s="11">
        <v>400</v>
      </c>
      <c r="AT375" s="11"/>
      <c r="AU375" s="11"/>
      <c r="AV375" s="11"/>
      <c r="AW375" s="4"/>
      <c r="AX375" s="4">
        <f t="shared" ref="AX375" si="41">SUM(AA375:AL375)</f>
        <v>6</v>
      </c>
      <c r="AY375" s="93"/>
      <c r="AZ375" s="267">
        <v>4</v>
      </c>
    </row>
    <row r="376" spans="1:52" ht="26.25" customHeight="1" x14ac:dyDescent="0.25">
      <c r="B376" s="112" t="s">
        <v>268</v>
      </c>
      <c r="C376" s="6" t="s">
        <v>1324</v>
      </c>
      <c r="D376" s="8" t="s">
        <v>4</v>
      </c>
      <c r="E376" s="8" t="s">
        <v>54</v>
      </c>
      <c r="F376" s="9">
        <v>5</v>
      </c>
      <c r="G376" s="9"/>
      <c r="H376" s="9"/>
      <c r="I376" s="7"/>
      <c r="J376" s="7"/>
      <c r="K376" s="7"/>
      <c r="L376" s="7"/>
      <c r="M376" s="122"/>
      <c r="N376" s="122"/>
      <c r="O376" s="122"/>
      <c r="P376" s="96"/>
      <c r="Q376" s="7"/>
      <c r="R376" s="93">
        <v>2.9479888141859618</v>
      </c>
      <c r="S376" s="93">
        <v>1.8827777777777825</v>
      </c>
      <c r="T376" s="122" t="s">
        <v>1518</v>
      </c>
      <c r="U376" s="7"/>
      <c r="V376" s="7"/>
      <c r="W376" s="122" t="s">
        <v>1518</v>
      </c>
      <c r="X376" s="122"/>
      <c r="Y376" s="122" t="s">
        <v>1518</v>
      </c>
      <c r="Z376" s="7"/>
      <c r="AA376" s="7"/>
      <c r="AB376" s="7">
        <v>1</v>
      </c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16">
        <v>44169</v>
      </c>
      <c r="AN376" s="4"/>
      <c r="AO376" s="11" t="s">
        <v>163</v>
      </c>
      <c r="AP376" s="11"/>
      <c r="AQ376" s="4"/>
      <c r="AR376" s="4"/>
      <c r="AS376" s="11">
        <v>160</v>
      </c>
      <c r="AT376" s="11"/>
      <c r="AU376" s="11"/>
      <c r="AV376" s="11"/>
      <c r="AW376" s="4"/>
      <c r="AX376" s="4">
        <f t="shared" si="33"/>
        <v>1</v>
      </c>
      <c r="AY376" s="93"/>
      <c r="AZ376" s="4">
        <v>1</v>
      </c>
    </row>
    <row r="377" spans="1:52" ht="14.25" customHeight="1" x14ac:dyDescent="0.25">
      <c r="B377" s="112" t="s">
        <v>1325</v>
      </c>
      <c r="C377" s="6" t="s">
        <v>1326</v>
      </c>
      <c r="D377" s="8" t="s">
        <v>3</v>
      </c>
      <c r="E377" s="9" t="s">
        <v>26</v>
      </c>
      <c r="F377" s="8" t="s">
        <v>51</v>
      </c>
      <c r="G377" s="8"/>
      <c r="H377" s="8"/>
      <c r="I377" s="7"/>
      <c r="J377" s="7"/>
      <c r="K377" s="7"/>
      <c r="L377" s="7"/>
      <c r="M377" s="122"/>
      <c r="N377" s="122"/>
      <c r="O377" s="122"/>
      <c r="P377" s="96"/>
      <c r="Q377" s="7"/>
      <c r="R377" s="93">
        <v>5.0430115504780694E-2</v>
      </c>
      <c r="S377" s="93">
        <v>2.8935399999999952E-3</v>
      </c>
      <c r="T377" s="122" t="s">
        <v>1518</v>
      </c>
      <c r="U377" s="7"/>
      <c r="V377" s="7"/>
      <c r="W377" s="122"/>
      <c r="X377" s="122"/>
      <c r="Y377" s="122"/>
      <c r="Z377" s="7"/>
      <c r="AA377" s="7">
        <v>1</v>
      </c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16">
        <v>44534</v>
      </c>
      <c r="AN377" s="4"/>
      <c r="AO377" s="11" t="s">
        <v>52</v>
      </c>
      <c r="AP377" s="11"/>
      <c r="AQ377" s="4"/>
      <c r="AR377" s="4"/>
      <c r="AS377" s="11">
        <v>51.4</v>
      </c>
      <c r="AT377" s="11"/>
      <c r="AU377" s="11"/>
      <c r="AV377" s="11"/>
      <c r="AW377" s="4"/>
      <c r="AX377" s="4">
        <f t="shared" si="33"/>
        <v>1</v>
      </c>
      <c r="AY377" s="93">
        <v>1</v>
      </c>
      <c r="AZ377" s="4">
        <v>0.25</v>
      </c>
    </row>
    <row r="378" spans="1:52" ht="14.25" customHeight="1" x14ac:dyDescent="0.25">
      <c r="B378" s="112" t="s">
        <v>269</v>
      </c>
      <c r="C378" s="6" t="s">
        <v>1327</v>
      </c>
      <c r="D378" s="8" t="s">
        <v>4</v>
      </c>
      <c r="E378" s="9" t="s">
        <v>26</v>
      </c>
      <c r="F378" s="9">
        <v>4</v>
      </c>
      <c r="G378" s="9">
        <v>4</v>
      </c>
      <c r="H378" s="9"/>
      <c r="I378" s="7"/>
      <c r="J378" s="7"/>
      <c r="K378" s="7"/>
      <c r="L378" s="7"/>
      <c r="M378" s="122" t="s">
        <v>1518</v>
      </c>
      <c r="N378" s="122" t="s">
        <v>1518</v>
      </c>
      <c r="O378" s="122"/>
      <c r="P378" s="96"/>
      <c r="Q378" s="7"/>
      <c r="R378" s="93">
        <v>0</v>
      </c>
      <c r="S378" s="93">
        <v>0</v>
      </c>
      <c r="T378" s="122" t="s">
        <v>1518</v>
      </c>
      <c r="U378" s="7"/>
      <c r="V378" s="7"/>
      <c r="W378" s="122" t="s">
        <v>1518</v>
      </c>
      <c r="X378" s="122" t="s">
        <v>1518</v>
      </c>
      <c r="Y378" s="122" t="s">
        <v>1518</v>
      </c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>
        <v>1</v>
      </c>
      <c r="AM378" s="16">
        <v>44169</v>
      </c>
      <c r="AN378" s="4"/>
      <c r="AO378" s="11" t="s">
        <v>126</v>
      </c>
      <c r="AP378" s="11" t="s">
        <v>224</v>
      </c>
      <c r="AQ378" s="4"/>
      <c r="AR378" s="4"/>
      <c r="AS378" s="11">
        <v>60</v>
      </c>
      <c r="AT378" s="11">
        <v>240</v>
      </c>
      <c r="AU378" s="11"/>
      <c r="AV378" s="11"/>
      <c r="AW378" s="4"/>
      <c r="AX378" s="4">
        <f t="shared" si="33"/>
        <v>1</v>
      </c>
      <c r="AY378" s="93"/>
      <c r="AZ378" s="4"/>
    </row>
    <row r="379" spans="1:52" ht="14.25" customHeight="1" x14ac:dyDescent="0.25">
      <c r="B379" s="92" t="s">
        <v>343</v>
      </c>
      <c r="C379" s="6" t="s">
        <v>1328</v>
      </c>
      <c r="D379" s="8" t="s">
        <v>5</v>
      </c>
      <c r="E379" s="9" t="s">
        <v>203</v>
      </c>
      <c r="F379" s="8" t="s">
        <v>336</v>
      </c>
      <c r="G379" s="8"/>
      <c r="H379" s="8"/>
      <c r="I379" s="7"/>
      <c r="J379" s="7"/>
      <c r="K379" s="7"/>
      <c r="L379" s="7" t="s">
        <v>14</v>
      </c>
      <c r="M379" s="122"/>
      <c r="N379" s="122"/>
      <c r="O379" s="122"/>
      <c r="P379" s="96"/>
      <c r="Q379" s="14">
        <v>0.3</v>
      </c>
      <c r="R379" s="93">
        <v>9.3311822408081024</v>
      </c>
      <c r="S379" s="93">
        <v>1.3462499999999968</v>
      </c>
      <c r="T379" s="122" t="s">
        <v>1518</v>
      </c>
      <c r="U379" s="7">
        <v>2</v>
      </c>
      <c r="V379" s="7"/>
      <c r="W379" s="122" t="s">
        <v>1518</v>
      </c>
      <c r="X379" s="122" t="s">
        <v>1518</v>
      </c>
      <c r="Y379" s="122"/>
      <c r="Z379" s="7"/>
      <c r="AA379" s="7">
        <v>3</v>
      </c>
      <c r="AB379" s="7">
        <v>1</v>
      </c>
      <c r="AC379" s="7"/>
      <c r="AD379" s="7"/>
      <c r="AE379" s="7">
        <v>3</v>
      </c>
      <c r="AF379" s="7"/>
      <c r="AG379" s="7">
        <v>1</v>
      </c>
      <c r="AH379" s="7"/>
      <c r="AI379" s="7">
        <v>1</v>
      </c>
      <c r="AJ379" s="7">
        <v>1</v>
      </c>
      <c r="AK379" s="7"/>
      <c r="AL379" s="7"/>
      <c r="AM379" s="16">
        <v>44169</v>
      </c>
      <c r="AN379" s="4"/>
      <c r="AO379" s="11" t="s">
        <v>344</v>
      </c>
      <c r="AP379" s="4"/>
      <c r="AQ379" s="4"/>
      <c r="AR379" s="4"/>
      <c r="AS379" s="11">
        <v>500</v>
      </c>
      <c r="AT379" s="11"/>
      <c r="AU379" s="11"/>
      <c r="AV379" s="11"/>
      <c r="AW379" s="4"/>
      <c r="AX379" s="4">
        <f t="shared" si="33"/>
        <v>10</v>
      </c>
      <c r="AY379" s="93" t="s">
        <v>1517</v>
      </c>
      <c r="AZ379" s="4">
        <v>0.15</v>
      </c>
    </row>
    <row r="380" spans="1:52" ht="14.25" customHeight="1" x14ac:dyDescent="0.25">
      <c r="B380" s="92" t="s">
        <v>345</v>
      </c>
      <c r="C380" s="6" t="s">
        <v>1688</v>
      </c>
      <c r="D380" s="8" t="s">
        <v>5</v>
      </c>
      <c r="E380" s="8" t="s">
        <v>1689</v>
      </c>
      <c r="F380" s="8" t="s">
        <v>336</v>
      </c>
      <c r="G380" s="8"/>
      <c r="H380" s="8"/>
      <c r="I380" s="7"/>
      <c r="J380" s="7"/>
      <c r="K380" s="7"/>
      <c r="L380" s="7" t="s">
        <v>14</v>
      </c>
      <c r="M380" s="122"/>
      <c r="N380" s="122"/>
      <c r="O380" s="122"/>
      <c r="P380" s="96"/>
      <c r="Q380" s="14">
        <v>0.3</v>
      </c>
      <c r="R380" s="93">
        <v>9.3311822408081024</v>
      </c>
      <c r="S380" s="93">
        <v>1.3462499999999968</v>
      </c>
      <c r="T380" s="122" t="s">
        <v>1518</v>
      </c>
      <c r="U380" s="7">
        <v>2</v>
      </c>
      <c r="V380" s="7"/>
      <c r="W380" s="122" t="s">
        <v>1518</v>
      </c>
      <c r="X380" s="122" t="s">
        <v>1518</v>
      </c>
      <c r="Y380" s="122"/>
      <c r="Z380" s="7"/>
      <c r="AA380" s="7">
        <v>3</v>
      </c>
      <c r="AB380" s="7">
        <v>1</v>
      </c>
      <c r="AC380" s="7"/>
      <c r="AD380" s="7"/>
      <c r="AE380" s="7">
        <v>3</v>
      </c>
      <c r="AF380" s="7"/>
      <c r="AG380" s="7">
        <v>1</v>
      </c>
      <c r="AH380" s="7"/>
      <c r="AI380" s="7">
        <v>1</v>
      </c>
      <c r="AJ380" s="7">
        <v>1</v>
      </c>
      <c r="AK380" s="7"/>
      <c r="AL380" s="7"/>
      <c r="AM380" s="16">
        <v>44169</v>
      </c>
      <c r="AN380" s="4"/>
      <c r="AO380" s="11" t="s">
        <v>344</v>
      </c>
      <c r="AP380" s="4"/>
      <c r="AQ380" s="4"/>
      <c r="AR380" s="4"/>
      <c r="AS380" s="11">
        <v>500</v>
      </c>
      <c r="AT380" s="11"/>
      <c r="AU380" s="11"/>
      <c r="AV380" s="11"/>
      <c r="AW380" s="4"/>
      <c r="AX380" s="4">
        <f t="shared" si="33"/>
        <v>10</v>
      </c>
      <c r="AY380" s="93" t="s">
        <v>1517</v>
      </c>
      <c r="AZ380" s="4">
        <v>0.15</v>
      </c>
    </row>
    <row r="381" spans="1:52" ht="14.25" customHeight="1" x14ac:dyDescent="0.25">
      <c r="B381" s="112" t="s">
        <v>1598</v>
      </c>
      <c r="C381" s="6" t="s">
        <v>1599</v>
      </c>
      <c r="D381" s="8" t="s">
        <v>5</v>
      </c>
      <c r="E381" s="9" t="s">
        <v>26</v>
      </c>
      <c r="F381" s="8" t="s">
        <v>319</v>
      </c>
      <c r="G381" s="8"/>
      <c r="H381" s="8"/>
      <c r="I381" s="7"/>
      <c r="J381" s="7"/>
      <c r="K381" s="7"/>
      <c r="L381" s="7" t="s">
        <v>14</v>
      </c>
      <c r="M381" s="122"/>
      <c r="N381" s="122"/>
      <c r="O381" s="122"/>
      <c r="P381" s="96"/>
      <c r="Q381" s="7"/>
      <c r="R381" s="93">
        <v>18.289336497105278</v>
      </c>
      <c r="S381" s="93">
        <v>695.56249999999977</v>
      </c>
      <c r="T381" s="122" t="s">
        <v>1518</v>
      </c>
      <c r="U381" s="7"/>
      <c r="V381" s="7"/>
      <c r="W381" s="122"/>
      <c r="X381" s="122"/>
      <c r="Y381" s="122"/>
      <c r="Z381" s="7"/>
      <c r="AA381" s="7"/>
      <c r="AB381" s="7">
        <v>3</v>
      </c>
      <c r="AC381" s="7">
        <v>3</v>
      </c>
      <c r="AD381" s="7"/>
      <c r="AE381" s="7">
        <v>1</v>
      </c>
      <c r="AF381" s="7"/>
      <c r="AG381" s="7"/>
      <c r="AH381" s="7"/>
      <c r="AI381" s="7"/>
      <c r="AJ381" s="7"/>
      <c r="AK381" s="7">
        <v>3</v>
      </c>
      <c r="AL381" s="7"/>
      <c r="AM381" s="16">
        <v>44540</v>
      </c>
      <c r="AN381" s="4"/>
      <c r="AO381" s="11" t="s">
        <v>331</v>
      </c>
      <c r="AP381" s="4"/>
      <c r="AQ381" s="4"/>
      <c r="AR381" s="4"/>
      <c r="AS381" s="11">
        <v>200</v>
      </c>
      <c r="AT381" s="11"/>
      <c r="AU381" s="11"/>
      <c r="AV381" s="11"/>
      <c r="AW381" s="4"/>
      <c r="AX381" s="4">
        <f t="shared" si="33"/>
        <v>10</v>
      </c>
      <c r="AY381" s="93">
        <v>1</v>
      </c>
      <c r="AZ381" s="4">
        <v>0.2</v>
      </c>
    </row>
    <row r="382" spans="1:52" ht="14.25" customHeight="1" x14ac:dyDescent="0.25">
      <c r="B382" s="92" t="s">
        <v>1590</v>
      </c>
      <c r="C382" s="6" t="s">
        <v>1591</v>
      </c>
      <c r="D382" s="8" t="s">
        <v>4</v>
      </c>
      <c r="E382" s="8" t="s">
        <v>26</v>
      </c>
      <c r="F382" s="9">
        <v>4</v>
      </c>
      <c r="G382" s="9">
        <v>4</v>
      </c>
      <c r="H382" s="9"/>
      <c r="I382" s="7"/>
      <c r="J382" s="7">
        <v>6</v>
      </c>
      <c r="K382" s="7"/>
      <c r="L382" s="7"/>
      <c r="M382" s="122"/>
      <c r="N382" s="122"/>
      <c r="O382" s="122"/>
      <c r="P382" s="96"/>
      <c r="Q382" s="14"/>
      <c r="R382" s="93">
        <v>0.33336208871290962</v>
      </c>
      <c r="S382" s="93">
        <v>145.8394502340991</v>
      </c>
      <c r="T382" s="122" t="s">
        <v>1518</v>
      </c>
      <c r="U382" s="7"/>
      <c r="V382" s="7"/>
      <c r="W382" s="122" t="s">
        <v>1518</v>
      </c>
      <c r="X382" s="122"/>
      <c r="Y382" s="122"/>
      <c r="Z382" s="7"/>
      <c r="AA382" s="7">
        <v>1</v>
      </c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16">
        <v>44540</v>
      </c>
      <c r="AN382" s="4"/>
      <c r="AO382" s="11" t="s">
        <v>215</v>
      </c>
      <c r="AP382" s="4" t="s">
        <v>1592</v>
      </c>
      <c r="AQ382" s="4" t="s">
        <v>300</v>
      </c>
      <c r="AR382" s="4"/>
      <c r="AS382" s="11">
        <v>280</v>
      </c>
      <c r="AT382" s="11">
        <v>12.5</v>
      </c>
      <c r="AU382" s="11">
        <v>12</v>
      </c>
      <c r="AV382" s="11"/>
      <c r="AW382" s="4"/>
      <c r="AX382" s="4">
        <f t="shared" si="33"/>
        <v>1</v>
      </c>
      <c r="AY382" s="93">
        <v>1</v>
      </c>
      <c r="AZ382" s="4">
        <v>0.5</v>
      </c>
    </row>
    <row r="383" spans="1:52" s="52" customFormat="1" ht="14.25" customHeight="1" x14ac:dyDescent="0.25">
      <c r="A383" s="1"/>
      <c r="B383" s="112" t="s">
        <v>270</v>
      </c>
      <c r="C383" s="6" t="s">
        <v>1329</v>
      </c>
      <c r="D383" s="8" t="s">
        <v>4</v>
      </c>
      <c r="E383" s="9" t="s">
        <v>26</v>
      </c>
      <c r="F383" s="9">
        <v>4</v>
      </c>
      <c r="G383" s="9">
        <v>4</v>
      </c>
      <c r="H383" s="9"/>
      <c r="I383" s="7">
        <v>6</v>
      </c>
      <c r="J383" s="7"/>
      <c r="K383" s="7">
        <v>6</v>
      </c>
      <c r="L383" s="7" t="s">
        <v>14</v>
      </c>
      <c r="M383" s="122"/>
      <c r="N383" s="122"/>
      <c r="O383" s="122"/>
      <c r="P383" s="96"/>
      <c r="Q383" s="7"/>
      <c r="R383" s="93">
        <v>2.6944291739012294</v>
      </c>
      <c r="S383" s="93">
        <v>381.78506373355282</v>
      </c>
      <c r="T383" s="122" t="s">
        <v>1518</v>
      </c>
      <c r="U383" s="7"/>
      <c r="V383" s="7"/>
      <c r="W383" s="122" t="s">
        <v>1518</v>
      </c>
      <c r="X383" s="122"/>
      <c r="Y383" s="122" t="s">
        <v>1518</v>
      </c>
      <c r="Z383" s="7" t="s">
        <v>7</v>
      </c>
      <c r="AA383" s="7">
        <v>1</v>
      </c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>
        <v>1</v>
      </c>
      <c r="AM383" s="16">
        <v>44540</v>
      </c>
      <c r="AN383" s="4"/>
      <c r="AO383" s="6" t="s">
        <v>1022</v>
      </c>
      <c r="AP383" s="6" t="s">
        <v>112</v>
      </c>
      <c r="AQ383" s="4"/>
      <c r="AR383" s="4"/>
      <c r="AS383" s="11">
        <v>405</v>
      </c>
      <c r="AT383" s="11">
        <v>170</v>
      </c>
      <c r="AU383" s="11"/>
      <c r="AV383" s="11"/>
      <c r="AW383" s="4"/>
      <c r="AX383" s="4">
        <f t="shared" si="33"/>
        <v>2</v>
      </c>
      <c r="AY383" s="93"/>
      <c r="AZ383" s="4">
        <v>2.5</v>
      </c>
    </row>
    <row r="384" spans="1:52" s="52" customFormat="1" ht="14.25" customHeight="1" x14ac:dyDescent="0.25">
      <c r="B384" s="112" t="s">
        <v>1330</v>
      </c>
      <c r="C384" s="6" t="s">
        <v>1331</v>
      </c>
      <c r="D384" s="9" t="s">
        <v>3</v>
      </c>
      <c r="E384" s="7" t="s">
        <v>19</v>
      </c>
      <c r="F384" s="9" t="s">
        <v>20</v>
      </c>
      <c r="G384" s="9"/>
      <c r="H384" s="9"/>
      <c r="I384" s="7"/>
      <c r="J384" s="7"/>
      <c r="K384" s="7"/>
      <c r="L384" s="7"/>
      <c r="M384" s="122"/>
      <c r="N384" s="122"/>
      <c r="O384" s="122"/>
      <c r="P384" s="96"/>
      <c r="Q384" s="7"/>
      <c r="R384" s="93">
        <v>64.61058916832306</v>
      </c>
      <c r="S384" s="93">
        <v>14.885923566878985</v>
      </c>
      <c r="T384" s="122" t="s">
        <v>1518</v>
      </c>
      <c r="U384" s="7"/>
      <c r="V384" s="7"/>
      <c r="W384" s="124"/>
      <c r="X384" s="124"/>
      <c r="Y384" s="122" t="s">
        <v>1518</v>
      </c>
      <c r="Z384" s="12"/>
      <c r="AA384" s="7"/>
      <c r="AB384" s="7"/>
      <c r="AC384" s="7">
        <v>1</v>
      </c>
      <c r="AD384" s="7"/>
      <c r="AE384" s="7"/>
      <c r="AF384" s="7"/>
      <c r="AG384" s="7"/>
      <c r="AH384" s="7"/>
      <c r="AI384" s="7"/>
      <c r="AJ384" s="7"/>
      <c r="AK384" s="7"/>
      <c r="AL384" s="7"/>
      <c r="AM384" s="16">
        <v>44169</v>
      </c>
      <c r="AN384" s="4"/>
      <c r="AO384" s="6" t="s">
        <v>1332</v>
      </c>
      <c r="AP384" s="4"/>
      <c r="AQ384" s="4"/>
      <c r="AR384" s="4"/>
      <c r="AS384" s="11">
        <v>700</v>
      </c>
      <c r="AT384" s="11"/>
      <c r="AU384" s="11"/>
      <c r="AV384" s="11"/>
      <c r="AW384" s="4"/>
      <c r="AX384" s="4">
        <f t="shared" si="33"/>
        <v>1</v>
      </c>
      <c r="AY384" s="93"/>
      <c r="AZ384" s="4">
        <v>3</v>
      </c>
    </row>
    <row r="385" spans="1:52" ht="14.25" customHeight="1" x14ac:dyDescent="0.25">
      <c r="A385" s="52"/>
      <c r="B385" s="112" t="s">
        <v>271</v>
      </c>
      <c r="C385" s="6" t="s">
        <v>1333</v>
      </c>
      <c r="D385" s="8" t="s">
        <v>4</v>
      </c>
      <c r="E385" s="8" t="s">
        <v>13</v>
      </c>
      <c r="F385" s="9">
        <v>5</v>
      </c>
      <c r="G385" s="9">
        <v>15</v>
      </c>
      <c r="H385" s="9"/>
      <c r="I385" s="7">
        <v>6</v>
      </c>
      <c r="J385" s="7"/>
      <c r="K385" s="7"/>
      <c r="L385" s="7" t="s">
        <v>120</v>
      </c>
      <c r="M385" s="122" t="s">
        <v>1518</v>
      </c>
      <c r="N385" s="122" t="s">
        <v>1518</v>
      </c>
      <c r="O385" s="122" t="s">
        <v>1518</v>
      </c>
      <c r="P385" s="96" t="s">
        <v>1500</v>
      </c>
      <c r="Q385" s="7"/>
      <c r="R385" s="93">
        <v>25.70408004232268</v>
      </c>
      <c r="S385" s="93">
        <v>374.05323299282782</v>
      </c>
      <c r="T385" s="122" t="s">
        <v>1518</v>
      </c>
      <c r="U385" s="7"/>
      <c r="V385" s="7"/>
      <c r="W385" s="122" t="s">
        <v>1518</v>
      </c>
      <c r="X385" s="122"/>
      <c r="Y385" s="122" t="s">
        <v>1518</v>
      </c>
      <c r="Z385" s="7" t="s">
        <v>7</v>
      </c>
      <c r="AA385" s="7"/>
      <c r="AB385" s="7"/>
      <c r="AC385" s="7"/>
      <c r="AD385" s="7">
        <v>3</v>
      </c>
      <c r="AE385" s="7"/>
      <c r="AF385" s="7"/>
      <c r="AG385" s="7"/>
      <c r="AH385" s="7"/>
      <c r="AI385" s="7"/>
      <c r="AJ385" s="7"/>
      <c r="AK385" s="7"/>
      <c r="AL385" s="7"/>
      <c r="AM385" s="16">
        <v>44169</v>
      </c>
      <c r="AN385" s="4"/>
      <c r="AO385" s="4" t="s">
        <v>121</v>
      </c>
      <c r="AP385" s="4" t="s">
        <v>190</v>
      </c>
      <c r="AQ385" s="4"/>
      <c r="AR385" s="4"/>
      <c r="AS385" s="11">
        <v>187.5</v>
      </c>
      <c r="AT385" s="11">
        <v>300</v>
      </c>
      <c r="AU385" s="11"/>
      <c r="AV385" s="11"/>
      <c r="AW385" s="4" t="s">
        <v>1824</v>
      </c>
      <c r="AX385" s="4">
        <f t="shared" si="33"/>
        <v>3</v>
      </c>
      <c r="AY385" s="93"/>
      <c r="AZ385" s="4">
        <v>3</v>
      </c>
    </row>
    <row r="386" spans="1:52" ht="14.25" customHeight="1" x14ac:dyDescent="0.25">
      <c r="B386" s="112" t="s">
        <v>272</v>
      </c>
      <c r="C386" s="6" t="s">
        <v>1334</v>
      </c>
      <c r="D386" s="8" t="s">
        <v>4</v>
      </c>
      <c r="E386" s="8" t="s">
        <v>21</v>
      </c>
      <c r="F386" s="9">
        <v>2</v>
      </c>
      <c r="G386" s="9"/>
      <c r="H386" s="9"/>
      <c r="I386" s="7"/>
      <c r="J386" s="7">
        <v>6</v>
      </c>
      <c r="K386" s="7"/>
      <c r="L386" s="7"/>
      <c r="M386" s="122"/>
      <c r="N386" s="122"/>
      <c r="O386" s="122"/>
      <c r="P386" s="96"/>
      <c r="Q386" s="7"/>
      <c r="R386" s="93">
        <v>0.29587704119930397</v>
      </c>
      <c r="S386" s="93">
        <v>143.11655405405398</v>
      </c>
      <c r="T386" s="122" t="s">
        <v>1518</v>
      </c>
      <c r="U386" s="7"/>
      <c r="V386" s="7"/>
      <c r="W386" s="122"/>
      <c r="X386" s="122"/>
      <c r="Y386" s="122"/>
      <c r="Z386" s="7"/>
      <c r="AA386" s="7">
        <v>1</v>
      </c>
      <c r="AB386" s="7"/>
      <c r="AC386" s="7"/>
      <c r="AD386" s="7">
        <v>1</v>
      </c>
      <c r="AE386" s="7"/>
      <c r="AF386" s="7"/>
      <c r="AG386" s="7"/>
      <c r="AH386" s="7"/>
      <c r="AI386" s="7"/>
      <c r="AJ386" s="7"/>
      <c r="AK386" s="7"/>
      <c r="AL386" s="7"/>
      <c r="AM386" s="16">
        <v>44169</v>
      </c>
      <c r="AN386" s="4"/>
      <c r="AO386" s="6" t="s">
        <v>1010</v>
      </c>
      <c r="AP386" s="4"/>
      <c r="AQ386" s="4"/>
      <c r="AR386" s="4"/>
      <c r="AS386" s="11">
        <v>50</v>
      </c>
      <c r="AT386" s="11"/>
      <c r="AU386" s="11"/>
      <c r="AV386" s="11"/>
      <c r="AW386" s="4"/>
      <c r="AX386" s="4">
        <f t="shared" si="33"/>
        <v>2</v>
      </c>
      <c r="AY386" s="93">
        <v>1</v>
      </c>
      <c r="AZ386" s="4">
        <v>0.125</v>
      </c>
    </row>
    <row r="387" spans="1:52" ht="14.25" customHeight="1" x14ac:dyDescent="0.25">
      <c r="B387" s="112" t="s">
        <v>273</v>
      </c>
      <c r="C387" s="6" t="s">
        <v>1335</v>
      </c>
      <c r="D387" s="8" t="s">
        <v>4</v>
      </c>
      <c r="E387" s="8" t="s">
        <v>17</v>
      </c>
      <c r="F387" s="9">
        <v>2</v>
      </c>
      <c r="G387" s="9">
        <v>2</v>
      </c>
      <c r="H387" s="9"/>
      <c r="I387" s="7">
        <v>6</v>
      </c>
      <c r="J387" s="7">
        <v>6</v>
      </c>
      <c r="K387" s="7"/>
      <c r="L387" s="7"/>
      <c r="M387" s="122" t="s">
        <v>1518</v>
      </c>
      <c r="N387" s="122" t="s">
        <v>1518</v>
      </c>
      <c r="O387" s="122"/>
      <c r="P387" s="96" t="s">
        <v>136</v>
      </c>
      <c r="Q387" s="14">
        <v>0.3</v>
      </c>
      <c r="R387" s="93">
        <v>3.3176464284511873</v>
      </c>
      <c r="S387" s="93">
        <v>1347.6180793629376</v>
      </c>
      <c r="T387" s="122" t="s">
        <v>1518</v>
      </c>
      <c r="U387" s="7"/>
      <c r="V387" s="7"/>
      <c r="W387" s="122"/>
      <c r="X387" s="122"/>
      <c r="Y387" s="122"/>
      <c r="Z387" s="7"/>
      <c r="AA387" s="7"/>
      <c r="AB387" s="7"/>
      <c r="AC387" s="7"/>
      <c r="AD387" s="7">
        <v>3</v>
      </c>
      <c r="AE387" s="7"/>
      <c r="AF387" s="7"/>
      <c r="AG387" s="7"/>
      <c r="AH387" s="7"/>
      <c r="AI387" s="7"/>
      <c r="AJ387" s="7"/>
      <c r="AK387" s="7"/>
      <c r="AL387" s="7"/>
      <c r="AM387" s="16">
        <v>44169</v>
      </c>
      <c r="AN387" s="4"/>
      <c r="AO387" s="4" t="s">
        <v>137</v>
      </c>
      <c r="AP387" s="4" t="s">
        <v>138</v>
      </c>
      <c r="AQ387" s="4"/>
      <c r="AR387" s="4"/>
      <c r="AS387" s="11">
        <v>429</v>
      </c>
      <c r="AT387" s="11">
        <v>107</v>
      </c>
      <c r="AU387" s="11"/>
      <c r="AV387" s="11"/>
      <c r="AW387" s="4" t="s">
        <v>1824</v>
      </c>
      <c r="AX387" s="4">
        <f t="shared" si="33"/>
        <v>3</v>
      </c>
      <c r="AY387" s="93">
        <v>1</v>
      </c>
      <c r="AZ387" s="4">
        <v>0.09</v>
      </c>
    </row>
    <row r="388" spans="1:52" ht="14.25" customHeight="1" x14ac:dyDescent="0.25">
      <c r="B388" s="112" t="s">
        <v>1496</v>
      </c>
      <c r="C388" s="6" t="s">
        <v>1336</v>
      </c>
      <c r="D388" s="8" t="s">
        <v>3</v>
      </c>
      <c r="E388" s="8" t="s">
        <v>29</v>
      </c>
      <c r="F388" s="8">
        <v>3</v>
      </c>
      <c r="G388" s="8">
        <v>11</v>
      </c>
      <c r="H388" s="8"/>
      <c r="I388" s="7"/>
      <c r="J388" s="7"/>
      <c r="K388" s="7"/>
      <c r="L388" s="7"/>
      <c r="M388" s="122" t="s">
        <v>1518</v>
      </c>
      <c r="N388" s="122" t="s">
        <v>1518</v>
      </c>
      <c r="O388" s="122"/>
      <c r="P388" s="96"/>
      <c r="Q388" s="14">
        <v>0.3</v>
      </c>
      <c r="R388" s="93">
        <v>4.1356031454494371</v>
      </c>
      <c r="S388" s="93">
        <v>6.9953156441102893</v>
      </c>
      <c r="T388" s="122" t="s">
        <v>1518</v>
      </c>
      <c r="U388" s="7"/>
      <c r="V388" s="7"/>
      <c r="W388" s="122"/>
      <c r="X388" s="122"/>
      <c r="Y388" s="122"/>
      <c r="Z388" s="7"/>
      <c r="AA388" s="7"/>
      <c r="AB388" s="7">
        <v>1</v>
      </c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16">
        <v>44169</v>
      </c>
      <c r="AN388" s="4"/>
      <c r="AO388" s="6" t="s">
        <v>1014</v>
      </c>
      <c r="AP388" s="6" t="s">
        <v>996</v>
      </c>
      <c r="AQ388" s="4"/>
      <c r="AR388" s="4"/>
      <c r="AS388" s="11">
        <v>125</v>
      </c>
      <c r="AT388" s="11">
        <v>200</v>
      </c>
      <c r="AU388" s="11"/>
      <c r="AV388" s="11"/>
      <c r="AW388" s="4"/>
      <c r="AX388" s="4">
        <f t="shared" si="33"/>
        <v>1</v>
      </c>
      <c r="AY388" s="93">
        <v>2</v>
      </c>
      <c r="AZ388" s="4">
        <v>1</v>
      </c>
    </row>
    <row r="389" spans="1:52" ht="14.25" customHeight="1" x14ac:dyDescent="0.25">
      <c r="B389" s="112" t="s">
        <v>1497</v>
      </c>
      <c r="C389" s="6" t="s">
        <v>1336</v>
      </c>
      <c r="D389" s="8" t="s">
        <v>3</v>
      </c>
      <c r="E389" s="8" t="s">
        <v>29</v>
      </c>
      <c r="F389" s="8">
        <v>3</v>
      </c>
      <c r="G389" s="8">
        <v>11</v>
      </c>
      <c r="H389" s="8"/>
      <c r="I389" s="7">
        <v>20</v>
      </c>
      <c r="J389" s="7"/>
      <c r="K389" s="7"/>
      <c r="L389" s="7"/>
      <c r="M389" s="122" t="s">
        <v>1518</v>
      </c>
      <c r="N389" s="122" t="s">
        <v>1518</v>
      </c>
      <c r="O389" s="122"/>
      <c r="P389" s="96"/>
      <c r="Q389" s="14">
        <v>0.3</v>
      </c>
      <c r="R389" s="93">
        <v>4.1356031454494371</v>
      </c>
      <c r="S389" s="93">
        <v>6.9953156441102893</v>
      </c>
      <c r="T389" s="122" t="s">
        <v>1518</v>
      </c>
      <c r="U389" s="7"/>
      <c r="V389" s="7"/>
      <c r="W389" s="122"/>
      <c r="X389" s="122"/>
      <c r="Y389" s="122"/>
      <c r="Z389" s="7"/>
      <c r="AA389" s="7"/>
      <c r="AB389" s="7"/>
      <c r="AC389" s="7"/>
      <c r="AD389" s="7"/>
      <c r="AE389" s="7"/>
      <c r="AF389" s="7">
        <v>1</v>
      </c>
      <c r="AG389" s="7"/>
      <c r="AH389" s="7"/>
      <c r="AI389" s="7"/>
      <c r="AJ389" s="7"/>
      <c r="AK389" s="7"/>
      <c r="AL389" s="7"/>
      <c r="AM389" s="16">
        <v>44169</v>
      </c>
      <c r="AN389" s="4"/>
      <c r="AO389" s="6" t="s">
        <v>1014</v>
      </c>
      <c r="AP389" s="6" t="s">
        <v>996</v>
      </c>
      <c r="AQ389" s="4"/>
      <c r="AR389" s="4"/>
      <c r="AS389" s="11">
        <v>125</v>
      </c>
      <c r="AT389" s="11">
        <v>200</v>
      </c>
      <c r="AU389" s="11"/>
      <c r="AV389" s="11"/>
      <c r="AW389" s="4"/>
      <c r="AX389" s="4">
        <f t="shared" si="33"/>
        <v>1</v>
      </c>
      <c r="AY389" s="93">
        <v>1</v>
      </c>
      <c r="AZ389" s="4">
        <v>1</v>
      </c>
    </row>
    <row r="390" spans="1:52" ht="14.25" customHeight="1" x14ac:dyDescent="0.25">
      <c r="B390" s="112" t="s">
        <v>1508</v>
      </c>
      <c r="C390" s="6" t="s">
        <v>1511</v>
      </c>
      <c r="D390" s="8" t="s">
        <v>7</v>
      </c>
      <c r="E390" s="7" t="s">
        <v>19</v>
      </c>
      <c r="F390" s="138" t="s">
        <v>1555</v>
      </c>
      <c r="G390" s="138" t="s">
        <v>1555</v>
      </c>
      <c r="H390" s="8"/>
      <c r="I390" s="7"/>
      <c r="J390" s="7"/>
      <c r="K390" s="7"/>
      <c r="L390" s="7"/>
      <c r="M390" s="122"/>
      <c r="N390" s="122"/>
      <c r="O390" s="122"/>
      <c r="P390" s="96"/>
      <c r="Q390" s="7"/>
      <c r="R390" s="93">
        <v>3.6020544857369406E-2</v>
      </c>
      <c r="S390" s="93">
        <v>1.2202850877192954</v>
      </c>
      <c r="T390" s="122" t="s">
        <v>1518</v>
      </c>
      <c r="U390" s="7"/>
      <c r="V390" s="7"/>
      <c r="W390" s="122"/>
      <c r="X390" s="122"/>
      <c r="Y390" s="122"/>
      <c r="Z390" s="7"/>
      <c r="AA390" s="7">
        <v>1</v>
      </c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16">
        <v>44169</v>
      </c>
      <c r="AN390" s="4"/>
      <c r="AO390" s="4" t="s">
        <v>372</v>
      </c>
      <c r="AP390" s="4" t="s">
        <v>371</v>
      </c>
      <c r="AQ390" s="4"/>
      <c r="AR390" s="4"/>
      <c r="AS390" s="11">
        <v>75</v>
      </c>
      <c r="AT390" s="11">
        <v>50</v>
      </c>
      <c r="AU390" s="11"/>
      <c r="AV390" s="11"/>
      <c r="AW390" s="4"/>
      <c r="AX390" s="4">
        <f t="shared" si="33"/>
        <v>1</v>
      </c>
      <c r="AY390" s="93"/>
      <c r="AZ390" s="4">
        <v>1</v>
      </c>
    </row>
    <row r="391" spans="1:52" ht="14.25" customHeight="1" x14ac:dyDescent="0.25">
      <c r="B391" s="112" t="s">
        <v>89</v>
      </c>
      <c r="C391" s="6" t="s">
        <v>1337</v>
      </c>
      <c r="D391" s="8" t="s">
        <v>3</v>
      </c>
      <c r="E391" s="8" t="s">
        <v>21</v>
      </c>
      <c r="F391" s="8">
        <v>3</v>
      </c>
      <c r="G391" s="8"/>
      <c r="H391" s="8"/>
      <c r="I391" s="7"/>
      <c r="J391" s="7"/>
      <c r="K391" s="7"/>
      <c r="L391" s="7"/>
      <c r="M391" s="122"/>
      <c r="N391" s="122"/>
      <c r="O391" s="122"/>
      <c r="P391" s="96"/>
      <c r="Q391" s="7"/>
      <c r="R391" s="93">
        <v>9.4472523381920789E-2</v>
      </c>
      <c r="S391" s="93">
        <v>0.4946222222222228</v>
      </c>
      <c r="T391" s="122" t="s">
        <v>1518</v>
      </c>
      <c r="U391" s="7"/>
      <c r="V391" s="7"/>
      <c r="W391" s="122" t="s">
        <v>1518</v>
      </c>
      <c r="X391" s="122" t="s">
        <v>1518</v>
      </c>
      <c r="Y391" s="122"/>
      <c r="Z391" s="7"/>
      <c r="AA391" s="7">
        <v>1</v>
      </c>
      <c r="AB391" s="7">
        <v>1</v>
      </c>
      <c r="AC391" s="7"/>
      <c r="AD391" s="7"/>
      <c r="AE391" s="7">
        <v>1</v>
      </c>
      <c r="AF391" s="7"/>
      <c r="AG391" s="7"/>
      <c r="AH391" s="7"/>
      <c r="AI391" s="7"/>
      <c r="AJ391" s="7"/>
      <c r="AK391" s="7"/>
      <c r="AL391" s="7"/>
      <c r="AM391" s="16">
        <v>45262</v>
      </c>
      <c r="AN391" s="4"/>
      <c r="AO391" s="11" t="s">
        <v>15</v>
      </c>
      <c r="AP391" s="4"/>
      <c r="AQ391" s="4"/>
      <c r="AR391" s="4"/>
      <c r="AS391" s="11">
        <v>250</v>
      </c>
      <c r="AT391" s="11"/>
      <c r="AU391" s="11"/>
      <c r="AV391" s="11"/>
      <c r="AW391" s="4"/>
      <c r="AX391" s="4">
        <f t="shared" si="33"/>
        <v>3</v>
      </c>
      <c r="AY391" s="93" t="s">
        <v>936</v>
      </c>
      <c r="AZ391" s="4">
        <v>0.8</v>
      </c>
    </row>
    <row r="392" spans="1:52" ht="14.25" customHeight="1" x14ac:dyDescent="0.25">
      <c r="B392" s="116" t="s">
        <v>1871</v>
      </c>
      <c r="C392" s="6" t="s">
        <v>1338</v>
      </c>
      <c r="D392" s="54" t="s">
        <v>4</v>
      </c>
      <c r="E392" s="9" t="s">
        <v>26</v>
      </c>
      <c r="F392" s="9">
        <v>5</v>
      </c>
      <c r="G392" s="9"/>
      <c r="H392" s="9"/>
      <c r="I392" s="50"/>
      <c r="J392" s="50">
        <v>6</v>
      </c>
      <c r="K392" s="50"/>
      <c r="L392" s="50"/>
      <c r="M392" s="123"/>
      <c r="N392" s="123"/>
      <c r="O392" s="123"/>
      <c r="P392" s="97"/>
      <c r="Q392" s="50"/>
      <c r="R392" s="93">
        <v>0.75974662004126803</v>
      </c>
      <c r="S392" s="93">
        <v>185.69863013698622</v>
      </c>
      <c r="T392" s="123" t="s">
        <v>1518</v>
      </c>
      <c r="U392" s="50"/>
      <c r="V392" s="50"/>
      <c r="W392" s="123"/>
      <c r="X392" s="123"/>
      <c r="Y392" s="123" t="s">
        <v>1518</v>
      </c>
      <c r="Z392" s="50"/>
      <c r="AA392" s="50"/>
      <c r="AB392" s="50"/>
      <c r="AC392" s="50"/>
      <c r="AD392" s="50"/>
      <c r="AE392" s="50"/>
      <c r="AF392" s="50">
        <v>1</v>
      </c>
      <c r="AG392" s="50"/>
      <c r="AH392" s="50">
        <v>1</v>
      </c>
      <c r="AI392" s="50"/>
      <c r="AJ392" s="50"/>
      <c r="AK392" s="50"/>
      <c r="AL392" s="50"/>
      <c r="AM392" s="16">
        <v>44169</v>
      </c>
      <c r="AN392" s="51"/>
      <c r="AO392" s="6" t="s">
        <v>1032</v>
      </c>
      <c r="AP392" s="51"/>
      <c r="AQ392" s="51"/>
      <c r="AR392" s="51"/>
      <c r="AS392" s="53">
        <v>500</v>
      </c>
      <c r="AT392" s="53"/>
      <c r="AU392" s="53"/>
      <c r="AV392" s="53"/>
      <c r="AW392" s="51"/>
      <c r="AX392" s="4">
        <f t="shared" si="33"/>
        <v>2</v>
      </c>
      <c r="AY392" s="94">
        <v>1</v>
      </c>
      <c r="AZ392" s="51">
        <v>4</v>
      </c>
    </row>
    <row r="393" spans="1:52" ht="14.25" customHeight="1" x14ac:dyDescent="0.25">
      <c r="B393" s="116" t="s">
        <v>1872</v>
      </c>
      <c r="C393" s="6" t="s">
        <v>1338</v>
      </c>
      <c r="D393" s="54" t="s">
        <v>4</v>
      </c>
      <c r="E393" s="9" t="s">
        <v>26</v>
      </c>
      <c r="F393" s="9">
        <v>5</v>
      </c>
      <c r="G393" s="9"/>
      <c r="H393" s="9"/>
      <c r="I393" s="50"/>
      <c r="J393" s="50">
        <v>20</v>
      </c>
      <c r="K393" s="50"/>
      <c r="L393" s="50"/>
      <c r="M393" s="123"/>
      <c r="N393" s="123"/>
      <c r="O393" s="123"/>
      <c r="P393" s="97"/>
      <c r="Q393" s="50"/>
      <c r="R393" s="93">
        <v>0.56980996503095105</v>
      </c>
      <c r="S393" s="93">
        <v>139.27397260273966</v>
      </c>
      <c r="T393" s="123" t="s">
        <v>1518</v>
      </c>
      <c r="U393" s="50"/>
      <c r="V393" s="50"/>
      <c r="W393" s="123"/>
      <c r="X393" s="123"/>
      <c r="Y393" s="123" t="s">
        <v>1518</v>
      </c>
      <c r="Z393" s="50"/>
      <c r="AA393" s="50"/>
      <c r="AB393" s="50"/>
      <c r="AC393" s="50">
        <v>1</v>
      </c>
      <c r="AD393" s="50"/>
      <c r="AE393" s="50"/>
      <c r="AF393" s="50"/>
      <c r="AG393" s="50"/>
      <c r="AH393" s="50"/>
      <c r="AI393" s="50"/>
      <c r="AJ393" s="50"/>
      <c r="AK393" s="50"/>
      <c r="AL393" s="50"/>
      <c r="AM393" s="16">
        <v>44911</v>
      </c>
      <c r="AN393" s="51"/>
      <c r="AO393" s="6" t="s">
        <v>1032</v>
      </c>
      <c r="AP393" s="51"/>
      <c r="AQ393" s="51"/>
      <c r="AR393" s="51"/>
      <c r="AS393" s="53">
        <v>500</v>
      </c>
      <c r="AT393" s="53"/>
      <c r="AU393" s="53"/>
      <c r="AV393" s="53"/>
      <c r="AW393" s="51"/>
      <c r="AX393" s="4">
        <f t="shared" ref="AX393:AX425" si="42">SUM(AA393:AL393)</f>
        <v>1</v>
      </c>
      <c r="AY393" s="94">
        <v>1</v>
      </c>
      <c r="AZ393" s="51">
        <v>3</v>
      </c>
    </row>
    <row r="394" spans="1:52" ht="14.25" customHeight="1" x14ac:dyDescent="0.25">
      <c r="B394" s="112" t="s">
        <v>90</v>
      </c>
      <c r="C394" s="6" t="s">
        <v>1339</v>
      </c>
      <c r="D394" s="9" t="s">
        <v>3</v>
      </c>
      <c r="E394" s="7" t="s">
        <v>21</v>
      </c>
      <c r="F394" s="9">
        <v>3</v>
      </c>
      <c r="G394" s="9">
        <v>5</v>
      </c>
      <c r="H394" s="9"/>
      <c r="I394" s="7">
        <v>20</v>
      </c>
      <c r="J394" s="7"/>
      <c r="K394" s="7"/>
      <c r="L394" s="7" t="s">
        <v>120</v>
      </c>
      <c r="M394" s="122"/>
      <c r="N394" s="122"/>
      <c r="O394" s="122"/>
      <c r="P394" s="96"/>
      <c r="Q394" s="14">
        <v>0.3</v>
      </c>
      <c r="R394" s="93">
        <v>19.542358393337743</v>
      </c>
      <c r="S394" s="93">
        <v>8.1625216004880148</v>
      </c>
      <c r="T394" s="122" t="s">
        <v>1518</v>
      </c>
      <c r="U394" s="7"/>
      <c r="V394" s="7"/>
      <c r="W394" s="122" t="s">
        <v>1518</v>
      </c>
      <c r="X394" s="122"/>
      <c r="Y394" s="122" t="s">
        <v>1518</v>
      </c>
      <c r="Z394" s="7"/>
      <c r="AA394" s="7">
        <v>1</v>
      </c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16">
        <v>44169</v>
      </c>
      <c r="AN394" s="4"/>
      <c r="AO394" s="11" t="s">
        <v>41</v>
      </c>
      <c r="AP394" s="11" t="s">
        <v>42</v>
      </c>
      <c r="AQ394" s="11"/>
      <c r="AR394" s="4"/>
      <c r="AS394" s="11">
        <v>133</v>
      </c>
      <c r="AT394" s="11">
        <v>250</v>
      </c>
      <c r="AU394" s="11"/>
      <c r="AV394" s="11"/>
      <c r="AW394" s="4"/>
      <c r="AX394" s="4">
        <f t="shared" si="42"/>
        <v>1</v>
      </c>
      <c r="AY394" s="93">
        <v>1</v>
      </c>
      <c r="AZ394" s="4">
        <v>1.5</v>
      </c>
    </row>
    <row r="395" spans="1:52" ht="24" customHeight="1" x14ac:dyDescent="0.25">
      <c r="B395" s="112" t="s">
        <v>1482</v>
      </c>
      <c r="C395" s="6" t="s">
        <v>1339</v>
      </c>
      <c r="D395" s="9" t="s">
        <v>3</v>
      </c>
      <c r="E395" s="7" t="s">
        <v>21</v>
      </c>
      <c r="F395" s="9">
        <v>3</v>
      </c>
      <c r="G395" s="9">
        <v>5</v>
      </c>
      <c r="H395" s="9"/>
      <c r="I395" s="7">
        <v>20</v>
      </c>
      <c r="J395" s="7"/>
      <c r="K395" s="7"/>
      <c r="L395" s="7" t="s">
        <v>14</v>
      </c>
      <c r="M395" s="122"/>
      <c r="N395" s="122"/>
      <c r="O395" s="122"/>
      <c r="P395" s="96"/>
      <c r="Q395" s="14">
        <v>0.3</v>
      </c>
      <c r="R395" s="93">
        <v>19.542358393337743</v>
      </c>
      <c r="S395" s="93">
        <v>8.1625216004880148</v>
      </c>
      <c r="T395" s="122" t="s">
        <v>1518</v>
      </c>
      <c r="U395" s="7"/>
      <c r="V395" s="7"/>
      <c r="W395" s="122" t="s">
        <v>1518</v>
      </c>
      <c r="X395" s="122"/>
      <c r="Y395" s="122" t="s">
        <v>1518</v>
      </c>
      <c r="Z395" s="7"/>
      <c r="AA395" s="7">
        <v>1</v>
      </c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16">
        <v>44169</v>
      </c>
      <c r="AN395" s="4"/>
      <c r="AO395" s="11" t="s">
        <v>41</v>
      </c>
      <c r="AP395" s="11" t="s">
        <v>42</v>
      </c>
      <c r="AQ395" s="11"/>
      <c r="AR395" s="4"/>
      <c r="AS395" s="11">
        <v>133</v>
      </c>
      <c r="AT395" s="11">
        <v>250</v>
      </c>
      <c r="AU395" s="11"/>
      <c r="AV395" s="11"/>
      <c r="AW395" s="4"/>
      <c r="AX395" s="4">
        <f t="shared" si="42"/>
        <v>1</v>
      </c>
      <c r="AY395" s="93">
        <v>1</v>
      </c>
      <c r="AZ395" s="4">
        <v>1.5</v>
      </c>
    </row>
    <row r="396" spans="1:52" ht="24" customHeight="1" x14ac:dyDescent="0.25">
      <c r="B396" s="114" t="s">
        <v>1340</v>
      </c>
      <c r="C396" s="6" t="s">
        <v>1341</v>
      </c>
      <c r="D396" s="8" t="s">
        <v>4</v>
      </c>
      <c r="E396" s="8" t="s">
        <v>54</v>
      </c>
      <c r="F396" s="9">
        <v>1</v>
      </c>
      <c r="G396" s="9"/>
      <c r="H396" s="9"/>
      <c r="I396" s="7"/>
      <c r="J396" s="7"/>
      <c r="K396" s="7"/>
      <c r="L396" s="7"/>
      <c r="M396" s="122"/>
      <c r="N396" s="122"/>
      <c r="O396" s="122"/>
      <c r="P396" s="96"/>
      <c r="Q396" s="7"/>
      <c r="R396" s="93">
        <v>0.33114035087719268</v>
      </c>
      <c r="S396" s="93">
        <v>6.777999999999988</v>
      </c>
      <c r="T396" s="122" t="s">
        <v>1518</v>
      </c>
      <c r="U396" s="7"/>
      <c r="V396" s="7"/>
      <c r="W396" s="122" t="s">
        <v>1518</v>
      </c>
      <c r="X396" s="122"/>
      <c r="Y396" s="122"/>
      <c r="Z396" s="7"/>
      <c r="AA396" s="7"/>
      <c r="AB396" s="7">
        <v>1</v>
      </c>
      <c r="AC396" s="7">
        <v>1</v>
      </c>
      <c r="AD396" s="7"/>
      <c r="AE396" s="7">
        <v>1</v>
      </c>
      <c r="AF396" s="7"/>
      <c r="AG396" s="7">
        <v>1</v>
      </c>
      <c r="AH396" s="7">
        <v>1</v>
      </c>
      <c r="AI396" s="7">
        <v>1</v>
      </c>
      <c r="AJ396" s="7"/>
      <c r="AK396" s="7"/>
      <c r="AL396" s="7"/>
      <c r="AM396" s="16">
        <v>44169</v>
      </c>
      <c r="AN396" s="4"/>
      <c r="AO396" s="4" t="s">
        <v>665</v>
      </c>
      <c r="AP396" s="4"/>
      <c r="AQ396" s="4"/>
      <c r="AR396" s="4"/>
      <c r="AS396" s="11">
        <v>100</v>
      </c>
      <c r="AT396" s="11"/>
      <c r="AU396" s="11"/>
      <c r="AV396" s="11"/>
      <c r="AW396" s="4"/>
      <c r="AX396" s="4">
        <f t="shared" si="42"/>
        <v>6</v>
      </c>
      <c r="AY396" s="93">
        <v>1.25</v>
      </c>
      <c r="AZ396" s="4">
        <v>1</v>
      </c>
    </row>
    <row r="397" spans="1:52" ht="24" customHeight="1" x14ac:dyDescent="0.25">
      <c r="B397" s="112" t="s">
        <v>1342</v>
      </c>
      <c r="C397" s="6" t="s">
        <v>1343</v>
      </c>
      <c r="D397" s="8" t="s">
        <v>4</v>
      </c>
      <c r="E397" s="8" t="s">
        <v>54</v>
      </c>
      <c r="F397" s="9">
        <v>3</v>
      </c>
      <c r="G397" s="9"/>
      <c r="H397" s="9"/>
      <c r="I397" s="7"/>
      <c r="J397" s="7"/>
      <c r="K397" s="7"/>
      <c r="L397" s="7"/>
      <c r="M397" s="122"/>
      <c r="N397" s="122"/>
      <c r="O397" s="122"/>
      <c r="P397" s="96"/>
      <c r="Q397" s="7"/>
      <c r="R397" s="93">
        <v>2.8008459820015257</v>
      </c>
      <c r="S397" s="93">
        <v>188.27777777777837</v>
      </c>
      <c r="T397" s="122" t="s">
        <v>1518</v>
      </c>
      <c r="U397" s="7"/>
      <c r="V397" s="7"/>
      <c r="W397" s="122"/>
      <c r="X397" s="122"/>
      <c r="Y397" s="122" t="s">
        <v>1518</v>
      </c>
      <c r="Z397" s="7"/>
      <c r="AA397" s="7"/>
      <c r="AB397" s="7"/>
      <c r="AC397" s="7"/>
      <c r="AD397" s="7"/>
      <c r="AE397" s="7">
        <v>1</v>
      </c>
      <c r="AF397" s="7"/>
      <c r="AG397" s="7"/>
      <c r="AH397" s="7"/>
      <c r="AI397" s="7"/>
      <c r="AJ397" s="7"/>
      <c r="AK397" s="7"/>
      <c r="AL397" s="7"/>
      <c r="AM397" s="16">
        <v>44169</v>
      </c>
      <c r="AN397" s="4"/>
      <c r="AO397" s="11" t="s">
        <v>234</v>
      </c>
      <c r="AP397" s="4"/>
      <c r="AQ397" s="4"/>
      <c r="AR397" s="4"/>
      <c r="AS397" s="11">
        <v>400</v>
      </c>
      <c r="AT397" s="11"/>
      <c r="AU397" s="11"/>
      <c r="AV397" s="11"/>
      <c r="AW397" s="4"/>
      <c r="AX397" s="4">
        <f t="shared" si="42"/>
        <v>1</v>
      </c>
      <c r="AY397" s="93"/>
      <c r="AZ397" s="4">
        <v>1.875</v>
      </c>
    </row>
    <row r="398" spans="1:52" ht="14.25" customHeight="1" x14ac:dyDescent="0.25">
      <c r="B398" s="112" t="s">
        <v>91</v>
      </c>
      <c r="C398" s="6" t="s">
        <v>1344</v>
      </c>
      <c r="D398" s="9" t="s">
        <v>3</v>
      </c>
      <c r="E398" s="8" t="s">
        <v>21</v>
      </c>
      <c r="F398" s="9">
        <v>3</v>
      </c>
      <c r="G398" s="9">
        <v>7</v>
      </c>
      <c r="H398" s="9"/>
      <c r="I398" s="7"/>
      <c r="J398" s="7"/>
      <c r="K398" s="7"/>
      <c r="L398" s="7"/>
      <c r="M398" s="122"/>
      <c r="N398" s="122"/>
      <c r="O398" s="122"/>
      <c r="P398" s="96"/>
      <c r="Q398" s="7"/>
      <c r="R398" s="93">
        <v>0.16336322425332533</v>
      </c>
      <c r="S398" s="93">
        <v>0.3363358585858589</v>
      </c>
      <c r="T398" s="122" t="s">
        <v>1518</v>
      </c>
      <c r="U398" s="7"/>
      <c r="V398" s="7"/>
      <c r="W398" s="122"/>
      <c r="X398" s="122"/>
      <c r="Y398" s="122"/>
      <c r="Z398" s="7"/>
      <c r="AA398" s="7"/>
      <c r="AB398" s="7"/>
      <c r="AC398" s="7"/>
      <c r="AD398" s="7"/>
      <c r="AE398" s="7">
        <v>1</v>
      </c>
      <c r="AF398" s="7">
        <v>1</v>
      </c>
      <c r="AG398" s="7"/>
      <c r="AH398" s="7"/>
      <c r="AI398" s="7"/>
      <c r="AJ398" s="7"/>
      <c r="AK398" s="7"/>
      <c r="AL398" s="7"/>
      <c r="AM398" s="16">
        <v>44169</v>
      </c>
      <c r="AN398" s="4"/>
      <c r="AO398" s="4" t="s">
        <v>15</v>
      </c>
      <c r="AP398" s="4" t="s">
        <v>92</v>
      </c>
      <c r="AQ398" s="4"/>
      <c r="AR398" s="4"/>
      <c r="AS398" s="11">
        <v>125</v>
      </c>
      <c r="AT398" s="11">
        <v>125</v>
      </c>
      <c r="AU398" s="11"/>
      <c r="AV398" s="11"/>
      <c r="AW398" s="4"/>
      <c r="AX398" s="4">
        <f t="shared" si="42"/>
        <v>2</v>
      </c>
      <c r="AY398" s="93">
        <v>1</v>
      </c>
      <c r="AZ398" s="4">
        <v>1</v>
      </c>
    </row>
    <row r="399" spans="1:52" ht="13.5" customHeight="1" x14ac:dyDescent="0.25">
      <c r="B399" s="112" t="s">
        <v>977</v>
      </c>
      <c r="C399" s="6" t="s">
        <v>1345</v>
      </c>
      <c r="D399" s="8" t="s">
        <v>3</v>
      </c>
      <c r="E399" s="8" t="s">
        <v>26</v>
      </c>
      <c r="F399" s="8"/>
      <c r="G399" s="8"/>
      <c r="H399" s="8"/>
      <c r="I399" s="7"/>
      <c r="J399" s="7"/>
      <c r="K399" s="7"/>
      <c r="L399" s="7"/>
      <c r="M399" s="122"/>
      <c r="N399" s="122"/>
      <c r="O399" s="122"/>
      <c r="P399" s="96"/>
      <c r="Q399" s="7"/>
      <c r="R399" s="93">
        <v>0</v>
      </c>
      <c r="S399" s="93">
        <v>0</v>
      </c>
      <c r="T399" s="122"/>
      <c r="U399" s="7"/>
      <c r="V399" s="7"/>
      <c r="W399" s="122"/>
      <c r="X399" s="122"/>
      <c r="Y399" s="122"/>
      <c r="Z399" s="7"/>
      <c r="AA399" s="7"/>
      <c r="AB399" s="7"/>
      <c r="AC399" s="7">
        <v>1</v>
      </c>
      <c r="AD399" s="7"/>
      <c r="AE399" s="7"/>
      <c r="AF399" s="7"/>
      <c r="AG399" s="7"/>
      <c r="AH399" s="7"/>
      <c r="AI399" s="7"/>
      <c r="AJ399" s="7"/>
      <c r="AK399" s="7"/>
      <c r="AL399" s="7"/>
      <c r="AM399" s="16">
        <v>44540</v>
      </c>
      <c r="AN399" s="4"/>
      <c r="AO399" s="4" t="s">
        <v>976</v>
      </c>
      <c r="AP399" s="4"/>
      <c r="AQ399" s="4"/>
      <c r="AR399" s="4"/>
      <c r="AS399" s="11"/>
      <c r="AT399" s="11"/>
      <c r="AU399" s="11"/>
      <c r="AV399" s="11"/>
      <c r="AW399" s="4"/>
      <c r="AX399" s="4">
        <f t="shared" si="42"/>
        <v>1</v>
      </c>
      <c r="AY399" s="93"/>
      <c r="AZ399" s="4"/>
    </row>
    <row r="400" spans="1:52" ht="13.5" customHeight="1" x14ac:dyDescent="0.25">
      <c r="B400" s="112" t="s">
        <v>1846</v>
      </c>
      <c r="C400" s="6" t="s">
        <v>1848</v>
      </c>
      <c r="D400" s="9" t="s">
        <v>3</v>
      </c>
      <c r="E400" s="8" t="s">
        <v>29</v>
      </c>
      <c r="F400" s="9">
        <v>3</v>
      </c>
      <c r="G400" s="9">
        <v>5</v>
      </c>
      <c r="H400" s="9"/>
      <c r="I400" s="7">
        <v>20</v>
      </c>
      <c r="J400" s="7"/>
      <c r="K400" s="7"/>
      <c r="L400" s="7" t="s">
        <v>14</v>
      </c>
      <c r="M400" s="122"/>
      <c r="N400" s="122"/>
      <c r="O400" s="122"/>
      <c r="P400" s="96"/>
      <c r="Q400" s="7"/>
      <c r="R400" s="93">
        <v>10.550523349587952</v>
      </c>
      <c r="S400" s="93">
        <v>1.5743371088435363</v>
      </c>
      <c r="T400" s="122" t="s">
        <v>1518</v>
      </c>
      <c r="U400" s="7"/>
      <c r="V400" s="7"/>
      <c r="W400" s="122" t="s">
        <v>1518</v>
      </c>
      <c r="X400" s="122"/>
      <c r="Y400" s="122" t="s">
        <v>1518</v>
      </c>
      <c r="Z400" s="7"/>
      <c r="AA400" s="7">
        <v>1</v>
      </c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16">
        <v>44896</v>
      </c>
      <c r="AN400" s="4"/>
      <c r="AO400" s="11" t="s">
        <v>15</v>
      </c>
      <c r="AP400" s="11" t="s">
        <v>42</v>
      </c>
      <c r="AQ400" s="4"/>
      <c r="AR400" s="4"/>
      <c r="AS400" s="11">
        <v>160</v>
      </c>
      <c r="AT400" s="11">
        <v>300</v>
      </c>
      <c r="AU400" s="11"/>
      <c r="AV400" s="11"/>
      <c r="AW400" s="4"/>
      <c r="AX400" s="4">
        <f t="shared" si="42"/>
        <v>1</v>
      </c>
      <c r="AY400" s="93">
        <v>1</v>
      </c>
      <c r="AZ400" s="4">
        <v>0.75</v>
      </c>
    </row>
    <row r="401" spans="1:52" s="52" customFormat="1" ht="14.25" customHeight="1" x14ac:dyDescent="0.25">
      <c r="A401" s="1"/>
      <c r="B401" s="112" t="s">
        <v>1847</v>
      </c>
      <c r="C401" s="6" t="s">
        <v>1848</v>
      </c>
      <c r="D401" s="9" t="s">
        <v>3</v>
      </c>
      <c r="E401" s="8" t="s">
        <v>29</v>
      </c>
      <c r="F401" s="9">
        <v>3</v>
      </c>
      <c r="G401" s="9">
        <v>5</v>
      </c>
      <c r="H401" s="9"/>
      <c r="I401" s="7">
        <v>20</v>
      </c>
      <c r="J401" s="7"/>
      <c r="K401" s="7"/>
      <c r="L401" s="7" t="s">
        <v>120</v>
      </c>
      <c r="M401" s="122"/>
      <c r="N401" s="122"/>
      <c r="O401" s="122"/>
      <c r="P401" s="96"/>
      <c r="Q401" s="7"/>
      <c r="R401" s="93">
        <v>17.584205582646586</v>
      </c>
      <c r="S401" s="93">
        <v>2.623895181405894</v>
      </c>
      <c r="T401" s="122" t="s">
        <v>1518</v>
      </c>
      <c r="U401" s="7"/>
      <c r="V401" s="7"/>
      <c r="W401" s="122" t="s">
        <v>1518</v>
      </c>
      <c r="X401" s="122"/>
      <c r="Y401" s="122" t="s">
        <v>1518</v>
      </c>
      <c r="Z401" s="7"/>
      <c r="AA401" s="7">
        <v>1</v>
      </c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16">
        <v>44896</v>
      </c>
      <c r="AN401" s="4"/>
      <c r="AO401" s="11" t="s">
        <v>15</v>
      </c>
      <c r="AP401" s="11" t="s">
        <v>42</v>
      </c>
      <c r="AQ401" s="4"/>
      <c r="AR401" s="4"/>
      <c r="AS401" s="11">
        <v>160</v>
      </c>
      <c r="AT401" s="11">
        <v>300</v>
      </c>
      <c r="AU401" s="11"/>
      <c r="AV401" s="11"/>
      <c r="AW401" s="4"/>
      <c r="AX401" s="4">
        <f t="shared" si="42"/>
        <v>1</v>
      </c>
      <c r="AY401" s="93">
        <v>1</v>
      </c>
      <c r="AZ401" s="4">
        <v>1.25</v>
      </c>
    </row>
    <row r="402" spans="1:52" ht="14.25" customHeight="1" x14ac:dyDescent="0.25">
      <c r="A402" s="52"/>
      <c r="B402" s="112" t="s">
        <v>93</v>
      </c>
      <c r="C402" s="6" t="s">
        <v>1618</v>
      </c>
      <c r="D402" s="9" t="s">
        <v>3</v>
      </c>
      <c r="E402" s="8" t="s">
        <v>1536</v>
      </c>
      <c r="F402" s="9">
        <v>27</v>
      </c>
      <c r="G402" s="9">
        <v>28</v>
      </c>
      <c r="H402" s="9"/>
      <c r="I402" s="7"/>
      <c r="J402" s="7"/>
      <c r="K402" s="7"/>
      <c r="L402" s="7"/>
      <c r="M402" s="122"/>
      <c r="N402" s="122"/>
      <c r="O402" s="122"/>
      <c r="P402" s="96"/>
      <c r="Q402" s="7"/>
      <c r="R402" s="93">
        <v>0.22470493656458485</v>
      </c>
      <c r="S402" s="93">
        <v>5.7319859405940603</v>
      </c>
      <c r="T402" s="122" t="s">
        <v>1518</v>
      </c>
      <c r="U402" s="7"/>
      <c r="V402" s="7"/>
      <c r="W402" s="122"/>
      <c r="X402" s="122"/>
      <c r="Y402" s="122"/>
      <c r="Z402" s="7"/>
      <c r="AA402" s="7"/>
      <c r="AB402" s="7"/>
      <c r="AC402" s="7">
        <v>1</v>
      </c>
      <c r="AD402" s="7"/>
      <c r="AE402" s="7"/>
      <c r="AF402" s="7"/>
      <c r="AG402" s="7"/>
      <c r="AH402" s="7"/>
      <c r="AI402" s="7"/>
      <c r="AJ402" s="7"/>
      <c r="AK402" s="7"/>
      <c r="AL402" s="7"/>
      <c r="AM402" s="16">
        <v>44169</v>
      </c>
      <c r="AN402" s="4"/>
      <c r="AO402" s="4" t="s">
        <v>30</v>
      </c>
      <c r="AP402" s="11" t="s">
        <v>31</v>
      </c>
      <c r="AQ402" s="4"/>
      <c r="AR402" s="4"/>
      <c r="AS402" s="11">
        <v>50</v>
      </c>
      <c r="AT402" s="11">
        <v>400</v>
      </c>
      <c r="AU402" s="11"/>
      <c r="AV402" s="11"/>
      <c r="AW402" s="4"/>
      <c r="AX402" s="4">
        <f t="shared" si="42"/>
        <v>1</v>
      </c>
      <c r="AY402" s="93"/>
      <c r="AZ402" s="4">
        <v>2.5</v>
      </c>
    </row>
    <row r="403" spans="1:52" ht="28.5" customHeight="1" x14ac:dyDescent="0.25">
      <c r="B403" s="112" t="s">
        <v>274</v>
      </c>
      <c r="C403" s="6" t="s">
        <v>1346</v>
      </c>
      <c r="D403" s="8" t="s">
        <v>4</v>
      </c>
      <c r="E403" s="9" t="s">
        <v>26</v>
      </c>
      <c r="F403" s="9">
        <v>1</v>
      </c>
      <c r="G403" s="9"/>
      <c r="H403" s="9"/>
      <c r="I403" s="7"/>
      <c r="J403" s="7"/>
      <c r="K403" s="7"/>
      <c r="L403" s="7"/>
      <c r="M403" s="122"/>
      <c r="N403" s="122"/>
      <c r="O403" s="122"/>
      <c r="P403" s="96"/>
      <c r="Q403" s="7"/>
      <c r="R403" s="93">
        <v>1.0293092624625886</v>
      </c>
      <c r="S403" s="93">
        <v>67.673062338906789</v>
      </c>
      <c r="T403" s="122" t="s">
        <v>1518</v>
      </c>
      <c r="U403" s="7"/>
      <c r="V403" s="7"/>
      <c r="W403" s="122"/>
      <c r="X403" s="122"/>
      <c r="Y403" s="122" t="s">
        <v>1518</v>
      </c>
      <c r="Z403" s="7"/>
      <c r="AA403" s="7">
        <v>1</v>
      </c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16">
        <v>44169</v>
      </c>
      <c r="AN403" s="4"/>
      <c r="AO403" s="6" t="s">
        <v>1027</v>
      </c>
      <c r="AP403" s="6" t="s">
        <v>1007</v>
      </c>
      <c r="AQ403" s="4"/>
      <c r="AR403" s="4"/>
      <c r="AS403" s="11">
        <v>69</v>
      </c>
      <c r="AT403" s="11">
        <v>75</v>
      </c>
      <c r="AU403" s="11"/>
      <c r="AV403" s="11"/>
      <c r="AW403" s="4"/>
      <c r="AX403" s="4">
        <f t="shared" si="42"/>
        <v>1</v>
      </c>
      <c r="AY403" s="93">
        <v>1</v>
      </c>
      <c r="AZ403" s="4">
        <v>1.2</v>
      </c>
    </row>
    <row r="404" spans="1:52" ht="28.5" customHeight="1" x14ac:dyDescent="0.25">
      <c r="B404" s="114" t="s">
        <v>275</v>
      </c>
      <c r="C404" s="6" t="s">
        <v>1347</v>
      </c>
      <c r="D404" s="8" t="s">
        <v>4</v>
      </c>
      <c r="E404" s="9" t="s">
        <v>26</v>
      </c>
      <c r="F404" s="9">
        <v>5</v>
      </c>
      <c r="G404" s="9">
        <v>15</v>
      </c>
      <c r="H404" s="9"/>
      <c r="I404" s="7">
        <v>6</v>
      </c>
      <c r="J404" s="7"/>
      <c r="K404" s="7"/>
      <c r="L404" s="7" t="s">
        <v>14</v>
      </c>
      <c r="M404" s="122" t="s">
        <v>1518</v>
      </c>
      <c r="N404" s="122" t="s">
        <v>1518</v>
      </c>
      <c r="O404" s="122" t="s">
        <v>1518</v>
      </c>
      <c r="P404" s="96" t="s">
        <v>1500</v>
      </c>
      <c r="Q404" s="14">
        <v>0.3</v>
      </c>
      <c r="R404" s="93">
        <v>8.3049538945833827</v>
      </c>
      <c r="S404" s="93">
        <v>307.77006675567441</v>
      </c>
      <c r="T404" s="122" t="s">
        <v>1518</v>
      </c>
      <c r="U404" s="7"/>
      <c r="V404" s="7"/>
      <c r="W404" s="122"/>
      <c r="X404" s="122"/>
      <c r="Y404" s="122" t="s">
        <v>1518</v>
      </c>
      <c r="Z404" s="7"/>
      <c r="AA404" s="7"/>
      <c r="AB404" s="7"/>
      <c r="AC404" s="7"/>
      <c r="AD404" s="7">
        <v>3</v>
      </c>
      <c r="AE404" s="7"/>
      <c r="AF404" s="7"/>
      <c r="AG404" s="7"/>
      <c r="AH404" s="7"/>
      <c r="AI404" s="7"/>
      <c r="AJ404" s="7"/>
      <c r="AK404" s="7"/>
      <c r="AL404" s="7"/>
      <c r="AM404" s="16">
        <v>44169</v>
      </c>
      <c r="AN404" s="4"/>
      <c r="AO404" s="4" t="s">
        <v>121</v>
      </c>
      <c r="AP404" s="4" t="s">
        <v>143</v>
      </c>
      <c r="AQ404" s="4"/>
      <c r="AR404" s="4"/>
      <c r="AS404" s="11">
        <v>333</v>
      </c>
      <c r="AT404" s="11">
        <v>200</v>
      </c>
      <c r="AU404" s="11"/>
      <c r="AV404" s="11"/>
      <c r="AW404" s="4" t="s">
        <v>1824</v>
      </c>
      <c r="AX404" s="4">
        <f t="shared" si="42"/>
        <v>3</v>
      </c>
      <c r="AY404" s="93"/>
      <c r="AZ404" s="4">
        <v>1</v>
      </c>
    </row>
    <row r="405" spans="1:52" ht="14.25" customHeight="1" x14ac:dyDescent="0.25">
      <c r="B405" s="114" t="s">
        <v>276</v>
      </c>
      <c r="C405" s="6" t="s">
        <v>1347</v>
      </c>
      <c r="D405" s="8" t="s">
        <v>4</v>
      </c>
      <c r="E405" s="9" t="s">
        <v>26</v>
      </c>
      <c r="F405" s="9">
        <v>5</v>
      </c>
      <c r="G405" s="9">
        <v>15</v>
      </c>
      <c r="H405" s="9"/>
      <c r="I405" s="7">
        <v>6</v>
      </c>
      <c r="J405" s="7"/>
      <c r="K405" s="7"/>
      <c r="L405" s="7" t="s">
        <v>120</v>
      </c>
      <c r="M405" s="122" t="s">
        <v>1518</v>
      </c>
      <c r="N405" s="122" t="s">
        <v>1518</v>
      </c>
      <c r="O405" s="122" t="s">
        <v>1518</v>
      </c>
      <c r="P405" s="96" t="s">
        <v>1500</v>
      </c>
      <c r="Q405" s="14">
        <v>0.3</v>
      </c>
      <c r="R405" s="93">
        <v>12.457430841875073</v>
      </c>
      <c r="S405" s="93">
        <v>461.65510013351161</v>
      </c>
      <c r="T405" s="122" t="s">
        <v>1518</v>
      </c>
      <c r="U405" s="7"/>
      <c r="V405" s="7"/>
      <c r="W405" s="122"/>
      <c r="X405" s="122"/>
      <c r="Y405" s="122" t="s">
        <v>1518</v>
      </c>
      <c r="Z405" s="7"/>
      <c r="AA405" s="7"/>
      <c r="AB405" s="7"/>
      <c r="AC405" s="7"/>
      <c r="AD405" s="7">
        <v>3</v>
      </c>
      <c r="AE405" s="7"/>
      <c r="AF405" s="7"/>
      <c r="AG405" s="7"/>
      <c r="AH405" s="7"/>
      <c r="AI405" s="7"/>
      <c r="AJ405" s="7"/>
      <c r="AK405" s="7"/>
      <c r="AL405" s="7"/>
      <c r="AM405" s="16">
        <v>44169</v>
      </c>
      <c r="AN405" s="4"/>
      <c r="AO405" s="4" t="s">
        <v>121</v>
      </c>
      <c r="AP405" s="4" t="s">
        <v>143</v>
      </c>
      <c r="AQ405" s="4"/>
      <c r="AR405" s="4"/>
      <c r="AS405" s="11">
        <v>333</v>
      </c>
      <c r="AT405" s="11">
        <v>200</v>
      </c>
      <c r="AU405" s="11"/>
      <c r="AV405" s="11"/>
      <c r="AW405" s="4" t="s">
        <v>1824</v>
      </c>
      <c r="AX405" s="4">
        <f t="shared" si="42"/>
        <v>3</v>
      </c>
      <c r="AY405" s="93"/>
      <c r="AZ405" s="4">
        <v>1.5</v>
      </c>
    </row>
    <row r="406" spans="1:52" ht="14.25" customHeight="1" x14ac:dyDescent="0.25">
      <c r="B406" s="114" t="s">
        <v>277</v>
      </c>
      <c r="C406" s="6" t="s">
        <v>1347</v>
      </c>
      <c r="D406" s="8" t="s">
        <v>4</v>
      </c>
      <c r="E406" s="9" t="s">
        <v>26</v>
      </c>
      <c r="F406" s="9">
        <v>5</v>
      </c>
      <c r="G406" s="9">
        <v>15</v>
      </c>
      <c r="H406" s="9"/>
      <c r="I406" s="7">
        <v>6</v>
      </c>
      <c r="J406" s="7"/>
      <c r="K406" s="7"/>
      <c r="L406" s="7" t="s">
        <v>80</v>
      </c>
      <c r="M406" s="122" t="s">
        <v>1518</v>
      </c>
      <c r="N406" s="122" t="s">
        <v>1518</v>
      </c>
      <c r="O406" s="122" t="s">
        <v>1518</v>
      </c>
      <c r="P406" s="96" t="s">
        <v>1500</v>
      </c>
      <c r="Q406" s="14">
        <v>0.3</v>
      </c>
      <c r="R406" s="93">
        <v>16.609907789166765</v>
      </c>
      <c r="S406" s="93">
        <v>615.54013351134881</v>
      </c>
      <c r="T406" s="122" t="s">
        <v>1518</v>
      </c>
      <c r="U406" s="7"/>
      <c r="V406" s="7"/>
      <c r="W406" s="122"/>
      <c r="X406" s="122"/>
      <c r="Y406" s="122" t="s">
        <v>1518</v>
      </c>
      <c r="Z406" s="7"/>
      <c r="AA406" s="7"/>
      <c r="AB406" s="7"/>
      <c r="AC406" s="7"/>
      <c r="AD406" s="7">
        <v>3</v>
      </c>
      <c r="AE406" s="7"/>
      <c r="AF406" s="7"/>
      <c r="AG406" s="7"/>
      <c r="AH406" s="7"/>
      <c r="AI406" s="7"/>
      <c r="AJ406" s="7"/>
      <c r="AK406" s="7"/>
      <c r="AL406" s="7"/>
      <c r="AM406" s="16">
        <v>44169</v>
      </c>
      <c r="AN406" s="4"/>
      <c r="AO406" s="4" t="s">
        <v>121</v>
      </c>
      <c r="AP406" s="4" t="s">
        <v>143</v>
      </c>
      <c r="AQ406" s="4"/>
      <c r="AR406" s="4"/>
      <c r="AS406" s="11">
        <v>333</v>
      </c>
      <c r="AT406" s="11">
        <v>200</v>
      </c>
      <c r="AU406" s="11"/>
      <c r="AV406" s="11"/>
      <c r="AW406" s="4" t="s">
        <v>1824</v>
      </c>
      <c r="AX406" s="4">
        <f t="shared" si="42"/>
        <v>3</v>
      </c>
      <c r="AY406" s="93"/>
      <c r="AZ406" s="4">
        <v>2</v>
      </c>
    </row>
    <row r="407" spans="1:52" ht="14.25" customHeight="1" x14ac:dyDescent="0.25">
      <c r="B407" s="112" t="s">
        <v>278</v>
      </c>
      <c r="C407" s="6" t="s">
        <v>1348</v>
      </c>
      <c r="D407" s="8" t="s">
        <v>4</v>
      </c>
      <c r="E407" s="8" t="s">
        <v>54</v>
      </c>
      <c r="F407" s="9">
        <v>6</v>
      </c>
      <c r="G407" s="9"/>
      <c r="H407" s="9"/>
      <c r="I407" s="7"/>
      <c r="J407" s="7">
        <v>3</v>
      </c>
      <c r="K407" s="7">
        <v>3</v>
      </c>
      <c r="L407" s="7"/>
      <c r="M407" s="122"/>
      <c r="N407" s="122"/>
      <c r="O407" s="122"/>
      <c r="P407" s="96"/>
      <c r="Q407" s="7"/>
      <c r="R407" s="93">
        <v>1.7338419741698434</v>
      </c>
      <c r="S407" s="93">
        <v>92.240927419354591</v>
      </c>
      <c r="T407" s="122" t="s">
        <v>1518</v>
      </c>
      <c r="U407" s="7"/>
      <c r="V407" s="7"/>
      <c r="W407" s="122" t="s">
        <v>1518</v>
      </c>
      <c r="X407" s="122"/>
      <c r="Y407" s="122" t="s">
        <v>1518</v>
      </c>
      <c r="Z407" s="7" t="s">
        <v>7</v>
      </c>
      <c r="AA407" s="7"/>
      <c r="AB407" s="7"/>
      <c r="AC407" s="7"/>
      <c r="AD407" s="7"/>
      <c r="AE407" s="7">
        <v>1</v>
      </c>
      <c r="AF407" s="7"/>
      <c r="AG407" s="7"/>
      <c r="AH407" s="7"/>
      <c r="AI407" s="7"/>
      <c r="AJ407" s="7"/>
      <c r="AK407" s="7"/>
      <c r="AL407" s="7"/>
      <c r="AM407" s="16">
        <v>44540</v>
      </c>
      <c r="AN407" s="4"/>
      <c r="AO407" s="4" t="s">
        <v>249</v>
      </c>
      <c r="AP407" s="4"/>
      <c r="AQ407" s="4"/>
      <c r="AR407" s="4"/>
      <c r="AS407" s="11">
        <v>450</v>
      </c>
      <c r="AT407" s="11"/>
      <c r="AU407" s="11"/>
      <c r="AV407" s="11"/>
      <c r="AW407" s="4"/>
      <c r="AX407" s="4">
        <f t="shared" si="42"/>
        <v>1</v>
      </c>
      <c r="AY407" s="93"/>
      <c r="AZ407" s="4">
        <v>2</v>
      </c>
    </row>
    <row r="408" spans="1:52" ht="14.25" customHeight="1" x14ac:dyDescent="0.25">
      <c r="B408" s="112" t="s">
        <v>94</v>
      </c>
      <c r="C408" s="6" t="s">
        <v>1349</v>
      </c>
      <c r="D408" s="9" t="s">
        <v>3</v>
      </c>
      <c r="E408" s="8" t="s">
        <v>34</v>
      </c>
      <c r="F408" s="9">
        <v>21</v>
      </c>
      <c r="G408" s="9"/>
      <c r="H408" s="9"/>
      <c r="I408" s="7"/>
      <c r="J408" s="7"/>
      <c r="K408" s="7"/>
      <c r="L408" s="7"/>
      <c r="M408" s="122"/>
      <c r="N408" s="122"/>
      <c r="O408" s="122"/>
      <c r="P408" s="96"/>
      <c r="Q408" s="7"/>
      <c r="R408" s="93">
        <v>0.25518830153732003</v>
      </c>
      <c r="S408" s="93">
        <v>0.34778124999999993</v>
      </c>
      <c r="T408" s="122" t="s">
        <v>1518</v>
      </c>
      <c r="U408" s="7"/>
      <c r="V408" s="7"/>
      <c r="W408" s="122" t="s">
        <v>1518</v>
      </c>
      <c r="X408" s="122"/>
      <c r="Y408" s="122"/>
      <c r="Z408" s="7"/>
      <c r="AA408" s="7"/>
      <c r="AB408" s="7"/>
      <c r="AC408" s="7">
        <v>1</v>
      </c>
      <c r="AD408" s="7"/>
      <c r="AE408" s="7"/>
      <c r="AF408" s="7"/>
      <c r="AG408" s="7"/>
      <c r="AH408" s="7"/>
      <c r="AI408" s="7"/>
      <c r="AJ408" s="7"/>
      <c r="AK408" s="7">
        <v>1</v>
      </c>
      <c r="AL408" s="7"/>
      <c r="AM408" s="16">
        <v>44540</v>
      </c>
      <c r="AN408" s="4"/>
      <c r="AO408" s="6" t="s">
        <v>1034</v>
      </c>
      <c r="AP408" s="4"/>
      <c r="AQ408" s="4"/>
      <c r="AR408" s="4"/>
      <c r="AS408" s="11">
        <v>160</v>
      </c>
      <c r="AT408" s="11"/>
      <c r="AU408" s="11"/>
      <c r="AV408" s="11"/>
      <c r="AW408" s="4"/>
      <c r="AX408" s="4">
        <f t="shared" si="42"/>
        <v>2</v>
      </c>
      <c r="AY408" s="93"/>
      <c r="AZ408" s="4">
        <v>0.5</v>
      </c>
    </row>
    <row r="409" spans="1:52" ht="14.25" customHeight="1" x14ac:dyDescent="0.25">
      <c r="B409" s="112" t="s">
        <v>94</v>
      </c>
      <c r="C409" s="6" t="s">
        <v>1350</v>
      </c>
      <c r="D409" s="9" t="s">
        <v>3</v>
      </c>
      <c r="E409" s="8" t="s">
        <v>26</v>
      </c>
      <c r="F409" s="9">
        <v>21</v>
      </c>
      <c r="G409" s="9"/>
      <c r="H409" s="9"/>
      <c r="I409" s="7"/>
      <c r="J409" s="7"/>
      <c r="K409" s="7"/>
      <c r="L409" s="7"/>
      <c r="M409" s="122"/>
      <c r="N409" s="122"/>
      <c r="O409" s="122"/>
      <c r="P409" s="96"/>
      <c r="Q409" s="7"/>
      <c r="R409" s="93">
        <v>0.25518830153732003</v>
      </c>
      <c r="S409" s="93">
        <v>0.34778124999999993</v>
      </c>
      <c r="T409" s="122" t="s">
        <v>1518</v>
      </c>
      <c r="U409" s="7"/>
      <c r="V409" s="7"/>
      <c r="W409" s="122" t="s">
        <v>1518</v>
      </c>
      <c r="X409" s="122"/>
      <c r="Y409" s="122"/>
      <c r="Z409" s="7"/>
      <c r="AA409" s="7"/>
      <c r="AB409" s="7"/>
      <c r="AC409" s="7">
        <v>1</v>
      </c>
      <c r="AD409" s="7"/>
      <c r="AE409" s="7"/>
      <c r="AF409" s="7"/>
      <c r="AG409" s="7"/>
      <c r="AH409" s="7"/>
      <c r="AI409" s="7"/>
      <c r="AJ409" s="7"/>
      <c r="AK409" s="7">
        <v>1</v>
      </c>
      <c r="AL409" s="7"/>
      <c r="AM409" s="16">
        <v>44540</v>
      </c>
      <c r="AN409" s="4"/>
      <c r="AO409" s="6" t="s">
        <v>1034</v>
      </c>
      <c r="AP409" s="4"/>
      <c r="AQ409" s="4"/>
      <c r="AR409" s="4"/>
      <c r="AS409" s="11">
        <v>160</v>
      </c>
      <c r="AT409" s="11"/>
      <c r="AU409" s="11"/>
      <c r="AV409" s="11"/>
      <c r="AW409" s="4"/>
      <c r="AX409" s="4">
        <f t="shared" si="42"/>
        <v>2</v>
      </c>
      <c r="AY409" s="93"/>
      <c r="AZ409" s="4">
        <v>0.5</v>
      </c>
    </row>
    <row r="410" spans="1:52" ht="14.25" customHeight="1" x14ac:dyDescent="0.25">
      <c r="B410" s="116" t="s">
        <v>346</v>
      </c>
      <c r="C410" s="6" t="s">
        <v>1351</v>
      </c>
      <c r="D410" s="54" t="s">
        <v>5</v>
      </c>
      <c r="E410" s="8" t="s">
        <v>13</v>
      </c>
      <c r="F410" s="54">
        <v>6</v>
      </c>
      <c r="G410" s="54"/>
      <c r="H410" s="54"/>
      <c r="I410" s="50">
        <v>6</v>
      </c>
      <c r="J410" s="50">
        <v>20</v>
      </c>
      <c r="K410" s="50"/>
      <c r="L410" s="50" t="s">
        <v>14</v>
      </c>
      <c r="M410" s="123"/>
      <c r="N410" s="123"/>
      <c r="O410" s="123"/>
      <c r="P410" s="97"/>
      <c r="Q410" s="55">
        <v>0.3</v>
      </c>
      <c r="R410" s="93">
        <v>1936.3315145548024</v>
      </c>
      <c r="S410" s="93">
        <v>29698.174157303321</v>
      </c>
      <c r="T410" s="123" t="s">
        <v>1518</v>
      </c>
      <c r="U410" s="50">
        <v>1</v>
      </c>
      <c r="V410" s="50"/>
      <c r="W410" s="123"/>
      <c r="X410" s="123"/>
      <c r="Y410" s="123"/>
      <c r="Z410" s="50"/>
      <c r="AA410" s="50"/>
      <c r="AB410" s="50"/>
      <c r="AC410" s="50"/>
      <c r="AD410" s="50"/>
      <c r="AE410" s="50"/>
      <c r="AF410" s="50"/>
      <c r="AG410" s="50">
        <v>3</v>
      </c>
      <c r="AH410" s="50"/>
      <c r="AI410" s="50"/>
      <c r="AJ410" s="50"/>
      <c r="AK410" s="50"/>
      <c r="AL410" s="50"/>
      <c r="AM410" s="16">
        <v>44169</v>
      </c>
      <c r="AN410" s="51"/>
      <c r="AO410" s="6" t="s">
        <v>1002</v>
      </c>
      <c r="AP410" s="51"/>
      <c r="AQ410" s="51"/>
      <c r="AR410" s="51"/>
      <c r="AS410" s="53">
        <v>950</v>
      </c>
      <c r="AT410" s="53"/>
      <c r="AU410" s="53"/>
      <c r="AV410" s="53"/>
      <c r="AW410" s="51"/>
      <c r="AX410" s="4">
        <f t="shared" si="42"/>
        <v>3</v>
      </c>
      <c r="AY410" s="94"/>
      <c r="AZ410" s="51">
        <v>1.5</v>
      </c>
    </row>
    <row r="411" spans="1:52" ht="14.25" customHeight="1" x14ac:dyDescent="0.25">
      <c r="B411" s="114" t="s">
        <v>1864</v>
      </c>
      <c r="C411" s="6" t="s">
        <v>1865</v>
      </c>
      <c r="D411" s="8" t="s">
        <v>4</v>
      </c>
      <c r="E411" s="9" t="s">
        <v>17</v>
      </c>
      <c r="F411" s="9">
        <v>4</v>
      </c>
      <c r="G411" s="9"/>
      <c r="H411" s="9"/>
      <c r="I411" s="7"/>
      <c r="J411" s="7"/>
      <c r="K411" s="7">
        <v>3</v>
      </c>
      <c r="L411" s="7"/>
      <c r="M411" s="122"/>
      <c r="N411" s="122"/>
      <c r="O411" s="122"/>
      <c r="P411" s="96"/>
      <c r="Q411" s="7"/>
      <c r="R411" s="93">
        <v>4.9309339318677828E-4</v>
      </c>
      <c r="S411" s="93">
        <v>28.10299034482766</v>
      </c>
      <c r="T411" s="122" t="s">
        <v>1518</v>
      </c>
      <c r="U411" s="7"/>
      <c r="V411" s="7"/>
      <c r="W411" s="122"/>
      <c r="X411" s="122"/>
      <c r="Y411" s="122"/>
      <c r="Z411" s="7"/>
      <c r="AA411" s="7"/>
      <c r="AB411" s="7">
        <v>1</v>
      </c>
      <c r="AC411" s="7"/>
      <c r="AD411" s="7"/>
      <c r="AE411" s="7">
        <v>1</v>
      </c>
      <c r="AF411" s="7"/>
      <c r="AG411" s="7"/>
      <c r="AH411" s="7"/>
      <c r="AI411" s="7"/>
      <c r="AJ411" s="7"/>
      <c r="AK411" s="7"/>
      <c r="AL411" s="7">
        <v>1</v>
      </c>
      <c r="AM411" s="16">
        <v>44911</v>
      </c>
      <c r="AN411" s="4"/>
      <c r="AO411" s="11" t="s">
        <v>126</v>
      </c>
      <c r="AP411" s="4"/>
      <c r="AQ411" s="4"/>
      <c r="AR411" s="4"/>
      <c r="AS411" s="11">
        <v>720</v>
      </c>
      <c r="AT411" s="11"/>
      <c r="AU411" s="11"/>
      <c r="AV411" s="11"/>
      <c r="AW411" s="4"/>
      <c r="AX411" s="4">
        <f t="shared" si="42"/>
        <v>3</v>
      </c>
      <c r="AY411" s="93">
        <v>1</v>
      </c>
      <c r="AZ411" s="4">
        <v>0.16700000000000001</v>
      </c>
    </row>
    <row r="412" spans="1:52" ht="14.25" customHeight="1" x14ac:dyDescent="0.25">
      <c r="B412" s="112" t="s">
        <v>1476</v>
      </c>
      <c r="C412" s="6" t="s">
        <v>1352</v>
      </c>
      <c r="D412" s="8" t="s">
        <v>4</v>
      </c>
      <c r="E412" s="8" t="s">
        <v>54</v>
      </c>
      <c r="F412" s="9">
        <v>15</v>
      </c>
      <c r="G412" s="9"/>
      <c r="H412" s="9"/>
      <c r="I412" s="7">
        <v>6</v>
      </c>
      <c r="J412" s="7"/>
      <c r="K412" s="7"/>
      <c r="L412" s="7" t="s">
        <v>120</v>
      </c>
      <c r="M412" s="122" t="s">
        <v>1518</v>
      </c>
      <c r="N412" s="122" t="s">
        <v>1518</v>
      </c>
      <c r="O412" s="122"/>
      <c r="P412" s="96" t="s">
        <v>1522</v>
      </c>
      <c r="Q412" s="7"/>
      <c r="R412" s="93">
        <v>11.96296759323595</v>
      </c>
      <c r="S412" s="93">
        <v>217.24358974358978</v>
      </c>
      <c r="T412" s="122" t="s">
        <v>1518</v>
      </c>
      <c r="U412" s="7"/>
      <c r="V412" s="7"/>
      <c r="W412" s="122"/>
      <c r="X412" s="122"/>
      <c r="Y412" s="122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16">
        <v>44169</v>
      </c>
      <c r="AN412" s="4"/>
      <c r="AO412" s="6" t="s">
        <v>1016</v>
      </c>
      <c r="AP412" s="4"/>
      <c r="AQ412" s="4"/>
      <c r="AR412" s="4"/>
      <c r="AS412" s="11">
        <v>500</v>
      </c>
      <c r="AT412" s="11"/>
      <c r="AU412" s="11"/>
      <c r="AV412" s="11"/>
      <c r="AW412" s="4" t="s">
        <v>1823</v>
      </c>
      <c r="AX412" s="4">
        <f t="shared" si="42"/>
        <v>0</v>
      </c>
      <c r="AY412" s="93"/>
      <c r="AZ412" s="4">
        <v>1.5</v>
      </c>
    </row>
    <row r="413" spans="1:52" ht="14.25" customHeight="1" x14ac:dyDescent="0.25">
      <c r="B413" s="112" t="s">
        <v>1477</v>
      </c>
      <c r="C413" s="6" t="s">
        <v>1352</v>
      </c>
      <c r="D413" s="8" t="s">
        <v>4</v>
      </c>
      <c r="E413" s="8" t="s">
        <v>54</v>
      </c>
      <c r="F413" s="9">
        <v>15</v>
      </c>
      <c r="G413" s="9"/>
      <c r="H413" s="9"/>
      <c r="I413" s="7">
        <v>6</v>
      </c>
      <c r="J413" s="7"/>
      <c r="K413" s="7"/>
      <c r="L413" s="7" t="s">
        <v>80</v>
      </c>
      <c r="M413" s="122" t="s">
        <v>1518</v>
      </c>
      <c r="N413" s="122" t="s">
        <v>1518</v>
      </c>
      <c r="O413" s="122"/>
      <c r="P413" s="96" t="s">
        <v>1522</v>
      </c>
      <c r="Q413" s="7"/>
      <c r="R413" s="93">
        <v>15.950623457647934</v>
      </c>
      <c r="S413" s="93">
        <v>289.65811965811974</v>
      </c>
      <c r="T413" s="122" t="s">
        <v>1518</v>
      </c>
      <c r="U413" s="7"/>
      <c r="V413" s="7"/>
      <c r="W413" s="122"/>
      <c r="X413" s="122"/>
      <c r="Y413" s="122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16">
        <v>44169</v>
      </c>
      <c r="AN413" s="4"/>
      <c r="AO413" s="6" t="s">
        <v>1016</v>
      </c>
      <c r="AP413" s="4"/>
      <c r="AQ413" s="4"/>
      <c r="AR413" s="4"/>
      <c r="AS413" s="11">
        <v>500</v>
      </c>
      <c r="AT413" s="11"/>
      <c r="AU413" s="11"/>
      <c r="AV413" s="11"/>
      <c r="AW413" s="4" t="s">
        <v>1823</v>
      </c>
      <c r="AX413" s="4">
        <f t="shared" si="42"/>
        <v>0</v>
      </c>
      <c r="AY413" s="93"/>
      <c r="AZ413" s="4">
        <v>2</v>
      </c>
    </row>
    <row r="414" spans="1:52" ht="14.25" customHeight="1" x14ac:dyDescent="0.25">
      <c r="B414" s="112" t="s">
        <v>347</v>
      </c>
      <c r="C414" s="6" t="s">
        <v>1353</v>
      </c>
      <c r="D414" s="8" t="s">
        <v>5</v>
      </c>
      <c r="E414" s="8" t="s">
        <v>54</v>
      </c>
      <c r="F414" s="8" t="s">
        <v>314</v>
      </c>
      <c r="G414" s="8"/>
      <c r="H414" s="8"/>
      <c r="I414" s="7">
        <v>20</v>
      </c>
      <c r="J414" s="7"/>
      <c r="K414" s="7"/>
      <c r="L414" s="7"/>
      <c r="M414" s="122"/>
      <c r="N414" s="122"/>
      <c r="O414" s="122"/>
      <c r="P414" s="96"/>
      <c r="Q414" s="14">
        <v>0.3</v>
      </c>
      <c r="R414" s="93">
        <v>46545.179756510835</v>
      </c>
      <c r="S414" s="93">
        <v>4909.852941176463</v>
      </c>
      <c r="T414" s="122" t="s">
        <v>1518</v>
      </c>
      <c r="U414" s="7">
        <v>2</v>
      </c>
      <c r="V414" s="7"/>
      <c r="W414" s="122" t="s">
        <v>1518</v>
      </c>
      <c r="X414" s="122" t="s">
        <v>1518</v>
      </c>
      <c r="Y414" s="122" t="s">
        <v>1518</v>
      </c>
      <c r="Z414" s="7"/>
      <c r="AA414" s="7">
        <v>3</v>
      </c>
      <c r="AB414" s="7">
        <v>3</v>
      </c>
      <c r="AC414" s="7">
        <v>3</v>
      </c>
      <c r="AD414" s="7">
        <v>3</v>
      </c>
      <c r="AE414" s="7">
        <v>3</v>
      </c>
      <c r="AF414" s="7">
        <v>3</v>
      </c>
      <c r="AG414" s="7">
        <v>3</v>
      </c>
      <c r="AH414" s="7">
        <v>3</v>
      </c>
      <c r="AI414" s="7">
        <v>3</v>
      </c>
      <c r="AJ414" s="7">
        <v>3</v>
      </c>
      <c r="AK414" s="7">
        <v>3</v>
      </c>
      <c r="AL414" s="7">
        <v>3</v>
      </c>
      <c r="AM414" s="16">
        <v>44169</v>
      </c>
      <c r="AN414" s="4"/>
      <c r="AO414" s="6" t="s">
        <v>1029</v>
      </c>
      <c r="AP414" s="255"/>
      <c r="AQ414" s="4"/>
      <c r="AR414" s="4"/>
      <c r="AS414" s="11">
        <v>50</v>
      </c>
      <c r="AT414" s="11"/>
      <c r="AU414" s="11"/>
      <c r="AV414" s="11"/>
      <c r="AW414" s="4"/>
      <c r="AX414" s="4">
        <f t="shared" si="42"/>
        <v>36</v>
      </c>
      <c r="AY414" s="93">
        <v>1</v>
      </c>
      <c r="AZ414" s="4">
        <v>0.15</v>
      </c>
    </row>
    <row r="415" spans="1:52" ht="14.25" customHeight="1" x14ac:dyDescent="0.25">
      <c r="B415" s="112" t="s">
        <v>279</v>
      </c>
      <c r="C415" s="6" t="s">
        <v>1354</v>
      </c>
      <c r="D415" s="8" t="s">
        <v>4</v>
      </c>
      <c r="E415" s="8" t="s">
        <v>13</v>
      </c>
      <c r="F415" s="9">
        <v>2</v>
      </c>
      <c r="G415" s="9">
        <v>2</v>
      </c>
      <c r="H415" s="9"/>
      <c r="I415" s="7">
        <v>20</v>
      </c>
      <c r="J415" s="7">
        <v>6</v>
      </c>
      <c r="K415" s="7"/>
      <c r="L415" s="7" t="s">
        <v>120</v>
      </c>
      <c r="M415" s="122" t="s">
        <v>1518</v>
      </c>
      <c r="N415" s="122" t="s">
        <v>1518</v>
      </c>
      <c r="O415" s="122"/>
      <c r="P415" s="96" t="s">
        <v>1523</v>
      </c>
      <c r="Q415" s="7"/>
      <c r="R415" s="93">
        <v>5.6939984745543892</v>
      </c>
      <c r="S415" s="93">
        <v>1113.2126639524658</v>
      </c>
      <c r="T415" s="122" t="s">
        <v>1518</v>
      </c>
      <c r="U415" s="7"/>
      <c r="V415" s="7"/>
      <c r="W415" s="122"/>
      <c r="X415" s="122" t="s">
        <v>1518</v>
      </c>
      <c r="Y415" s="122"/>
      <c r="Z415" s="7"/>
      <c r="AA415" s="7">
        <v>1</v>
      </c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16">
        <v>45232</v>
      </c>
      <c r="AN415" s="4"/>
      <c r="AO415" s="11" t="s">
        <v>193</v>
      </c>
      <c r="AP415" s="6" t="s">
        <v>1009</v>
      </c>
      <c r="AQ415" s="4"/>
      <c r="AR415" s="4"/>
      <c r="AS415" s="11">
        <v>333</v>
      </c>
      <c r="AT415" s="11">
        <v>167</v>
      </c>
      <c r="AU415" s="11"/>
      <c r="AV415" s="11"/>
      <c r="AW415" s="4"/>
      <c r="AX415" s="4">
        <f t="shared" si="42"/>
        <v>1</v>
      </c>
      <c r="AY415" s="93">
        <v>1</v>
      </c>
      <c r="AZ415" s="4">
        <v>0.06</v>
      </c>
    </row>
    <row r="416" spans="1:52" ht="14.25" customHeight="1" x14ac:dyDescent="0.25">
      <c r="B416" s="112" t="s">
        <v>95</v>
      </c>
      <c r="C416" s="6" t="s">
        <v>1355</v>
      </c>
      <c r="D416" s="9" t="s">
        <v>3</v>
      </c>
      <c r="E416" s="8" t="s">
        <v>1533</v>
      </c>
      <c r="F416" s="9">
        <v>40</v>
      </c>
      <c r="G416" s="9"/>
      <c r="H416" s="9"/>
      <c r="I416" s="7"/>
      <c r="J416" s="7"/>
      <c r="K416" s="7"/>
      <c r="L416" s="7"/>
      <c r="M416" s="122"/>
      <c r="N416" s="122"/>
      <c r="O416" s="122"/>
      <c r="P416" s="96"/>
      <c r="Q416" s="7"/>
      <c r="R416" s="93">
        <v>0.202849864185186</v>
      </c>
      <c r="S416" s="93">
        <v>1.6693499999999986E-2</v>
      </c>
      <c r="T416" s="122" t="s">
        <v>1518</v>
      </c>
      <c r="U416" s="7"/>
      <c r="V416" s="7"/>
      <c r="W416" s="122"/>
      <c r="X416" s="122"/>
      <c r="Y416" s="122"/>
      <c r="Z416" s="7"/>
      <c r="AA416" s="7"/>
      <c r="AB416" s="7"/>
      <c r="AC416" s="7">
        <v>1</v>
      </c>
      <c r="AD416" s="7"/>
      <c r="AE416" s="7"/>
      <c r="AF416" s="7"/>
      <c r="AG416" s="7"/>
      <c r="AH416" s="7"/>
      <c r="AI416" s="7"/>
      <c r="AJ416" s="7"/>
      <c r="AK416" s="7">
        <v>1</v>
      </c>
      <c r="AL416" s="7"/>
      <c r="AM416" s="16">
        <v>44169</v>
      </c>
      <c r="AN416" s="4"/>
      <c r="AO416" s="11" t="s">
        <v>97</v>
      </c>
      <c r="AP416" s="11"/>
      <c r="AQ416" s="4"/>
      <c r="AR416" s="4"/>
      <c r="AS416" s="11">
        <v>250</v>
      </c>
      <c r="AT416" s="11"/>
      <c r="AU416" s="11"/>
      <c r="AV416" s="11"/>
      <c r="AW416" s="4"/>
      <c r="AX416" s="4">
        <f t="shared" si="42"/>
        <v>2</v>
      </c>
      <c r="AY416" s="93"/>
      <c r="AZ416" s="4">
        <v>0.6</v>
      </c>
    </row>
    <row r="417" spans="1:52" ht="14.25" customHeight="1" x14ac:dyDescent="0.25">
      <c r="B417" s="112" t="s">
        <v>96</v>
      </c>
      <c r="C417" s="6" t="s">
        <v>1356</v>
      </c>
      <c r="D417" s="9" t="s">
        <v>3</v>
      </c>
      <c r="E417" s="9" t="s">
        <v>958</v>
      </c>
      <c r="F417" s="9">
        <v>3</v>
      </c>
      <c r="G417" s="9">
        <v>40</v>
      </c>
      <c r="H417" s="9"/>
      <c r="I417" s="7"/>
      <c r="J417" s="7"/>
      <c r="K417" s="7"/>
      <c r="L417" s="7" t="s">
        <v>14</v>
      </c>
      <c r="M417" s="122"/>
      <c r="N417" s="122"/>
      <c r="O417" s="122"/>
      <c r="P417" s="96"/>
      <c r="Q417" s="14">
        <v>0.3</v>
      </c>
      <c r="R417" s="93">
        <v>2.712086065727064</v>
      </c>
      <c r="S417" s="93">
        <v>8.3843626729323475</v>
      </c>
      <c r="T417" s="122" t="s">
        <v>1518</v>
      </c>
      <c r="U417" s="7"/>
      <c r="V417" s="7"/>
      <c r="W417" s="122"/>
      <c r="X417" s="122"/>
      <c r="Y417" s="122"/>
      <c r="Z417" s="7"/>
      <c r="AA417" s="7"/>
      <c r="AB417" s="7"/>
      <c r="AC417" s="7">
        <v>1</v>
      </c>
      <c r="AD417" s="7"/>
      <c r="AE417" s="7"/>
      <c r="AF417" s="7"/>
      <c r="AG417" s="7"/>
      <c r="AH417" s="7"/>
      <c r="AI417" s="7"/>
      <c r="AJ417" s="7"/>
      <c r="AK417" s="7">
        <v>1</v>
      </c>
      <c r="AL417" s="7"/>
      <c r="AM417" s="16">
        <v>44169</v>
      </c>
      <c r="AN417" s="4"/>
      <c r="AO417" s="11" t="s">
        <v>1014</v>
      </c>
      <c r="AP417" s="6" t="s">
        <v>97</v>
      </c>
      <c r="AQ417" s="4"/>
      <c r="AR417" s="4"/>
      <c r="AS417" s="11">
        <v>250</v>
      </c>
      <c r="AT417" s="11">
        <v>250</v>
      </c>
      <c r="AU417" s="11"/>
      <c r="AV417" s="11"/>
      <c r="AW417" s="4"/>
      <c r="AX417" s="4">
        <f t="shared" si="42"/>
        <v>2</v>
      </c>
      <c r="AY417" s="93"/>
      <c r="AZ417" s="4">
        <v>0.6</v>
      </c>
    </row>
    <row r="418" spans="1:52" ht="14.25" customHeight="1" x14ac:dyDescent="0.25">
      <c r="B418" s="112" t="s">
        <v>1934</v>
      </c>
      <c r="C418" s="6" t="s">
        <v>1935</v>
      </c>
      <c r="D418" s="8" t="s">
        <v>4</v>
      </c>
      <c r="E418" s="8" t="s">
        <v>13</v>
      </c>
      <c r="F418" s="9">
        <v>2</v>
      </c>
      <c r="G418" s="9"/>
      <c r="H418" s="9"/>
      <c r="I418" s="7"/>
      <c r="J418" s="7">
        <v>20</v>
      </c>
      <c r="K418" s="7"/>
      <c r="L418" s="7"/>
      <c r="M418" s="122"/>
      <c r="N418" s="122"/>
      <c r="O418" s="122"/>
      <c r="P418" s="96"/>
      <c r="Q418" s="7"/>
      <c r="R418" s="93">
        <v>1.9835475161625682</v>
      </c>
      <c r="S418" s="93">
        <v>546.61290322580703</v>
      </c>
      <c r="T418" s="122" t="s">
        <v>1518</v>
      </c>
      <c r="U418" s="7"/>
      <c r="V418" s="7"/>
      <c r="W418" s="122" t="s">
        <v>1518</v>
      </c>
      <c r="X418" s="122"/>
      <c r="Y418" s="122"/>
      <c r="Z418" s="7"/>
      <c r="AA418" s="7"/>
      <c r="AB418" s="7"/>
      <c r="AC418" s="7">
        <v>1</v>
      </c>
      <c r="AD418" s="7">
        <v>1</v>
      </c>
      <c r="AE418" s="7"/>
      <c r="AF418" s="7"/>
      <c r="AG418" s="7"/>
      <c r="AH418" s="7"/>
      <c r="AI418" s="7"/>
      <c r="AJ418" s="7"/>
      <c r="AK418" s="7"/>
      <c r="AL418" s="7"/>
      <c r="AM418" s="16">
        <v>45232</v>
      </c>
      <c r="AN418" s="4"/>
      <c r="AO418" s="11" t="s">
        <v>138</v>
      </c>
      <c r="AP418" s="11"/>
      <c r="AQ418" s="4"/>
      <c r="AR418" s="4"/>
      <c r="AS418" s="11">
        <v>250</v>
      </c>
      <c r="AT418" s="11"/>
      <c r="AU418" s="11"/>
      <c r="AV418" s="11"/>
      <c r="AW418" s="4"/>
      <c r="AX418" s="4">
        <f t="shared" ref="AX418" si="43">SUM(AA418:AL418)</f>
        <v>2</v>
      </c>
      <c r="AY418" s="93"/>
      <c r="AZ418" s="4">
        <v>0.04</v>
      </c>
    </row>
    <row r="419" spans="1:52" ht="14.25" customHeight="1" x14ac:dyDescent="0.25">
      <c r="B419" s="112" t="s">
        <v>280</v>
      </c>
      <c r="C419" s="6" t="s">
        <v>1358</v>
      </c>
      <c r="D419" s="9" t="s">
        <v>4</v>
      </c>
      <c r="E419" s="8" t="s">
        <v>21</v>
      </c>
      <c r="F419" s="9">
        <v>15</v>
      </c>
      <c r="G419" s="9">
        <v>34</v>
      </c>
      <c r="H419" s="9"/>
      <c r="I419" s="7">
        <v>20</v>
      </c>
      <c r="J419" s="7"/>
      <c r="K419" s="7"/>
      <c r="L419" s="7" t="s">
        <v>14</v>
      </c>
      <c r="M419" s="122" t="s">
        <v>1518</v>
      </c>
      <c r="N419" s="122" t="s">
        <v>1518</v>
      </c>
      <c r="O419" s="122"/>
      <c r="P419" s="96" t="s">
        <v>189</v>
      </c>
      <c r="Q419" s="7"/>
      <c r="R419" s="93">
        <v>31.381566345347917</v>
      </c>
      <c r="S419" s="93">
        <v>104.98018604651148</v>
      </c>
      <c r="T419" s="122" t="s">
        <v>1518</v>
      </c>
      <c r="U419" s="7"/>
      <c r="V419" s="7"/>
      <c r="W419" s="122" t="s">
        <v>1518</v>
      </c>
      <c r="X419" s="122"/>
      <c r="Y419" s="122" t="s">
        <v>1518</v>
      </c>
      <c r="Z419" s="7"/>
      <c r="AA419" s="7"/>
      <c r="AB419" s="7"/>
      <c r="AC419" s="7"/>
      <c r="AD419" s="7"/>
      <c r="AE419" s="7">
        <v>1</v>
      </c>
      <c r="AF419" s="7"/>
      <c r="AG419" s="7">
        <v>1</v>
      </c>
      <c r="AH419" s="7">
        <v>1</v>
      </c>
      <c r="AI419" s="7"/>
      <c r="AJ419" s="7"/>
      <c r="AK419" s="7"/>
      <c r="AL419" s="7"/>
      <c r="AM419" s="16">
        <v>44169</v>
      </c>
      <c r="AN419" s="4"/>
      <c r="AO419" s="4" t="s">
        <v>190</v>
      </c>
      <c r="AP419" s="4" t="s">
        <v>178</v>
      </c>
      <c r="AQ419" s="4"/>
      <c r="AR419" s="4"/>
      <c r="AS419" s="11">
        <v>400</v>
      </c>
      <c r="AT419" s="11">
        <v>24</v>
      </c>
      <c r="AU419" s="11"/>
      <c r="AV419" s="11"/>
      <c r="AW419" s="4"/>
      <c r="AX419" s="4">
        <f t="shared" si="42"/>
        <v>3</v>
      </c>
      <c r="AY419" s="93"/>
      <c r="AZ419" s="4">
        <v>3</v>
      </c>
    </row>
    <row r="420" spans="1:52" ht="14.25" customHeight="1" x14ac:dyDescent="0.25">
      <c r="B420" s="112" t="s">
        <v>948</v>
      </c>
      <c r="C420" s="6" t="s">
        <v>1359</v>
      </c>
      <c r="D420" s="8" t="s">
        <v>3</v>
      </c>
      <c r="E420" s="8" t="s">
        <v>29</v>
      </c>
      <c r="F420" s="8">
        <v>7</v>
      </c>
      <c r="G420" s="8"/>
      <c r="H420" s="8"/>
      <c r="I420" s="7"/>
      <c r="J420" s="7"/>
      <c r="K420" s="7"/>
      <c r="L420" s="7"/>
      <c r="M420" s="122"/>
      <c r="N420" s="122"/>
      <c r="O420" s="122"/>
      <c r="P420" s="96"/>
      <c r="Q420" s="14">
        <v>0.3</v>
      </c>
      <c r="R420" s="93">
        <v>0.86164545657070768</v>
      </c>
      <c r="S420" s="93">
        <v>2.6379851851851766</v>
      </c>
      <c r="T420" s="122" t="s">
        <v>1518</v>
      </c>
      <c r="U420" s="7"/>
      <c r="V420" s="7"/>
      <c r="W420" s="122"/>
      <c r="X420" s="122"/>
      <c r="Y420" s="122"/>
      <c r="Z420" s="7"/>
      <c r="AA420" s="7"/>
      <c r="AB420" s="7"/>
      <c r="AC420" s="7">
        <v>1</v>
      </c>
      <c r="AD420" s="7"/>
      <c r="AE420" s="7"/>
      <c r="AF420" s="7"/>
      <c r="AG420" s="7"/>
      <c r="AH420" s="7"/>
      <c r="AI420" s="7"/>
      <c r="AJ420" s="7"/>
      <c r="AK420" s="7"/>
      <c r="AL420" s="7"/>
      <c r="AM420" s="16">
        <v>44169</v>
      </c>
      <c r="AN420" s="4"/>
      <c r="AO420" s="6" t="s">
        <v>1004</v>
      </c>
      <c r="AP420" s="4"/>
      <c r="AQ420" s="4"/>
      <c r="AR420" s="4"/>
      <c r="AS420" s="11">
        <v>300</v>
      </c>
      <c r="AT420" s="11"/>
      <c r="AU420" s="11"/>
      <c r="AV420" s="11"/>
      <c r="AW420" s="4"/>
      <c r="AX420" s="4">
        <f t="shared" si="42"/>
        <v>1</v>
      </c>
      <c r="AY420" s="93"/>
      <c r="AZ420" s="4">
        <v>0.8</v>
      </c>
    </row>
    <row r="421" spans="1:52" ht="14.25" customHeight="1" x14ac:dyDescent="0.25">
      <c r="B421" s="112" t="s">
        <v>925</v>
      </c>
      <c r="C421" s="6" t="s">
        <v>1360</v>
      </c>
      <c r="D421" s="9" t="s">
        <v>4</v>
      </c>
      <c r="E421" s="8" t="s">
        <v>21</v>
      </c>
      <c r="F421" s="9">
        <v>9</v>
      </c>
      <c r="G421" s="9"/>
      <c r="H421" s="9"/>
      <c r="I421" s="7"/>
      <c r="J421" s="7"/>
      <c r="K421" s="7"/>
      <c r="L421" s="7"/>
      <c r="M421" s="122"/>
      <c r="N421" s="122"/>
      <c r="O421" s="122"/>
      <c r="P421" s="96"/>
      <c r="Q421" s="7"/>
      <c r="R421" s="93">
        <v>0.38650149716110876</v>
      </c>
      <c r="S421" s="93">
        <v>1661.2745098039234</v>
      </c>
      <c r="T421" s="122"/>
      <c r="U421" s="7"/>
      <c r="V421" s="7"/>
      <c r="W421" s="122"/>
      <c r="X421" s="122"/>
      <c r="Y421" s="122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16">
        <v>44169</v>
      </c>
      <c r="AN421" s="4"/>
      <c r="AO421" s="11" t="s">
        <v>228</v>
      </c>
      <c r="AP421" s="4"/>
      <c r="AQ421" s="4"/>
      <c r="AR421" s="4"/>
      <c r="AS421" s="11">
        <v>480</v>
      </c>
      <c r="AT421" s="11"/>
      <c r="AU421" s="11"/>
      <c r="AV421" s="11"/>
      <c r="AW421" s="4"/>
      <c r="AX421" s="4">
        <f t="shared" si="42"/>
        <v>0</v>
      </c>
      <c r="AY421" s="93"/>
      <c r="AZ421" s="4">
        <v>7.5</v>
      </c>
    </row>
    <row r="422" spans="1:52" ht="14.25" customHeight="1" x14ac:dyDescent="0.25">
      <c r="B422" s="112" t="s">
        <v>281</v>
      </c>
      <c r="C422" s="6" t="s">
        <v>1361</v>
      </c>
      <c r="D422" s="9" t="s">
        <v>4</v>
      </c>
      <c r="E422" s="8" t="s">
        <v>17</v>
      </c>
      <c r="F422" s="9">
        <v>9</v>
      </c>
      <c r="G422" s="9"/>
      <c r="H422" s="9"/>
      <c r="I422" s="7"/>
      <c r="J422" s="7"/>
      <c r="K422" s="7"/>
      <c r="L422" s="7"/>
      <c r="M422" s="122"/>
      <c r="N422" s="122"/>
      <c r="O422" s="122"/>
      <c r="P422" s="96"/>
      <c r="Q422" s="7"/>
      <c r="R422" s="93">
        <v>0.38650149716110876</v>
      </c>
      <c r="S422" s="93">
        <v>1661.2745098039234</v>
      </c>
      <c r="T422" s="122"/>
      <c r="U422" s="7"/>
      <c r="V422" s="7"/>
      <c r="W422" s="122"/>
      <c r="X422" s="122"/>
      <c r="Y422" s="122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16">
        <v>44169</v>
      </c>
      <c r="AN422" s="4"/>
      <c r="AO422" s="11" t="s">
        <v>228</v>
      </c>
      <c r="AP422" s="4"/>
      <c r="AQ422" s="4"/>
      <c r="AR422" s="4"/>
      <c r="AS422" s="11">
        <v>480</v>
      </c>
      <c r="AT422" s="11"/>
      <c r="AU422" s="11"/>
      <c r="AV422" s="11"/>
      <c r="AW422" s="4"/>
      <c r="AX422" s="4">
        <f t="shared" si="42"/>
        <v>0</v>
      </c>
      <c r="AY422" s="93"/>
      <c r="AZ422" s="4">
        <v>7.5</v>
      </c>
    </row>
    <row r="423" spans="1:52" ht="14.25" customHeight="1" x14ac:dyDescent="0.25">
      <c r="B423" s="112" t="s">
        <v>282</v>
      </c>
      <c r="C423" s="6" t="s">
        <v>1362</v>
      </c>
      <c r="D423" s="8" t="s">
        <v>4</v>
      </c>
      <c r="E423" s="8" t="s">
        <v>54</v>
      </c>
      <c r="F423" s="9">
        <v>15</v>
      </c>
      <c r="G423" s="9"/>
      <c r="H423" s="9"/>
      <c r="I423" s="7"/>
      <c r="J423" s="7"/>
      <c r="K423" s="7"/>
      <c r="L423" s="7" t="s">
        <v>14</v>
      </c>
      <c r="M423" s="122"/>
      <c r="N423" s="122"/>
      <c r="O423" s="122"/>
      <c r="P423" s="96"/>
      <c r="Q423" s="7"/>
      <c r="R423" s="93">
        <v>7.5491503505291222</v>
      </c>
      <c r="S423" s="93">
        <v>60.653243847874926</v>
      </c>
      <c r="T423" s="122" t="s">
        <v>1518</v>
      </c>
      <c r="U423" s="7"/>
      <c r="V423" s="7"/>
      <c r="W423" s="122" t="s">
        <v>1518</v>
      </c>
      <c r="X423" s="122"/>
      <c r="Y423" s="122" t="s">
        <v>1518</v>
      </c>
      <c r="Z423" s="7" t="s">
        <v>7</v>
      </c>
      <c r="AA423" s="7">
        <v>1</v>
      </c>
      <c r="AB423" s="7"/>
      <c r="AC423" s="7">
        <v>1</v>
      </c>
      <c r="AD423" s="7"/>
      <c r="AE423" s="7"/>
      <c r="AF423" s="7"/>
      <c r="AG423" s="7"/>
      <c r="AH423" s="7"/>
      <c r="AI423" s="7"/>
      <c r="AJ423" s="7"/>
      <c r="AK423" s="7"/>
      <c r="AL423" s="7"/>
      <c r="AM423" s="16">
        <v>44911</v>
      </c>
      <c r="AN423" s="4"/>
      <c r="AO423" s="4" t="s">
        <v>131</v>
      </c>
      <c r="AP423" s="4"/>
      <c r="AQ423" s="4"/>
      <c r="AR423" s="4"/>
      <c r="AS423" s="11">
        <v>800</v>
      </c>
      <c r="AT423" s="11"/>
      <c r="AU423" s="11"/>
      <c r="AV423" s="11"/>
      <c r="AW423" s="4"/>
      <c r="AX423" s="4">
        <f t="shared" si="42"/>
        <v>2</v>
      </c>
      <c r="AY423" s="93">
        <v>1</v>
      </c>
      <c r="AZ423" s="4">
        <v>5</v>
      </c>
    </row>
    <row r="424" spans="1:52" ht="14.25" customHeight="1" x14ac:dyDescent="0.25">
      <c r="B424" s="112" t="s">
        <v>1363</v>
      </c>
      <c r="C424" s="6" t="s">
        <v>1364</v>
      </c>
      <c r="D424" s="8" t="s">
        <v>4</v>
      </c>
      <c r="E424" s="9" t="s">
        <v>26</v>
      </c>
      <c r="F424" s="9">
        <v>5</v>
      </c>
      <c r="G424" s="9">
        <v>15</v>
      </c>
      <c r="H424" s="9"/>
      <c r="I424" s="7"/>
      <c r="J424" s="7"/>
      <c r="K424" s="7"/>
      <c r="L424" s="7"/>
      <c r="M424" s="122"/>
      <c r="N424" s="122"/>
      <c r="O424" s="122"/>
      <c r="P424" s="96"/>
      <c r="Q424" s="7"/>
      <c r="R424" s="93">
        <v>3.1016537100744697</v>
      </c>
      <c r="S424" s="93">
        <v>22.422171717171729</v>
      </c>
      <c r="T424" s="122" t="s">
        <v>1518</v>
      </c>
      <c r="U424" s="7"/>
      <c r="V424" s="7"/>
      <c r="W424" s="122"/>
      <c r="X424" s="122"/>
      <c r="Y424" s="122"/>
      <c r="Z424" s="7"/>
      <c r="AA424" s="7"/>
      <c r="AB424" s="7">
        <v>1</v>
      </c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16">
        <v>44169</v>
      </c>
      <c r="AN424" s="4"/>
      <c r="AO424" s="11" t="s">
        <v>163</v>
      </c>
      <c r="AP424" s="6" t="s">
        <v>1015</v>
      </c>
      <c r="AQ424" s="4"/>
      <c r="AR424" s="4"/>
      <c r="AS424" s="11">
        <v>80</v>
      </c>
      <c r="AT424" s="11">
        <v>100</v>
      </c>
      <c r="AU424" s="11"/>
      <c r="AV424" s="11"/>
      <c r="AW424" s="4"/>
      <c r="AX424" s="4">
        <f t="shared" si="42"/>
        <v>1</v>
      </c>
      <c r="AY424" s="93"/>
      <c r="AZ424" s="4">
        <v>2</v>
      </c>
    </row>
    <row r="425" spans="1:52" ht="14.25" customHeight="1" x14ac:dyDescent="0.25">
      <c r="B425" s="112" t="s">
        <v>1623</v>
      </c>
      <c r="C425" s="6" t="s">
        <v>1624</v>
      </c>
      <c r="D425" s="8" t="s">
        <v>4</v>
      </c>
      <c r="E425" s="7" t="s">
        <v>26</v>
      </c>
      <c r="F425" s="9">
        <v>1</v>
      </c>
      <c r="G425" s="9"/>
      <c r="H425" s="9"/>
      <c r="I425" s="7"/>
      <c r="J425" s="7"/>
      <c r="K425" s="7"/>
      <c r="L425" s="7"/>
      <c r="M425" s="122"/>
      <c r="N425" s="122"/>
      <c r="O425" s="122"/>
      <c r="P425" s="96"/>
      <c r="Q425" s="7"/>
      <c r="R425" s="93">
        <v>1.4351105541832885E-3</v>
      </c>
      <c r="S425" s="93">
        <v>104.81443298969072</v>
      </c>
      <c r="T425" s="122" t="s">
        <v>1518</v>
      </c>
      <c r="U425" s="7"/>
      <c r="V425" s="7"/>
      <c r="W425" s="122" t="s">
        <v>1518</v>
      </c>
      <c r="X425" s="122"/>
      <c r="Y425" s="122" t="s">
        <v>1518</v>
      </c>
      <c r="Z425" s="7"/>
      <c r="AA425" s="7"/>
      <c r="AB425" s="7">
        <v>1</v>
      </c>
      <c r="AC425" s="7">
        <v>1</v>
      </c>
      <c r="AD425" s="7"/>
      <c r="AE425" s="7">
        <v>1</v>
      </c>
      <c r="AF425" s="7">
        <v>1</v>
      </c>
      <c r="AG425" s="7">
        <v>1</v>
      </c>
      <c r="AH425" s="7">
        <v>1</v>
      </c>
      <c r="AI425" s="7">
        <v>1</v>
      </c>
      <c r="AJ425" s="7"/>
      <c r="AK425" s="7">
        <v>1</v>
      </c>
      <c r="AL425" s="7"/>
      <c r="AM425" s="16">
        <v>44540</v>
      </c>
      <c r="AN425" s="4"/>
      <c r="AO425" s="13" t="s">
        <v>1026</v>
      </c>
      <c r="AP425" s="4"/>
      <c r="AQ425" s="4"/>
      <c r="AR425" s="4"/>
      <c r="AS425" s="11">
        <v>100</v>
      </c>
      <c r="AT425" s="11"/>
      <c r="AU425" s="11"/>
      <c r="AV425" s="11"/>
      <c r="AW425" s="4"/>
      <c r="AX425" s="4">
        <f t="shared" si="42"/>
        <v>8</v>
      </c>
      <c r="AY425" s="93"/>
      <c r="AZ425" s="4">
        <v>2</v>
      </c>
    </row>
    <row r="426" spans="1:52" ht="14.25" customHeight="1" x14ac:dyDescent="0.25">
      <c r="B426" s="112" t="s">
        <v>1918</v>
      </c>
      <c r="C426" s="6" t="s">
        <v>1919</v>
      </c>
      <c r="D426" s="8" t="s">
        <v>4</v>
      </c>
      <c r="E426" s="8"/>
      <c r="F426" s="9">
        <v>1</v>
      </c>
      <c r="G426" s="9"/>
      <c r="H426" s="9"/>
      <c r="I426" s="7"/>
      <c r="J426" s="7"/>
      <c r="K426" s="7"/>
      <c r="L426" s="7"/>
      <c r="M426" s="122"/>
      <c r="N426" s="122"/>
      <c r="O426" s="122"/>
      <c r="P426" s="96"/>
      <c r="Q426" s="7"/>
      <c r="R426" s="93">
        <v>0.10543701414231428</v>
      </c>
      <c r="S426" s="93">
        <v>69.828296703296587</v>
      </c>
      <c r="T426" s="122" t="s">
        <v>1518</v>
      </c>
      <c r="U426" s="7"/>
      <c r="V426" s="7"/>
      <c r="W426" s="122"/>
      <c r="X426" s="122"/>
      <c r="Y426" s="122"/>
      <c r="Z426" s="7"/>
      <c r="AA426" s="7"/>
      <c r="AB426" s="7">
        <v>1</v>
      </c>
      <c r="AC426" s="7">
        <v>1</v>
      </c>
      <c r="AD426" s="7"/>
      <c r="AE426" s="7">
        <v>1</v>
      </c>
      <c r="AF426" s="7">
        <v>1</v>
      </c>
      <c r="AG426" s="7">
        <v>1</v>
      </c>
      <c r="AH426" s="7">
        <v>1</v>
      </c>
      <c r="AI426" s="7">
        <v>1</v>
      </c>
      <c r="AJ426" s="7"/>
      <c r="AK426" s="7">
        <v>1</v>
      </c>
      <c r="AL426" s="7"/>
      <c r="AM426" s="16">
        <v>44169</v>
      </c>
      <c r="AN426" s="4"/>
      <c r="AO426" s="6" t="s">
        <v>1028</v>
      </c>
      <c r="AP426" s="4"/>
      <c r="AQ426" s="4"/>
      <c r="AR426" s="4"/>
      <c r="AS426" s="11">
        <v>125</v>
      </c>
      <c r="AT426" s="11"/>
      <c r="AU426" s="11"/>
      <c r="AV426" s="11"/>
      <c r="AW426" s="4"/>
      <c r="AX426" s="4">
        <f t="shared" ref="AX426:AX464" si="44">SUM(AA426:AL426)</f>
        <v>8</v>
      </c>
      <c r="AY426" s="93">
        <v>1</v>
      </c>
      <c r="AZ426" s="4">
        <v>1</v>
      </c>
    </row>
    <row r="427" spans="1:52" ht="14.25" customHeight="1" x14ac:dyDescent="0.25">
      <c r="B427" s="112" t="s">
        <v>1365</v>
      </c>
      <c r="C427" s="6" t="s">
        <v>1366</v>
      </c>
      <c r="D427" s="8" t="s">
        <v>4</v>
      </c>
      <c r="E427" s="9" t="s">
        <v>26</v>
      </c>
      <c r="F427" s="9">
        <v>18</v>
      </c>
      <c r="G427" s="9"/>
      <c r="H427" s="9"/>
      <c r="I427" s="7"/>
      <c r="J427" s="7"/>
      <c r="K427" s="7"/>
      <c r="L427" s="7"/>
      <c r="M427" s="122"/>
      <c r="N427" s="122"/>
      <c r="O427" s="122"/>
      <c r="P427" s="96"/>
      <c r="Q427" s="7"/>
      <c r="R427" s="93">
        <v>0.69129891228763585</v>
      </c>
      <c r="S427" s="93">
        <v>739.41818181818405</v>
      </c>
      <c r="T427" s="122" t="s">
        <v>1518</v>
      </c>
      <c r="U427" s="7"/>
      <c r="V427" s="7"/>
      <c r="W427" s="122"/>
      <c r="X427" s="122"/>
      <c r="Y427" s="122" t="s">
        <v>1518</v>
      </c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>
        <v>1</v>
      </c>
      <c r="AM427" s="16">
        <v>44169</v>
      </c>
      <c r="AN427" s="4"/>
      <c r="AO427" s="11" t="s">
        <v>994</v>
      </c>
      <c r="AP427" s="6"/>
      <c r="AQ427" s="4"/>
      <c r="AR427" s="4"/>
      <c r="AS427" s="11">
        <v>400</v>
      </c>
      <c r="AT427" s="11"/>
      <c r="AU427" s="11"/>
      <c r="AV427" s="11"/>
      <c r="AW427" s="4"/>
      <c r="AX427" s="4">
        <f t="shared" si="44"/>
        <v>1</v>
      </c>
      <c r="AY427" s="93"/>
      <c r="AZ427" s="4">
        <v>4</v>
      </c>
    </row>
    <row r="428" spans="1:52" ht="14.25" customHeight="1" x14ac:dyDescent="0.25">
      <c r="B428" s="112" t="s">
        <v>283</v>
      </c>
      <c r="C428" s="6" t="s">
        <v>1367</v>
      </c>
      <c r="D428" s="8" t="s">
        <v>4</v>
      </c>
      <c r="E428" s="9" t="s">
        <v>26</v>
      </c>
      <c r="F428" s="9">
        <v>2</v>
      </c>
      <c r="G428" s="9"/>
      <c r="H428" s="9"/>
      <c r="I428" s="7">
        <v>6</v>
      </c>
      <c r="J428" s="7">
        <v>6</v>
      </c>
      <c r="K428" s="7"/>
      <c r="L428" s="7"/>
      <c r="M428" s="122" t="s">
        <v>1518</v>
      </c>
      <c r="N428" s="122" t="s">
        <v>1518</v>
      </c>
      <c r="O428" s="122"/>
      <c r="P428" s="96" t="s">
        <v>136</v>
      </c>
      <c r="Q428" s="14">
        <v>0.3</v>
      </c>
      <c r="R428" s="93">
        <v>1.6404314340170563</v>
      </c>
      <c r="S428" s="93">
        <v>957.14435146443543</v>
      </c>
      <c r="T428" s="122" t="s">
        <v>1518</v>
      </c>
      <c r="U428" s="7"/>
      <c r="V428" s="7"/>
      <c r="W428" s="122"/>
      <c r="X428" s="122"/>
      <c r="Y428" s="122"/>
      <c r="Z428" s="7"/>
      <c r="AA428" s="7"/>
      <c r="AB428" s="7"/>
      <c r="AC428" s="7"/>
      <c r="AD428" s="7">
        <v>3</v>
      </c>
      <c r="AE428" s="7"/>
      <c r="AF428" s="7"/>
      <c r="AG428" s="7"/>
      <c r="AH428" s="7"/>
      <c r="AI428" s="7"/>
      <c r="AJ428" s="7"/>
      <c r="AK428" s="7"/>
      <c r="AL428" s="7"/>
      <c r="AM428" s="16">
        <v>44169</v>
      </c>
      <c r="AN428" s="4"/>
      <c r="AO428" s="4" t="s">
        <v>137</v>
      </c>
      <c r="AP428" s="4"/>
      <c r="AQ428" s="4"/>
      <c r="AR428" s="4"/>
      <c r="AS428" s="11">
        <v>60</v>
      </c>
      <c r="AT428" s="11"/>
      <c r="AU428" s="11"/>
      <c r="AV428" s="11"/>
      <c r="AW428" s="4" t="s">
        <v>1824</v>
      </c>
      <c r="AX428" s="4">
        <f t="shared" si="44"/>
        <v>3</v>
      </c>
      <c r="AY428" s="93">
        <v>1</v>
      </c>
      <c r="AZ428" s="4">
        <v>0.75</v>
      </c>
    </row>
    <row r="429" spans="1:52" ht="14.25" customHeight="1" x14ac:dyDescent="0.25">
      <c r="B429" s="112" t="s">
        <v>1595</v>
      </c>
      <c r="C429" s="6" t="s">
        <v>1596</v>
      </c>
      <c r="D429" s="9" t="s">
        <v>3</v>
      </c>
      <c r="E429" s="9" t="s">
        <v>29</v>
      </c>
      <c r="F429" s="9">
        <v>12</v>
      </c>
      <c r="G429" s="9"/>
      <c r="H429" s="9"/>
      <c r="I429" s="7"/>
      <c r="J429" s="7"/>
      <c r="K429" s="7"/>
      <c r="L429" s="7"/>
      <c r="M429" s="122"/>
      <c r="N429" s="122"/>
      <c r="O429" s="122"/>
      <c r="P429" s="96"/>
      <c r="Q429" s="14">
        <v>0.3</v>
      </c>
      <c r="R429" s="93">
        <v>3.9804442254858481</v>
      </c>
      <c r="S429" s="93">
        <v>8.2641089108910978E-2</v>
      </c>
      <c r="T429" s="122" t="s">
        <v>1518</v>
      </c>
      <c r="U429" s="7"/>
      <c r="V429" s="7"/>
      <c r="W429" s="122"/>
      <c r="X429" s="122"/>
      <c r="Y429" s="122"/>
      <c r="Z429" s="7"/>
      <c r="AA429" s="7"/>
      <c r="AB429" s="7"/>
      <c r="AC429" s="7"/>
      <c r="AD429" s="7"/>
      <c r="AE429" s="7">
        <v>1</v>
      </c>
      <c r="AF429" s="7"/>
      <c r="AG429" s="7"/>
      <c r="AH429" s="7"/>
      <c r="AI429" s="7"/>
      <c r="AJ429" s="7"/>
      <c r="AK429" s="7"/>
      <c r="AL429" s="7"/>
      <c r="AM429" s="16">
        <v>44540</v>
      </c>
      <c r="AN429" s="4"/>
      <c r="AO429" s="4" t="s">
        <v>82</v>
      </c>
      <c r="AP429" s="6"/>
      <c r="AQ429" s="4"/>
      <c r="AR429" s="4"/>
      <c r="AS429" s="11">
        <v>500</v>
      </c>
      <c r="AT429" s="11"/>
      <c r="AU429" s="11"/>
      <c r="AV429" s="11"/>
      <c r="AW429" s="4"/>
      <c r="AX429" s="4">
        <f t="shared" si="44"/>
        <v>1</v>
      </c>
      <c r="AY429" s="93">
        <v>1</v>
      </c>
      <c r="AZ429" s="4">
        <v>0.75</v>
      </c>
    </row>
    <row r="430" spans="1:52" ht="14.25" customHeight="1" x14ac:dyDescent="0.25">
      <c r="A430" s="1">
        <v>1</v>
      </c>
      <c r="B430" s="114" t="s">
        <v>1557</v>
      </c>
      <c r="C430" s="6" t="s">
        <v>1369</v>
      </c>
      <c r="D430" s="8" t="s">
        <v>6</v>
      </c>
      <c r="E430" s="8" t="s">
        <v>64</v>
      </c>
      <c r="F430" s="8"/>
      <c r="G430" s="8"/>
      <c r="H430" s="8"/>
      <c r="I430" s="7"/>
      <c r="J430" s="7"/>
      <c r="K430" s="7"/>
      <c r="L430" s="7"/>
      <c r="M430" s="122"/>
      <c r="N430" s="122"/>
      <c r="O430" s="122"/>
      <c r="P430" s="96" t="s">
        <v>352</v>
      </c>
      <c r="Q430" s="7"/>
      <c r="R430" s="93">
        <v>3.8850512249202587E-3</v>
      </c>
      <c r="S430" s="93">
        <v>6.8940707964601847E-2</v>
      </c>
      <c r="T430" s="122"/>
      <c r="U430" s="7"/>
      <c r="V430" s="7"/>
      <c r="W430" s="122"/>
      <c r="X430" s="122"/>
      <c r="Y430" s="122" t="s">
        <v>1518</v>
      </c>
      <c r="Z430" s="7"/>
      <c r="AA430" s="7">
        <v>2</v>
      </c>
      <c r="AB430" s="7">
        <v>2</v>
      </c>
      <c r="AC430" s="7">
        <v>2</v>
      </c>
      <c r="AD430" s="7">
        <v>2</v>
      </c>
      <c r="AE430" s="7">
        <v>2</v>
      </c>
      <c r="AF430" s="7">
        <v>2</v>
      </c>
      <c r="AG430" s="7">
        <v>2</v>
      </c>
      <c r="AH430" s="7">
        <v>2</v>
      </c>
      <c r="AI430" s="7">
        <v>2</v>
      </c>
      <c r="AJ430" s="7">
        <v>2</v>
      </c>
      <c r="AK430" s="7">
        <v>2</v>
      </c>
      <c r="AL430" s="7">
        <v>2</v>
      </c>
      <c r="AM430" s="16">
        <v>44169</v>
      </c>
      <c r="AN430" s="4"/>
      <c r="AO430" s="4" t="s">
        <v>356</v>
      </c>
      <c r="AP430" s="4"/>
      <c r="AQ430" s="4"/>
      <c r="AR430" s="4"/>
      <c r="AS430" s="11">
        <v>50</v>
      </c>
      <c r="AT430" s="11"/>
      <c r="AU430" s="11"/>
      <c r="AV430" s="11"/>
      <c r="AW430" s="4"/>
      <c r="AX430" s="4">
        <f t="shared" si="44"/>
        <v>24</v>
      </c>
      <c r="AY430" s="93"/>
      <c r="AZ430" s="4">
        <v>7</v>
      </c>
    </row>
    <row r="431" spans="1:52" ht="14.25" customHeight="1" x14ac:dyDescent="0.25">
      <c r="B431" s="114" t="s">
        <v>1647</v>
      </c>
      <c r="C431" s="6" t="s">
        <v>1648</v>
      </c>
      <c r="D431" s="8" t="s">
        <v>3</v>
      </c>
      <c r="E431" s="8" t="s">
        <v>13</v>
      </c>
      <c r="F431" s="8" t="s">
        <v>25</v>
      </c>
      <c r="G431" s="8"/>
      <c r="H431" s="8"/>
      <c r="I431" s="7"/>
      <c r="J431" s="7"/>
      <c r="K431" s="7"/>
      <c r="L431" s="7"/>
      <c r="M431" s="122"/>
      <c r="N431" s="122"/>
      <c r="O431" s="122"/>
      <c r="P431" s="96"/>
      <c r="Q431" s="7"/>
      <c r="R431" s="93">
        <v>59.390889830678617</v>
      </c>
      <c r="S431" s="93">
        <v>1.4018850828729341</v>
      </c>
      <c r="T431" s="122" t="s">
        <v>1518</v>
      </c>
      <c r="U431" s="7"/>
      <c r="V431" s="7"/>
      <c r="W431" s="122"/>
      <c r="X431" s="122"/>
      <c r="Y431" s="122"/>
      <c r="Z431" s="7" t="s">
        <v>7</v>
      </c>
      <c r="AA431" s="7"/>
      <c r="AB431" s="7"/>
      <c r="AC431" s="7">
        <v>1</v>
      </c>
      <c r="AD431" s="7"/>
      <c r="AE431" s="7"/>
      <c r="AF431" s="7"/>
      <c r="AG431" s="7"/>
      <c r="AH431" s="7"/>
      <c r="AI431" s="7"/>
      <c r="AJ431" s="7"/>
      <c r="AK431" s="7"/>
      <c r="AL431" s="7"/>
      <c r="AM431" s="16">
        <v>44540</v>
      </c>
      <c r="AN431" s="4"/>
      <c r="AO431" s="4" t="s">
        <v>49</v>
      </c>
      <c r="AP431" s="4"/>
      <c r="AQ431" s="4"/>
      <c r="AR431" s="4"/>
      <c r="AS431" s="11">
        <v>380</v>
      </c>
      <c r="AT431" s="11"/>
      <c r="AU431" s="11"/>
      <c r="AV431" s="11"/>
      <c r="AW431" s="4"/>
      <c r="AX431" s="4">
        <f t="shared" si="44"/>
        <v>1</v>
      </c>
      <c r="AY431" s="93"/>
      <c r="AZ431" s="4">
        <v>3</v>
      </c>
    </row>
    <row r="432" spans="1:52" ht="14.25" customHeight="1" x14ac:dyDescent="0.25">
      <c r="B432" s="112" t="s">
        <v>927</v>
      </c>
      <c r="C432" s="6" t="s">
        <v>1370</v>
      </c>
      <c r="D432" s="8" t="s">
        <v>4</v>
      </c>
      <c r="E432" s="8" t="s">
        <v>1537</v>
      </c>
      <c r="F432" s="9">
        <v>1</v>
      </c>
      <c r="G432" s="9"/>
      <c r="H432" s="9"/>
      <c r="I432" s="7"/>
      <c r="J432" s="7">
        <v>20</v>
      </c>
      <c r="K432" s="7"/>
      <c r="L432" s="7"/>
      <c r="M432" s="122" t="s">
        <v>1518</v>
      </c>
      <c r="N432" s="122" t="s">
        <v>1518</v>
      </c>
      <c r="O432" s="122"/>
      <c r="P432" s="96"/>
      <c r="Q432" s="7"/>
      <c r="R432" s="93">
        <v>7.4372212022386849E-3</v>
      </c>
      <c r="S432" s="93">
        <v>358.835294117648</v>
      </c>
      <c r="T432" s="122" t="s">
        <v>1518</v>
      </c>
      <c r="U432" s="7"/>
      <c r="V432" s="7"/>
      <c r="W432" s="122" t="s">
        <v>1518</v>
      </c>
      <c r="X432" s="122"/>
      <c r="Y432" s="122"/>
      <c r="Z432" s="7"/>
      <c r="AA432" s="7"/>
      <c r="AB432" s="7">
        <v>1</v>
      </c>
      <c r="AC432" s="7">
        <v>1</v>
      </c>
      <c r="AD432" s="7"/>
      <c r="AE432" s="7">
        <v>1</v>
      </c>
      <c r="AF432" s="7">
        <v>1</v>
      </c>
      <c r="AG432" s="7">
        <v>1</v>
      </c>
      <c r="AH432" s="7">
        <v>1</v>
      </c>
      <c r="AI432" s="7"/>
      <c r="AJ432" s="7"/>
      <c r="AK432" s="7">
        <v>1</v>
      </c>
      <c r="AL432" s="7"/>
      <c r="AM432" s="16">
        <v>44169</v>
      </c>
      <c r="AN432" s="4"/>
      <c r="AO432" s="6" t="s">
        <v>1033</v>
      </c>
      <c r="AP432" s="4"/>
      <c r="AQ432" s="4"/>
      <c r="AR432" s="4"/>
      <c r="AS432" s="11">
        <v>240</v>
      </c>
      <c r="AT432" s="11"/>
      <c r="AU432" s="11"/>
      <c r="AV432" s="11"/>
      <c r="AW432" s="4"/>
      <c r="AX432" s="4">
        <f t="shared" si="44"/>
        <v>7</v>
      </c>
      <c r="AY432" s="93"/>
      <c r="AZ432" s="4">
        <v>1</v>
      </c>
    </row>
    <row r="433" spans="2:52" ht="14.25" customHeight="1" x14ac:dyDescent="0.25">
      <c r="B433" s="112" t="s">
        <v>926</v>
      </c>
      <c r="C433" s="6" t="s">
        <v>1370</v>
      </c>
      <c r="D433" s="8" t="s">
        <v>4</v>
      </c>
      <c r="E433" s="8" t="s">
        <v>1537</v>
      </c>
      <c r="F433" s="9">
        <v>1</v>
      </c>
      <c r="G433" s="9"/>
      <c r="H433" s="9"/>
      <c r="I433" s="7"/>
      <c r="J433" s="7">
        <v>6</v>
      </c>
      <c r="K433" s="7"/>
      <c r="L433" s="7"/>
      <c r="M433" s="122" t="s">
        <v>1518</v>
      </c>
      <c r="N433" s="122" t="s">
        <v>1518</v>
      </c>
      <c r="O433" s="122"/>
      <c r="P433" s="96"/>
      <c r="Q433" s="7"/>
      <c r="R433" s="93">
        <v>3.7186106011193425E-3</v>
      </c>
      <c r="S433" s="93">
        <v>179.417647058824</v>
      </c>
      <c r="T433" s="122" t="s">
        <v>1518</v>
      </c>
      <c r="U433" s="7"/>
      <c r="V433" s="7"/>
      <c r="W433" s="122" t="s">
        <v>1518</v>
      </c>
      <c r="X433" s="122"/>
      <c r="Y433" s="122"/>
      <c r="Z433" s="7"/>
      <c r="AA433" s="7"/>
      <c r="AB433" s="7">
        <v>1</v>
      </c>
      <c r="AC433" s="7">
        <v>1</v>
      </c>
      <c r="AD433" s="7"/>
      <c r="AE433" s="7">
        <v>1</v>
      </c>
      <c r="AF433" s="7">
        <v>1</v>
      </c>
      <c r="AG433" s="7">
        <v>1</v>
      </c>
      <c r="AH433" s="7">
        <v>1</v>
      </c>
      <c r="AI433" s="7"/>
      <c r="AJ433" s="7"/>
      <c r="AK433" s="7">
        <v>1</v>
      </c>
      <c r="AL433" s="7"/>
      <c r="AM433" s="16">
        <v>44169</v>
      </c>
      <c r="AN433" s="4"/>
      <c r="AO433" s="6" t="s">
        <v>1033</v>
      </c>
      <c r="AP433" s="4"/>
      <c r="AQ433" s="4"/>
      <c r="AR433" s="4"/>
      <c r="AS433" s="11">
        <v>240</v>
      </c>
      <c r="AT433" s="11"/>
      <c r="AU433" s="11"/>
      <c r="AV433" s="11"/>
      <c r="AW433" s="4"/>
      <c r="AX433" s="4">
        <f t="shared" si="44"/>
        <v>7</v>
      </c>
      <c r="AY433" s="93"/>
      <c r="AZ433" s="4">
        <v>0.5</v>
      </c>
    </row>
    <row r="434" spans="2:52" ht="14.25" customHeight="1" x14ac:dyDescent="0.25">
      <c r="B434" s="112" t="s">
        <v>284</v>
      </c>
      <c r="C434" s="6" t="s">
        <v>1371</v>
      </c>
      <c r="D434" s="8" t="s">
        <v>4</v>
      </c>
      <c r="E434" s="8" t="s">
        <v>21</v>
      </c>
      <c r="F434" s="9">
        <v>5</v>
      </c>
      <c r="G434" s="9"/>
      <c r="H434" s="9"/>
      <c r="I434" s="7"/>
      <c r="J434" s="7"/>
      <c r="K434" s="7"/>
      <c r="L434" s="7" t="s">
        <v>14</v>
      </c>
      <c r="M434" s="122"/>
      <c r="N434" s="122"/>
      <c r="O434" s="122"/>
      <c r="P434" s="96"/>
      <c r="Q434" s="14">
        <v>0.3</v>
      </c>
      <c r="R434" s="93">
        <v>4.2328333617106617</v>
      </c>
      <c r="S434" s="93">
        <v>462.13636363636289</v>
      </c>
      <c r="T434" s="122" t="s">
        <v>1518</v>
      </c>
      <c r="U434" s="7"/>
      <c r="V434" s="7"/>
      <c r="W434" s="122"/>
      <c r="X434" s="122"/>
      <c r="Y434" s="122" t="s">
        <v>1518</v>
      </c>
      <c r="Z434" s="7" t="s">
        <v>7</v>
      </c>
      <c r="AA434" s="7">
        <v>1</v>
      </c>
      <c r="AB434" s="7"/>
      <c r="AC434" s="7">
        <v>1</v>
      </c>
      <c r="AD434" s="7"/>
      <c r="AE434" s="7"/>
      <c r="AF434" s="7"/>
      <c r="AG434" s="7"/>
      <c r="AH434" s="7"/>
      <c r="AI434" s="7"/>
      <c r="AJ434" s="7"/>
      <c r="AK434" s="7"/>
      <c r="AL434" s="7"/>
      <c r="AM434" s="16">
        <v>44169</v>
      </c>
      <c r="AN434" s="4"/>
      <c r="AO434" s="6" t="s">
        <v>1012</v>
      </c>
      <c r="AP434" s="4"/>
      <c r="AQ434" s="4"/>
      <c r="AR434" s="4"/>
      <c r="AS434" s="11">
        <v>600</v>
      </c>
      <c r="AT434" s="11"/>
      <c r="AU434" s="11"/>
      <c r="AV434" s="11"/>
      <c r="AW434" s="4"/>
      <c r="AX434" s="4">
        <f t="shared" si="44"/>
        <v>2</v>
      </c>
      <c r="AY434" s="93">
        <v>1</v>
      </c>
      <c r="AZ434" s="4">
        <v>0.7</v>
      </c>
    </row>
    <row r="435" spans="2:52" ht="14.25" customHeight="1" x14ac:dyDescent="0.25">
      <c r="B435" s="112" t="s">
        <v>98</v>
      </c>
      <c r="C435" s="6" t="s">
        <v>1372</v>
      </c>
      <c r="D435" s="8" t="s">
        <v>3</v>
      </c>
      <c r="E435" s="7" t="s">
        <v>19</v>
      </c>
      <c r="F435" s="8">
        <v>7</v>
      </c>
      <c r="G435" s="8"/>
      <c r="H435" s="8"/>
      <c r="I435" s="7"/>
      <c r="J435" s="7"/>
      <c r="K435" s="7"/>
      <c r="L435" s="7"/>
      <c r="M435" s="122"/>
      <c r="N435" s="122"/>
      <c r="O435" s="122"/>
      <c r="P435" s="96"/>
      <c r="Q435" s="14">
        <v>0.3</v>
      </c>
      <c r="R435" s="93">
        <v>0.86164545657070768</v>
      </c>
      <c r="S435" s="93">
        <v>2.6379851851851766</v>
      </c>
      <c r="T435" s="122" t="s">
        <v>1518</v>
      </c>
      <c r="U435" s="7"/>
      <c r="V435" s="7"/>
      <c r="W435" s="122"/>
      <c r="X435" s="122"/>
      <c r="Y435" s="122"/>
      <c r="Z435" s="7"/>
      <c r="AA435" s="7"/>
      <c r="AB435" s="7"/>
      <c r="AC435" s="7">
        <v>1</v>
      </c>
      <c r="AD435" s="7"/>
      <c r="AE435" s="7"/>
      <c r="AF435" s="7"/>
      <c r="AG435" s="7"/>
      <c r="AH435" s="7"/>
      <c r="AI435" s="7"/>
      <c r="AJ435" s="7"/>
      <c r="AK435" s="7"/>
      <c r="AL435" s="7"/>
      <c r="AM435" s="16">
        <v>44169</v>
      </c>
      <c r="AN435" s="4"/>
      <c r="AO435" s="6" t="s">
        <v>1004</v>
      </c>
      <c r="AP435" s="4"/>
      <c r="AQ435" s="4"/>
      <c r="AR435" s="4"/>
      <c r="AS435" s="11">
        <v>300</v>
      </c>
      <c r="AT435" s="11"/>
      <c r="AU435" s="11"/>
      <c r="AV435" s="11"/>
      <c r="AW435" s="4"/>
      <c r="AX435" s="4">
        <f t="shared" si="44"/>
        <v>1</v>
      </c>
      <c r="AY435" s="93"/>
      <c r="AZ435" s="4">
        <v>0.8</v>
      </c>
    </row>
    <row r="436" spans="2:52" ht="14.25" customHeight="1" x14ac:dyDescent="0.25">
      <c r="B436" s="112" t="s">
        <v>979</v>
      </c>
      <c r="C436" s="6" t="s">
        <v>1972</v>
      </c>
      <c r="D436" s="8" t="s">
        <v>3</v>
      </c>
      <c r="E436" s="7" t="s">
        <v>21</v>
      </c>
      <c r="F436" s="8"/>
      <c r="G436" s="8"/>
      <c r="H436" s="8"/>
      <c r="I436" s="7"/>
      <c r="J436" s="7"/>
      <c r="K436" s="7"/>
      <c r="L436" s="7"/>
      <c r="M436" s="122"/>
      <c r="N436" s="122"/>
      <c r="O436" s="122"/>
      <c r="P436" s="96"/>
      <c r="Q436" s="14"/>
      <c r="R436" s="93"/>
      <c r="S436" s="93"/>
      <c r="T436" s="122"/>
      <c r="U436" s="7"/>
      <c r="V436" s="7"/>
      <c r="W436" s="122"/>
      <c r="X436" s="122"/>
      <c r="Y436" s="122"/>
      <c r="Z436" s="7"/>
      <c r="AA436" s="7"/>
      <c r="AB436" s="7"/>
      <c r="AC436" s="7">
        <v>1</v>
      </c>
      <c r="AD436" s="7"/>
      <c r="AE436" s="7"/>
      <c r="AF436" s="7"/>
      <c r="AG436" s="7"/>
      <c r="AH436" s="7"/>
      <c r="AI436" s="7"/>
      <c r="AJ436" s="7"/>
      <c r="AK436" s="7"/>
      <c r="AL436" s="7"/>
      <c r="AM436" s="16">
        <v>45276</v>
      </c>
      <c r="AN436" s="4"/>
      <c r="AO436" s="6" t="s">
        <v>1973</v>
      </c>
      <c r="AP436" s="4"/>
      <c r="AQ436" s="4"/>
      <c r="AR436" s="4"/>
      <c r="AS436" s="11"/>
      <c r="AT436" s="11"/>
      <c r="AU436" s="11"/>
      <c r="AV436" s="11"/>
      <c r="AW436" s="4"/>
      <c r="AX436" s="4">
        <f t="shared" si="44"/>
        <v>1</v>
      </c>
      <c r="AY436" s="93"/>
      <c r="AZ436" s="4">
        <v>2</v>
      </c>
    </row>
    <row r="437" spans="2:52" ht="14.25" customHeight="1" x14ac:dyDescent="0.25">
      <c r="B437" s="112" t="s">
        <v>1936</v>
      </c>
      <c r="C437" s="6" t="s">
        <v>1937</v>
      </c>
      <c r="D437" s="9" t="s">
        <v>3</v>
      </c>
      <c r="E437" s="9" t="s">
        <v>13</v>
      </c>
      <c r="F437" s="9">
        <v>3</v>
      </c>
      <c r="G437" s="9">
        <v>5</v>
      </c>
      <c r="H437" s="9"/>
      <c r="I437" s="7">
        <v>50</v>
      </c>
      <c r="J437" s="7"/>
      <c r="K437" s="7"/>
      <c r="L437" s="7" t="s">
        <v>14</v>
      </c>
      <c r="M437" s="122"/>
      <c r="N437" s="122"/>
      <c r="O437" s="122"/>
      <c r="P437" s="96"/>
      <c r="Q437" s="14">
        <v>0.3</v>
      </c>
      <c r="R437" s="93" t="e">
        <f>+#REF!</f>
        <v>#REF!</v>
      </c>
      <c r="S437" s="93" t="e">
        <f>+#REF!</f>
        <v>#REF!</v>
      </c>
      <c r="T437" s="122" t="s">
        <v>1518</v>
      </c>
      <c r="U437" s="7"/>
      <c r="V437" s="7"/>
      <c r="W437" s="122" t="s">
        <v>1518</v>
      </c>
      <c r="X437" s="122"/>
      <c r="Y437" s="122"/>
      <c r="Z437" s="7"/>
      <c r="AA437" s="7"/>
      <c r="AB437" s="7">
        <v>1</v>
      </c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16">
        <v>45232</v>
      </c>
      <c r="AN437" s="4"/>
      <c r="AO437" s="6" t="s">
        <v>1014</v>
      </c>
      <c r="AP437" s="6" t="s">
        <v>1013</v>
      </c>
      <c r="AQ437" s="4"/>
      <c r="AR437" s="4"/>
      <c r="AS437" s="11">
        <v>100</v>
      </c>
      <c r="AT437" s="11">
        <v>375</v>
      </c>
      <c r="AU437" s="11"/>
      <c r="AV437" s="11"/>
      <c r="AW437" s="4"/>
      <c r="AX437" s="4">
        <f t="shared" ref="AX437" si="45">SUM(AA437:AL437)</f>
        <v>1</v>
      </c>
      <c r="AY437" s="93">
        <v>2</v>
      </c>
      <c r="AZ437" s="4">
        <v>1</v>
      </c>
    </row>
    <row r="438" spans="2:52" ht="14.25" customHeight="1" x14ac:dyDescent="0.25">
      <c r="B438" s="112" t="s">
        <v>1945</v>
      </c>
      <c r="C438" s="263" t="s">
        <v>1946</v>
      </c>
      <c r="D438" s="8" t="s">
        <v>5</v>
      </c>
      <c r="E438" s="8" t="s">
        <v>17</v>
      </c>
      <c r="F438" s="8" t="s">
        <v>339</v>
      </c>
      <c r="G438" s="8"/>
      <c r="H438" s="8"/>
      <c r="I438" s="7"/>
      <c r="J438" s="7"/>
      <c r="K438" s="7"/>
      <c r="L438" s="7"/>
      <c r="M438" s="122"/>
      <c r="N438" s="122"/>
      <c r="O438" s="122"/>
      <c r="P438" s="96"/>
      <c r="Q438" s="7"/>
      <c r="R438" s="93" t="e">
        <f>+#REF!</f>
        <v>#REF!</v>
      </c>
      <c r="S438" s="93" t="e">
        <f>+#REF!</f>
        <v>#REF!</v>
      </c>
      <c r="T438" s="122" t="s">
        <v>1518</v>
      </c>
      <c r="U438" s="7"/>
      <c r="V438" s="7"/>
      <c r="W438" s="122"/>
      <c r="X438" s="122"/>
      <c r="Y438" s="122"/>
      <c r="Z438" s="7" t="s">
        <v>7</v>
      </c>
      <c r="AA438" s="7"/>
      <c r="AB438" s="7"/>
      <c r="AC438" s="7">
        <v>2</v>
      </c>
      <c r="AD438" s="7"/>
      <c r="AE438" s="7"/>
      <c r="AF438" s="7"/>
      <c r="AG438" s="7"/>
      <c r="AH438" s="7"/>
      <c r="AI438" s="7"/>
      <c r="AJ438" s="7"/>
      <c r="AK438" s="7"/>
      <c r="AL438" s="7"/>
      <c r="AM438" s="16">
        <v>45262</v>
      </c>
      <c r="AN438" s="4"/>
      <c r="AO438" s="6" t="s">
        <v>995</v>
      </c>
      <c r="AP438" s="4"/>
      <c r="AQ438" s="4"/>
      <c r="AR438" s="4"/>
      <c r="AS438" s="11">
        <v>26</v>
      </c>
      <c r="AT438" s="11"/>
      <c r="AU438" s="11"/>
      <c r="AV438" s="11"/>
      <c r="AW438" s="4"/>
      <c r="AX438" s="4">
        <f t="shared" ref="AX438" si="46">SUM(AA438:AL438)</f>
        <v>2</v>
      </c>
      <c r="AY438" s="93">
        <v>3</v>
      </c>
      <c r="AZ438" s="4">
        <v>1.5</v>
      </c>
    </row>
    <row r="439" spans="2:52" ht="14.25" customHeight="1" x14ac:dyDescent="0.25">
      <c r="B439" s="112" t="s">
        <v>99</v>
      </c>
      <c r="C439" s="6" t="s">
        <v>1373</v>
      </c>
      <c r="D439" s="9" t="s">
        <v>3</v>
      </c>
      <c r="E439" s="8" t="s">
        <v>21</v>
      </c>
      <c r="F439" s="9">
        <v>3</v>
      </c>
      <c r="G439" s="9"/>
      <c r="H439" s="9"/>
      <c r="I439" s="7"/>
      <c r="J439" s="7"/>
      <c r="K439" s="7"/>
      <c r="L439" s="7" t="s">
        <v>14</v>
      </c>
      <c r="M439" s="122"/>
      <c r="N439" s="122"/>
      <c r="O439" s="122"/>
      <c r="P439" s="96"/>
      <c r="Q439" s="14">
        <v>0.3</v>
      </c>
      <c r="R439" s="93" t="e">
        <f>+#REF!</f>
        <v>#REF!</v>
      </c>
      <c r="S439" s="93" t="e">
        <f>+#REF!</f>
        <v>#REF!</v>
      </c>
      <c r="T439" s="122" t="s">
        <v>1518</v>
      </c>
      <c r="U439" s="7"/>
      <c r="V439" s="7"/>
      <c r="W439" s="122" t="s">
        <v>1518</v>
      </c>
      <c r="X439" s="122"/>
      <c r="Y439" s="122"/>
      <c r="Z439" s="7"/>
      <c r="AA439" s="7">
        <v>1</v>
      </c>
      <c r="AB439" s="7">
        <v>1</v>
      </c>
      <c r="AC439" s="7">
        <v>1</v>
      </c>
      <c r="AD439" s="7"/>
      <c r="AE439" s="7">
        <v>1</v>
      </c>
      <c r="AF439" s="7"/>
      <c r="AG439" s="7"/>
      <c r="AH439" s="7"/>
      <c r="AI439" s="7"/>
      <c r="AJ439" s="7"/>
      <c r="AK439" s="7"/>
      <c r="AL439" s="7"/>
      <c r="AM439" s="16">
        <v>44169</v>
      </c>
      <c r="AN439" s="4"/>
      <c r="AO439" s="6" t="s">
        <v>1014</v>
      </c>
      <c r="AP439" s="4"/>
      <c r="AQ439" s="4"/>
      <c r="AR439" s="4"/>
      <c r="AS439" s="11">
        <v>250</v>
      </c>
      <c r="AT439" s="11"/>
      <c r="AU439" s="11"/>
      <c r="AV439" s="11"/>
      <c r="AW439" s="4"/>
      <c r="AX439" s="4">
        <f t="shared" si="44"/>
        <v>4</v>
      </c>
      <c r="AY439" s="93"/>
      <c r="AZ439" s="4">
        <v>0.5</v>
      </c>
    </row>
    <row r="440" spans="2:52" ht="14.25" customHeight="1" x14ac:dyDescent="0.25">
      <c r="B440" s="112" t="s">
        <v>100</v>
      </c>
      <c r="C440" s="6" t="s">
        <v>1374</v>
      </c>
      <c r="D440" s="9" t="s">
        <v>3</v>
      </c>
      <c r="E440" s="7" t="s">
        <v>19</v>
      </c>
      <c r="F440" s="9">
        <v>7</v>
      </c>
      <c r="G440" s="9">
        <v>11</v>
      </c>
      <c r="H440" s="9"/>
      <c r="I440" s="7"/>
      <c r="J440" s="7"/>
      <c r="K440" s="7"/>
      <c r="L440" s="7"/>
      <c r="M440" s="122"/>
      <c r="N440" s="122"/>
      <c r="O440" s="122"/>
      <c r="P440" s="96"/>
      <c r="Q440" s="14"/>
      <c r="R440" s="93" t="e">
        <f>+#REF!</f>
        <v>#REF!</v>
      </c>
      <c r="S440" s="93" t="e">
        <f>+#REF!</f>
        <v>#REF!</v>
      </c>
      <c r="T440" s="122" t="s">
        <v>1518</v>
      </c>
      <c r="U440" s="7"/>
      <c r="V440" s="7"/>
      <c r="W440" s="122"/>
      <c r="X440" s="122"/>
      <c r="Y440" s="122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16">
        <v>44169</v>
      </c>
      <c r="AN440" s="4"/>
      <c r="AO440" s="6" t="s">
        <v>997</v>
      </c>
      <c r="AP440" s="4" t="s">
        <v>86</v>
      </c>
      <c r="AQ440" s="4"/>
      <c r="AR440" s="4"/>
      <c r="AS440" s="11">
        <v>267</v>
      </c>
      <c r="AT440" s="11">
        <v>67</v>
      </c>
      <c r="AU440" s="11"/>
      <c r="AV440" s="11"/>
      <c r="AW440" s="4"/>
      <c r="AX440" s="4">
        <f t="shared" si="44"/>
        <v>0</v>
      </c>
      <c r="AY440" s="93"/>
      <c r="AZ440" s="4">
        <v>0.2</v>
      </c>
    </row>
    <row r="441" spans="2:52" ht="24" customHeight="1" x14ac:dyDescent="0.25">
      <c r="B441" s="112" t="s">
        <v>419</v>
      </c>
      <c r="C441" s="6" t="s">
        <v>1375</v>
      </c>
      <c r="D441" s="9" t="s">
        <v>118</v>
      </c>
      <c r="E441" s="8" t="s">
        <v>13</v>
      </c>
      <c r="F441" s="9"/>
      <c r="G441" s="9"/>
      <c r="H441" s="9"/>
      <c r="I441" s="7"/>
      <c r="J441" s="7"/>
      <c r="K441" s="7"/>
      <c r="L441" s="7"/>
      <c r="M441" s="122"/>
      <c r="N441" s="122"/>
      <c r="O441" s="122"/>
      <c r="P441" s="96"/>
      <c r="Q441" s="14"/>
      <c r="R441" s="93" t="e">
        <f>+#REF!</f>
        <v>#REF!</v>
      </c>
      <c r="S441" s="93" t="e">
        <f>+#REF!</f>
        <v>#REF!</v>
      </c>
      <c r="T441" s="122"/>
      <c r="U441" s="7"/>
      <c r="V441" s="7"/>
      <c r="W441" s="122" t="s">
        <v>1518</v>
      </c>
      <c r="X441" s="122" t="s">
        <v>1518</v>
      </c>
      <c r="Y441" s="122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16">
        <v>44169</v>
      </c>
      <c r="AN441" s="4"/>
      <c r="AO441" s="4" t="s">
        <v>420</v>
      </c>
      <c r="AP441" s="4"/>
      <c r="AQ441" s="4"/>
      <c r="AR441" s="4"/>
      <c r="AS441" s="11">
        <v>846</v>
      </c>
      <c r="AT441" s="11"/>
      <c r="AU441" s="11"/>
      <c r="AV441" s="11"/>
      <c r="AW441" s="4"/>
      <c r="AX441" s="4">
        <f t="shared" si="44"/>
        <v>0</v>
      </c>
      <c r="AY441" s="93"/>
      <c r="AZ441" s="4">
        <v>0.15</v>
      </c>
    </row>
    <row r="442" spans="2:52" s="52" customFormat="1" ht="14.25" customHeight="1" x14ac:dyDescent="0.25">
      <c r="B442" s="112" t="s">
        <v>285</v>
      </c>
      <c r="C442" s="6" t="s">
        <v>1674</v>
      </c>
      <c r="D442" s="8" t="s">
        <v>4</v>
      </c>
      <c r="E442" s="9" t="s">
        <v>1653</v>
      </c>
      <c r="F442" s="9">
        <v>4</v>
      </c>
      <c r="G442" s="9">
        <v>4</v>
      </c>
      <c r="H442" s="9"/>
      <c r="I442" s="7"/>
      <c r="J442" s="7"/>
      <c r="K442" s="7"/>
      <c r="L442" s="7"/>
      <c r="M442" s="122" t="s">
        <v>1518</v>
      </c>
      <c r="N442" s="122" t="s">
        <v>1518</v>
      </c>
      <c r="O442" s="122"/>
      <c r="P442" s="96" t="s">
        <v>286</v>
      </c>
      <c r="Q442" s="7"/>
      <c r="R442" s="93" t="e">
        <f>+#REF!</f>
        <v>#REF!</v>
      </c>
      <c r="S442" s="93" t="e">
        <f>+#REF!</f>
        <v>#REF!</v>
      </c>
      <c r="T442" s="122" t="s">
        <v>1518</v>
      </c>
      <c r="U442" s="7"/>
      <c r="V442" s="7"/>
      <c r="W442" s="122" t="s">
        <v>1518</v>
      </c>
      <c r="X442" s="122"/>
      <c r="Y442" s="122" t="s">
        <v>1518</v>
      </c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>
        <v>1</v>
      </c>
      <c r="AM442" s="16">
        <v>44169</v>
      </c>
      <c r="AN442" s="4"/>
      <c r="AO442" s="4" t="s">
        <v>215</v>
      </c>
      <c r="AP442" s="4" t="s">
        <v>287</v>
      </c>
      <c r="AQ442" s="4"/>
      <c r="AR442" s="4"/>
      <c r="AS442" s="11">
        <v>100</v>
      </c>
      <c r="AT442" s="11">
        <v>30.1</v>
      </c>
      <c r="AU442" s="11"/>
      <c r="AV442" s="11"/>
      <c r="AW442" s="4"/>
      <c r="AX442" s="4">
        <f t="shared" si="44"/>
        <v>1</v>
      </c>
      <c r="AY442" s="93"/>
      <c r="AZ442" s="4"/>
    </row>
    <row r="443" spans="2:52" s="52" customFormat="1" ht="14.25" customHeight="1" x14ac:dyDescent="0.25">
      <c r="B443" s="112" t="s">
        <v>1376</v>
      </c>
      <c r="C443" s="6" t="s">
        <v>1377</v>
      </c>
      <c r="D443" s="8" t="s">
        <v>4</v>
      </c>
      <c r="E443" s="8" t="s">
        <v>17</v>
      </c>
      <c r="F443" s="9" t="s">
        <v>962</v>
      </c>
      <c r="G443" s="9" t="s">
        <v>962</v>
      </c>
      <c r="H443" s="9"/>
      <c r="I443" s="7"/>
      <c r="J443" s="7"/>
      <c r="K443" s="7"/>
      <c r="L443" s="7"/>
      <c r="M443" s="122"/>
      <c r="N443" s="122"/>
      <c r="O443" s="122"/>
      <c r="P443" s="96"/>
      <c r="Q443" s="7"/>
      <c r="R443" s="93" t="e">
        <f>+#REF!</f>
        <v>#REF!</v>
      </c>
      <c r="S443" s="93" t="e">
        <f>+#REF!</f>
        <v>#REF!</v>
      </c>
      <c r="T443" s="122"/>
      <c r="U443" s="7">
        <v>2</v>
      </c>
      <c r="V443" s="7"/>
      <c r="W443" s="122" t="s">
        <v>1518</v>
      </c>
      <c r="X443" s="122"/>
      <c r="Y443" s="122"/>
      <c r="Z443" s="7"/>
      <c r="AA443" s="7"/>
      <c r="AB443" s="7"/>
      <c r="AC443" s="7">
        <v>1</v>
      </c>
      <c r="AD443" s="7"/>
      <c r="AE443" s="7"/>
      <c r="AF443" s="7"/>
      <c r="AG443" s="7"/>
      <c r="AH443" s="7"/>
      <c r="AI443" s="7"/>
      <c r="AJ443" s="7"/>
      <c r="AK443" s="7"/>
      <c r="AL443" s="7"/>
      <c r="AM443" s="16">
        <v>44169</v>
      </c>
      <c r="AN443" s="4"/>
      <c r="AO443" s="4" t="s">
        <v>1512</v>
      </c>
      <c r="AP443" s="4" t="s">
        <v>1513</v>
      </c>
      <c r="AQ443" s="4"/>
      <c r="AR443" s="4"/>
      <c r="AS443" s="11">
        <v>288</v>
      </c>
      <c r="AT443" s="11">
        <v>422</v>
      </c>
      <c r="AU443" s="11"/>
      <c r="AV443" s="11"/>
      <c r="AW443" s="4"/>
      <c r="AX443" s="4">
        <f t="shared" si="44"/>
        <v>1</v>
      </c>
      <c r="AY443" s="93">
        <v>3</v>
      </c>
      <c r="AZ443" s="4">
        <v>18</v>
      </c>
    </row>
    <row r="444" spans="2:52" ht="14.25" customHeight="1" x14ac:dyDescent="0.25">
      <c r="B444" s="112" t="s">
        <v>101</v>
      </c>
      <c r="C444" s="6" t="s">
        <v>1378</v>
      </c>
      <c r="D444" s="9" t="s">
        <v>3</v>
      </c>
      <c r="E444" s="9" t="s">
        <v>26</v>
      </c>
      <c r="F444" s="9">
        <v>3</v>
      </c>
      <c r="G444" s="9"/>
      <c r="H444" s="9"/>
      <c r="I444" s="7">
        <v>20</v>
      </c>
      <c r="J444" s="7"/>
      <c r="K444" s="7"/>
      <c r="L444" s="7"/>
      <c r="M444" s="122"/>
      <c r="N444" s="122"/>
      <c r="O444" s="122"/>
      <c r="P444" s="96"/>
      <c r="Q444" s="15">
        <v>0.3</v>
      </c>
      <c r="R444" s="93" t="e">
        <f>+#REF!</f>
        <v>#REF!</v>
      </c>
      <c r="S444" s="93" t="e">
        <f>+#REF!</f>
        <v>#REF!</v>
      </c>
      <c r="T444" s="122" t="s">
        <v>1518</v>
      </c>
      <c r="U444" s="7"/>
      <c r="V444" s="7"/>
      <c r="W444" s="122" t="s">
        <v>1518</v>
      </c>
      <c r="X444" s="122"/>
      <c r="Y444" s="122" t="s">
        <v>1518</v>
      </c>
      <c r="Z444" s="7"/>
      <c r="AA444" s="7">
        <v>1</v>
      </c>
      <c r="AB444" s="7"/>
      <c r="AC444" s="7"/>
      <c r="AD444" s="7"/>
      <c r="AE444" s="7">
        <v>1</v>
      </c>
      <c r="AF444" s="7">
        <v>1</v>
      </c>
      <c r="AG444" s="7"/>
      <c r="AH444" s="7"/>
      <c r="AI444" s="7"/>
      <c r="AJ444" s="7"/>
      <c r="AK444" s="7"/>
      <c r="AL444" s="7"/>
      <c r="AM444" s="16">
        <v>44169</v>
      </c>
      <c r="AN444" s="4"/>
      <c r="AO444" s="6" t="s">
        <v>1021</v>
      </c>
      <c r="AP444" s="4"/>
      <c r="AQ444" s="4"/>
      <c r="AR444" s="4"/>
      <c r="AS444" s="11">
        <v>60</v>
      </c>
      <c r="AT444" s="11"/>
      <c r="AU444" s="11"/>
      <c r="AV444" s="11"/>
      <c r="AW444" s="4"/>
      <c r="AX444" s="4">
        <f t="shared" si="44"/>
        <v>3</v>
      </c>
      <c r="AY444" s="93">
        <v>1</v>
      </c>
      <c r="AZ444" s="4">
        <v>1.5</v>
      </c>
    </row>
    <row r="445" spans="2:52" ht="14.25" customHeight="1" x14ac:dyDescent="0.25">
      <c r="B445" s="112" t="s">
        <v>288</v>
      </c>
      <c r="C445" s="6" t="s">
        <v>1379</v>
      </c>
      <c r="D445" s="8" t="s">
        <v>4</v>
      </c>
      <c r="E445" s="8" t="s">
        <v>17</v>
      </c>
      <c r="F445" s="9">
        <v>3</v>
      </c>
      <c r="G445" s="9"/>
      <c r="H445" s="9"/>
      <c r="I445" s="7"/>
      <c r="J445" s="7"/>
      <c r="K445" s="7"/>
      <c r="L445" s="7"/>
      <c r="M445" s="122"/>
      <c r="N445" s="122"/>
      <c r="O445" s="122"/>
      <c r="P445" s="96"/>
      <c r="Q445" s="14">
        <v>0.3</v>
      </c>
      <c r="R445" s="93" t="e">
        <f>+#REF!</f>
        <v>#REF!</v>
      </c>
      <c r="S445" s="93" t="e">
        <f>+#REF!</f>
        <v>#REF!</v>
      </c>
      <c r="T445" s="122" t="s">
        <v>1518</v>
      </c>
      <c r="U445" s="7"/>
      <c r="V445" s="7"/>
      <c r="W445" s="122"/>
      <c r="X445" s="122"/>
      <c r="Y445" s="122"/>
      <c r="Z445" s="7"/>
      <c r="AA445" s="7">
        <v>1</v>
      </c>
      <c r="AB445" s="7"/>
      <c r="AC445" s="7">
        <v>1</v>
      </c>
      <c r="AD445" s="7">
        <v>1</v>
      </c>
      <c r="AE445" s="7"/>
      <c r="AF445" s="7">
        <v>1</v>
      </c>
      <c r="AG445" s="7">
        <v>1</v>
      </c>
      <c r="AH445" s="7"/>
      <c r="AI445" s="7"/>
      <c r="AJ445" s="7"/>
      <c r="AK445" s="7"/>
      <c r="AL445" s="7">
        <v>1</v>
      </c>
      <c r="AM445" s="16">
        <v>44169</v>
      </c>
      <c r="AN445" s="4"/>
      <c r="AO445" s="6" t="s">
        <v>1000</v>
      </c>
      <c r="AP445" s="4"/>
      <c r="AQ445" s="4"/>
      <c r="AR445" s="4"/>
      <c r="AS445" s="11">
        <v>400</v>
      </c>
      <c r="AT445" s="11"/>
      <c r="AU445" s="11"/>
      <c r="AV445" s="11"/>
      <c r="AW445" s="4"/>
      <c r="AX445" s="4">
        <f t="shared" si="44"/>
        <v>6</v>
      </c>
      <c r="AY445" s="93"/>
      <c r="AZ445" s="4">
        <v>4</v>
      </c>
    </row>
    <row r="446" spans="2:52" ht="24" customHeight="1" x14ac:dyDescent="0.25">
      <c r="B446" s="92" t="s">
        <v>1866</v>
      </c>
      <c r="C446" s="6" t="s">
        <v>1867</v>
      </c>
      <c r="D446" s="7" t="s">
        <v>4</v>
      </c>
      <c r="E446" s="8" t="s">
        <v>17</v>
      </c>
      <c r="F446" s="9">
        <v>3</v>
      </c>
      <c r="G446" s="9"/>
      <c r="H446" s="9"/>
      <c r="I446" s="7"/>
      <c r="J446" s="7"/>
      <c r="K446" s="7"/>
      <c r="L446" s="7"/>
      <c r="M446" s="122"/>
      <c r="N446" s="122"/>
      <c r="O446" s="122"/>
      <c r="P446" s="96"/>
      <c r="Q446" s="14">
        <v>0.3</v>
      </c>
      <c r="R446" s="93" t="e">
        <f>+#REF!</f>
        <v>#REF!</v>
      </c>
      <c r="S446" s="93" t="e">
        <f>+#REF!</f>
        <v>#REF!</v>
      </c>
      <c r="T446" s="122" t="s">
        <v>1518</v>
      </c>
      <c r="U446" s="7"/>
      <c r="V446" s="7"/>
      <c r="W446" s="122"/>
      <c r="X446" s="122"/>
      <c r="Y446" s="122" t="s">
        <v>1518</v>
      </c>
      <c r="Z446" s="7"/>
      <c r="AA446" s="7">
        <v>1</v>
      </c>
      <c r="AB446" s="7"/>
      <c r="AC446" s="7">
        <v>1</v>
      </c>
      <c r="AD446" s="7">
        <v>1</v>
      </c>
      <c r="AE446" s="7"/>
      <c r="AF446" s="7">
        <v>1</v>
      </c>
      <c r="AG446" s="7">
        <v>1</v>
      </c>
      <c r="AH446" s="7"/>
      <c r="AI446" s="7"/>
      <c r="AJ446" s="7"/>
      <c r="AK446" s="7"/>
      <c r="AL446" s="7">
        <v>1</v>
      </c>
      <c r="AM446" s="16">
        <v>44911</v>
      </c>
      <c r="AN446" s="4"/>
      <c r="AO446" s="6" t="s">
        <v>1000</v>
      </c>
      <c r="AP446" s="4"/>
      <c r="AQ446" s="4"/>
      <c r="AR446" s="4"/>
      <c r="AS446" s="11">
        <v>400</v>
      </c>
      <c r="AT446" s="11"/>
      <c r="AU446" s="11"/>
      <c r="AV446" s="11"/>
      <c r="AW446" s="4"/>
      <c r="AX446" s="4">
        <f t="shared" si="44"/>
        <v>6</v>
      </c>
      <c r="AY446" s="93"/>
      <c r="AZ446" s="4">
        <v>4</v>
      </c>
    </row>
    <row r="447" spans="2:52" ht="14.25" customHeight="1" x14ac:dyDescent="0.25">
      <c r="B447" s="112" t="s">
        <v>102</v>
      </c>
      <c r="C447" s="6" t="s">
        <v>1691</v>
      </c>
      <c r="D447" s="9" t="s">
        <v>3</v>
      </c>
      <c r="E447" s="8" t="s">
        <v>1690</v>
      </c>
      <c r="F447" s="9">
        <v>3</v>
      </c>
      <c r="G447" s="9"/>
      <c r="H447" s="9"/>
      <c r="I447" s="7"/>
      <c r="J447" s="7"/>
      <c r="K447" s="7"/>
      <c r="L447" s="7" t="s">
        <v>14</v>
      </c>
      <c r="M447" s="122"/>
      <c r="N447" s="122"/>
      <c r="O447" s="122"/>
      <c r="P447" s="96"/>
      <c r="Q447" s="14">
        <v>0.3</v>
      </c>
      <c r="R447" s="93" t="e">
        <f>+#REF!</f>
        <v>#REF!</v>
      </c>
      <c r="S447" s="93" t="e">
        <f>+#REF!</f>
        <v>#REF!</v>
      </c>
      <c r="T447" s="122" t="s">
        <v>1518</v>
      </c>
      <c r="U447" s="7"/>
      <c r="V447" s="7"/>
      <c r="W447" s="122" t="s">
        <v>1518</v>
      </c>
      <c r="X447" s="122"/>
      <c r="Y447" s="122"/>
      <c r="Z447" s="7"/>
      <c r="AA447" s="7">
        <v>1</v>
      </c>
      <c r="AB447" s="7">
        <v>1</v>
      </c>
      <c r="AC447" s="7">
        <v>1</v>
      </c>
      <c r="AD447" s="7"/>
      <c r="AE447" s="7">
        <v>1</v>
      </c>
      <c r="AF447" s="7"/>
      <c r="AG447" s="7"/>
      <c r="AH447" s="7"/>
      <c r="AI447" s="7"/>
      <c r="AJ447" s="7"/>
      <c r="AK447" s="7"/>
      <c r="AL447" s="7"/>
      <c r="AM447" s="16">
        <v>44169</v>
      </c>
      <c r="AN447" s="4"/>
      <c r="AO447" s="6" t="s">
        <v>1014</v>
      </c>
      <c r="AP447" s="4"/>
      <c r="AQ447" s="4"/>
      <c r="AR447" s="4"/>
      <c r="AS447" s="11">
        <v>250</v>
      </c>
      <c r="AT447" s="11"/>
      <c r="AU447" s="11"/>
      <c r="AV447" s="11"/>
      <c r="AW447" s="4"/>
      <c r="AX447" s="4">
        <f t="shared" si="44"/>
        <v>4</v>
      </c>
      <c r="AY447" s="93"/>
      <c r="AZ447" s="4">
        <v>0.5</v>
      </c>
    </row>
    <row r="448" spans="2:52" ht="14.25" customHeight="1" x14ac:dyDescent="0.25">
      <c r="B448" s="112" t="s">
        <v>355</v>
      </c>
      <c r="C448" s="6" t="s">
        <v>1380</v>
      </c>
      <c r="D448" s="8" t="s">
        <v>6</v>
      </c>
      <c r="E448" s="8" t="s">
        <v>24</v>
      </c>
      <c r="F448" s="8"/>
      <c r="G448" s="8"/>
      <c r="H448" s="8"/>
      <c r="I448" s="7"/>
      <c r="J448" s="7"/>
      <c r="K448" s="7"/>
      <c r="L448" s="7"/>
      <c r="M448" s="122"/>
      <c r="N448" s="122"/>
      <c r="O448" s="122"/>
      <c r="P448" s="96"/>
      <c r="Q448" s="7"/>
      <c r="R448" s="93" t="e">
        <f>+#REF!</f>
        <v>#REF!</v>
      </c>
      <c r="S448" s="93" t="e">
        <f>+#REF!</f>
        <v>#REF!</v>
      </c>
      <c r="T448" s="122"/>
      <c r="U448" s="7"/>
      <c r="V448" s="7"/>
      <c r="W448" s="122"/>
      <c r="X448" s="122"/>
      <c r="Y448" s="122" t="s">
        <v>1518</v>
      </c>
      <c r="Z448" s="7"/>
      <c r="AA448" s="7">
        <v>2</v>
      </c>
      <c r="AB448" s="7">
        <v>2</v>
      </c>
      <c r="AC448" s="7">
        <v>2</v>
      </c>
      <c r="AD448" s="7">
        <v>2</v>
      </c>
      <c r="AE448" s="7">
        <v>2</v>
      </c>
      <c r="AF448" s="7">
        <v>2</v>
      </c>
      <c r="AG448" s="7">
        <v>2</v>
      </c>
      <c r="AH448" s="7">
        <v>2</v>
      </c>
      <c r="AI448" s="7">
        <v>2</v>
      </c>
      <c r="AJ448" s="7">
        <v>2</v>
      </c>
      <c r="AK448" s="7">
        <v>2</v>
      </c>
      <c r="AL448" s="7">
        <v>2</v>
      </c>
      <c r="AM448" s="16">
        <v>44169</v>
      </c>
      <c r="AN448" s="4"/>
      <c r="AO448" s="4" t="s">
        <v>816</v>
      </c>
      <c r="AP448" s="4"/>
      <c r="AQ448" s="4"/>
      <c r="AR448" s="4"/>
      <c r="AS448" s="11">
        <v>24</v>
      </c>
      <c r="AT448" s="11"/>
      <c r="AU448" s="11"/>
      <c r="AV448" s="11"/>
      <c r="AW448" s="4"/>
      <c r="AX448" s="4">
        <f t="shared" si="44"/>
        <v>24</v>
      </c>
      <c r="AY448" s="93"/>
      <c r="AZ448" s="4">
        <v>7</v>
      </c>
    </row>
    <row r="449" spans="1:52" ht="14.25" customHeight="1" x14ac:dyDescent="0.25">
      <c r="A449" s="1">
        <v>11</v>
      </c>
      <c r="B449" s="112" t="s">
        <v>922</v>
      </c>
      <c r="C449" s="6" t="s">
        <v>1381</v>
      </c>
      <c r="D449" s="8" t="s">
        <v>4</v>
      </c>
      <c r="E449" s="9" t="s">
        <v>26</v>
      </c>
      <c r="F449" s="9">
        <v>4</v>
      </c>
      <c r="G449" s="9">
        <v>15</v>
      </c>
      <c r="H449" s="9"/>
      <c r="I449" s="7"/>
      <c r="J449" s="7"/>
      <c r="K449" s="7"/>
      <c r="L449" s="7"/>
      <c r="M449" s="122" t="s">
        <v>1518</v>
      </c>
      <c r="N449" s="122" t="s">
        <v>1518</v>
      </c>
      <c r="O449" s="122"/>
      <c r="P449" s="96" t="s">
        <v>302</v>
      </c>
      <c r="Q449" s="14"/>
      <c r="R449" s="93" t="e">
        <f>+#REF!</f>
        <v>#REF!</v>
      </c>
      <c r="S449" s="93" t="e">
        <f>+#REF!</f>
        <v>#REF!</v>
      </c>
      <c r="T449" s="122" t="s">
        <v>1518</v>
      </c>
      <c r="U449" s="7"/>
      <c r="V449" s="7"/>
      <c r="W449" s="122" t="s">
        <v>1518</v>
      </c>
      <c r="X449" s="122"/>
      <c r="Y449" s="122" t="s">
        <v>1518</v>
      </c>
      <c r="Z449" s="7"/>
      <c r="AA449" s="7"/>
      <c r="AB449" s="7">
        <v>1</v>
      </c>
      <c r="AC449" s="7"/>
      <c r="AD449" s="7"/>
      <c r="AE449" s="7">
        <v>1</v>
      </c>
      <c r="AF449" s="7"/>
      <c r="AG449" s="7"/>
      <c r="AH449" s="7"/>
      <c r="AI449" s="7"/>
      <c r="AJ449" s="7"/>
      <c r="AK449" s="7"/>
      <c r="AL449" s="7"/>
      <c r="AM449" s="16">
        <v>45232</v>
      </c>
      <c r="AN449" s="4"/>
      <c r="AO449" s="6" t="s">
        <v>303</v>
      </c>
      <c r="AP449" s="4" t="s">
        <v>1008</v>
      </c>
      <c r="AQ449" s="4"/>
      <c r="AR449" s="4"/>
      <c r="AS449" s="11">
        <v>167</v>
      </c>
      <c r="AT449" s="11">
        <v>333</v>
      </c>
      <c r="AU449" s="11"/>
      <c r="AV449" s="11"/>
      <c r="AW449" s="4"/>
      <c r="AX449" s="4">
        <f t="shared" si="44"/>
        <v>2</v>
      </c>
      <c r="AY449" s="93"/>
      <c r="AZ449" s="4">
        <v>1.5</v>
      </c>
    </row>
    <row r="450" spans="1:52" ht="14.25" customHeight="1" x14ac:dyDescent="0.25">
      <c r="B450" s="116" t="s">
        <v>1925</v>
      </c>
      <c r="C450" s="6" t="s">
        <v>1382</v>
      </c>
      <c r="D450" s="54" t="s">
        <v>4</v>
      </c>
      <c r="E450" s="8" t="s">
        <v>13</v>
      </c>
      <c r="F450" s="9">
        <v>5</v>
      </c>
      <c r="G450" s="9"/>
      <c r="H450" s="9"/>
      <c r="I450" s="50"/>
      <c r="J450" s="50">
        <v>6</v>
      </c>
      <c r="K450" s="50"/>
      <c r="L450" s="50"/>
      <c r="M450" s="123"/>
      <c r="N450" s="123"/>
      <c r="O450" s="123"/>
      <c r="P450" s="97"/>
      <c r="Q450" s="50"/>
      <c r="R450" s="93" t="e">
        <f>+#REF!</f>
        <v>#REF!</v>
      </c>
      <c r="S450" s="93" t="e">
        <f>+#REF!</f>
        <v>#REF!</v>
      </c>
      <c r="T450" s="123" t="s">
        <v>1518</v>
      </c>
      <c r="U450" s="50"/>
      <c r="V450" s="50"/>
      <c r="W450" s="123"/>
      <c r="X450" s="123"/>
      <c r="Y450" s="123" t="s">
        <v>1518</v>
      </c>
      <c r="Z450" s="50"/>
      <c r="AA450" s="50"/>
      <c r="AB450" s="50"/>
      <c r="AC450" s="50"/>
      <c r="AD450" s="50"/>
      <c r="AE450" s="50"/>
      <c r="AF450" s="50">
        <v>1</v>
      </c>
      <c r="AG450" s="50"/>
      <c r="AH450" s="50">
        <v>1</v>
      </c>
      <c r="AI450" s="50"/>
      <c r="AJ450" s="50"/>
      <c r="AK450" s="50"/>
      <c r="AL450" s="50"/>
      <c r="AM450" s="16">
        <v>44169</v>
      </c>
      <c r="AN450" s="51"/>
      <c r="AO450" s="6" t="s">
        <v>1032</v>
      </c>
      <c r="AP450" s="51"/>
      <c r="AQ450" s="51"/>
      <c r="AR450" s="51"/>
      <c r="AS450" s="53">
        <v>500</v>
      </c>
      <c r="AT450" s="53"/>
      <c r="AU450" s="53"/>
      <c r="AV450" s="53"/>
      <c r="AW450" s="51"/>
      <c r="AX450" s="4">
        <f t="shared" si="44"/>
        <v>2</v>
      </c>
      <c r="AY450" s="94">
        <v>1</v>
      </c>
      <c r="AZ450" s="51">
        <v>4</v>
      </c>
    </row>
    <row r="451" spans="1:52" ht="14.25" customHeight="1" x14ac:dyDescent="0.25">
      <c r="B451" s="116" t="s">
        <v>1926</v>
      </c>
      <c r="C451" s="6" t="s">
        <v>1382</v>
      </c>
      <c r="D451" s="54" t="s">
        <v>4</v>
      </c>
      <c r="E451" s="8" t="s">
        <v>13</v>
      </c>
      <c r="F451" s="9">
        <v>5</v>
      </c>
      <c r="G451" s="9"/>
      <c r="H451" s="9"/>
      <c r="I451" s="50"/>
      <c r="J451" s="50">
        <v>20</v>
      </c>
      <c r="K451" s="50"/>
      <c r="L451" s="50"/>
      <c r="M451" s="123"/>
      <c r="N451" s="123"/>
      <c r="O451" s="123"/>
      <c r="P451" s="97"/>
      <c r="Q451" s="50"/>
      <c r="R451" s="93" t="e">
        <f>+#REF!</f>
        <v>#REF!</v>
      </c>
      <c r="S451" s="93" t="e">
        <f>+#REF!</f>
        <v>#REF!</v>
      </c>
      <c r="T451" s="123" t="s">
        <v>1518</v>
      </c>
      <c r="U451" s="50"/>
      <c r="V451" s="50"/>
      <c r="W451" s="123"/>
      <c r="X451" s="123"/>
      <c r="Y451" s="123" t="s">
        <v>1518</v>
      </c>
      <c r="Z451" s="50"/>
      <c r="AA451" s="50"/>
      <c r="AB451" s="50"/>
      <c r="AC451" s="50">
        <v>1</v>
      </c>
      <c r="AD451" s="50"/>
      <c r="AE451" s="50"/>
      <c r="AF451" s="50"/>
      <c r="AG451" s="50"/>
      <c r="AH451" s="50"/>
      <c r="AI451" s="50"/>
      <c r="AJ451" s="50"/>
      <c r="AK451" s="50"/>
      <c r="AL451" s="50"/>
      <c r="AM451" s="16">
        <v>44169</v>
      </c>
      <c r="AN451" s="51"/>
      <c r="AO451" s="6" t="s">
        <v>1032</v>
      </c>
      <c r="AP451" s="51"/>
      <c r="AQ451" s="51"/>
      <c r="AR451" s="51"/>
      <c r="AS451" s="53">
        <v>500</v>
      </c>
      <c r="AT451" s="53"/>
      <c r="AU451" s="53"/>
      <c r="AV451" s="53"/>
      <c r="AW451" s="51"/>
      <c r="AX451" s="4">
        <f t="shared" si="44"/>
        <v>1</v>
      </c>
      <c r="AY451" s="94">
        <v>1</v>
      </c>
      <c r="AZ451" s="51">
        <v>4</v>
      </c>
    </row>
    <row r="452" spans="1:52" ht="14.25" customHeight="1" x14ac:dyDescent="0.25">
      <c r="B452" s="112" t="s">
        <v>289</v>
      </c>
      <c r="C452" s="6" t="s">
        <v>1383</v>
      </c>
      <c r="D452" s="9" t="s">
        <v>4</v>
      </c>
      <c r="E452" s="8" t="s">
        <v>13</v>
      </c>
      <c r="F452" s="9">
        <v>5</v>
      </c>
      <c r="G452" s="9"/>
      <c r="H452" s="9"/>
      <c r="I452" s="7">
        <v>20</v>
      </c>
      <c r="J452" s="7"/>
      <c r="K452" s="7"/>
      <c r="L452" s="7" t="s">
        <v>14</v>
      </c>
      <c r="M452" s="122" t="s">
        <v>1518</v>
      </c>
      <c r="N452" s="122" t="s">
        <v>1518</v>
      </c>
      <c r="O452" s="122"/>
      <c r="P452" s="96"/>
      <c r="Q452" s="14">
        <v>0.3</v>
      </c>
      <c r="R452" s="93" t="e">
        <f>+#REF!</f>
        <v>#REF!</v>
      </c>
      <c r="S452" s="93" t="e">
        <f>+#REF!</f>
        <v>#REF!</v>
      </c>
      <c r="T452" s="122" t="s">
        <v>1518</v>
      </c>
      <c r="U452" s="7"/>
      <c r="V452" s="7"/>
      <c r="W452" s="122"/>
      <c r="X452" s="122"/>
      <c r="Y452" s="122" t="s">
        <v>1518</v>
      </c>
      <c r="Z452" s="7"/>
      <c r="AA452" s="7"/>
      <c r="AB452" s="7">
        <v>1</v>
      </c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16">
        <v>44169</v>
      </c>
      <c r="AN452" s="4"/>
      <c r="AO452" s="6" t="s">
        <v>991</v>
      </c>
      <c r="AP452" s="4"/>
      <c r="AQ452" s="4"/>
      <c r="AR452" s="4"/>
      <c r="AS452" s="11">
        <v>800</v>
      </c>
      <c r="AT452" s="11"/>
      <c r="AU452" s="11"/>
      <c r="AV452" s="11"/>
      <c r="AW452" s="4"/>
      <c r="AX452" s="4">
        <f t="shared" si="44"/>
        <v>1</v>
      </c>
      <c r="AY452" s="93"/>
      <c r="AZ452" s="4">
        <v>0.4</v>
      </c>
    </row>
    <row r="453" spans="1:52" ht="14.25" customHeight="1" x14ac:dyDescent="0.25">
      <c r="B453" s="112" t="s">
        <v>290</v>
      </c>
      <c r="C453" s="6" t="s">
        <v>1384</v>
      </c>
      <c r="D453" s="9" t="s">
        <v>4</v>
      </c>
      <c r="E453" s="7" t="s">
        <v>19</v>
      </c>
      <c r="F453" s="9">
        <v>15</v>
      </c>
      <c r="G453" s="9"/>
      <c r="H453" s="9"/>
      <c r="I453" s="7"/>
      <c r="J453" s="7"/>
      <c r="K453" s="7"/>
      <c r="L453" s="7"/>
      <c r="M453" s="122"/>
      <c r="N453" s="122"/>
      <c r="O453" s="122"/>
      <c r="P453" s="96"/>
      <c r="Q453" s="14"/>
      <c r="R453" s="93" t="e">
        <f>+#REF!</f>
        <v>#REF!</v>
      </c>
      <c r="S453" s="93" t="e">
        <f>+#REF!</f>
        <v>#REF!</v>
      </c>
      <c r="T453" s="122" t="s">
        <v>1518</v>
      </c>
      <c r="U453" s="7"/>
      <c r="V453" s="7"/>
      <c r="W453" s="122" t="s">
        <v>1518</v>
      </c>
      <c r="X453" s="122"/>
      <c r="Y453" s="122" t="s">
        <v>1518</v>
      </c>
      <c r="Z453" s="7"/>
      <c r="AA453" s="7"/>
      <c r="AB453" s="7">
        <v>1</v>
      </c>
      <c r="AC453" s="7"/>
      <c r="AD453" s="7">
        <v>1</v>
      </c>
      <c r="AE453" s="7"/>
      <c r="AF453" s="7">
        <v>1</v>
      </c>
      <c r="AG453" s="7"/>
      <c r="AH453" s="7">
        <v>1</v>
      </c>
      <c r="AI453" s="7">
        <v>1</v>
      </c>
      <c r="AJ453" s="7"/>
      <c r="AK453" s="7"/>
      <c r="AL453" s="7"/>
      <c r="AM453" s="16">
        <v>44169</v>
      </c>
      <c r="AN453" s="4"/>
      <c r="AO453" s="6" t="s">
        <v>1008</v>
      </c>
      <c r="AP453" s="4"/>
      <c r="AQ453" s="4"/>
      <c r="AR453" s="4"/>
      <c r="AS453" s="11">
        <v>720</v>
      </c>
      <c r="AT453" s="11"/>
      <c r="AU453" s="11"/>
      <c r="AV453" s="11"/>
      <c r="AW453" s="4"/>
      <c r="AX453" s="4">
        <f t="shared" si="44"/>
        <v>5</v>
      </c>
      <c r="AY453" s="93"/>
      <c r="AZ453" s="4">
        <v>1.4</v>
      </c>
    </row>
    <row r="454" spans="1:52" ht="14.25" customHeight="1" x14ac:dyDescent="0.25">
      <c r="B454" s="112" t="s">
        <v>291</v>
      </c>
      <c r="C454" s="6" t="s">
        <v>1385</v>
      </c>
      <c r="D454" s="9" t="s">
        <v>4</v>
      </c>
      <c r="E454" s="7" t="s">
        <v>19</v>
      </c>
      <c r="F454" s="9">
        <v>5</v>
      </c>
      <c r="G454" s="9">
        <v>15</v>
      </c>
      <c r="H454" s="9"/>
      <c r="I454" s="7">
        <v>6</v>
      </c>
      <c r="J454" s="7"/>
      <c r="K454" s="7"/>
      <c r="L454" s="7" t="s">
        <v>120</v>
      </c>
      <c r="M454" s="122" t="s">
        <v>1518</v>
      </c>
      <c r="N454" s="122" t="s">
        <v>1518</v>
      </c>
      <c r="O454" s="122" t="s">
        <v>1518</v>
      </c>
      <c r="P454" s="96" t="s">
        <v>1500</v>
      </c>
      <c r="Q454" s="7"/>
      <c r="R454" s="93" t="e">
        <f>+#REF!</f>
        <v>#REF!</v>
      </c>
      <c r="S454" s="93" t="e">
        <f>+#REF!</f>
        <v>#REF!</v>
      </c>
      <c r="T454" s="122" t="s">
        <v>1518</v>
      </c>
      <c r="U454" s="7"/>
      <c r="V454" s="7"/>
      <c r="W454" s="122"/>
      <c r="X454" s="122"/>
      <c r="Y454" s="122" t="s">
        <v>1518</v>
      </c>
      <c r="Z454" s="7"/>
      <c r="AA454" s="7"/>
      <c r="AB454" s="7"/>
      <c r="AC454" s="7"/>
      <c r="AD454" s="7">
        <v>3</v>
      </c>
      <c r="AE454" s="7"/>
      <c r="AF454" s="7"/>
      <c r="AG454" s="7"/>
      <c r="AH454" s="7"/>
      <c r="AI454" s="7"/>
      <c r="AJ454" s="7"/>
      <c r="AK454" s="7"/>
      <c r="AL454" s="7"/>
      <c r="AM454" s="16">
        <v>44169</v>
      </c>
      <c r="AN454" s="4"/>
      <c r="AO454" s="4" t="s">
        <v>121</v>
      </c>
      <c r="AP454" s="6" t="s">
        <v>1008</v>
      </c>
      <c r="AQ454" s="4"/>
      <c r="AR454" s="4"/>
      <c r="AS454" s="11">
        <v>250</v>
      </c>
      <c r="AT454" s="11">
        <v>280</v>
      </c>
      <c r="AU454" s="11"/>
      <c r="AV454" s="11"/>
      <c r="AW454" s="4" t="s">
        <v>1824</v>
      </c>
      <c r="AX454" s="4">
        <f t="shared" si="44"/>
        <v>3</v>
      </c>
      <c r="AY454" s="93"/>
      <c r="AZ454" s="4">
        <v>3</v>
      </c>
    </row>
    <row r="455" spans="1:52" ht="14.25" customHeight="1" x14ac:dyDescent="0.25">
      <c r="B455" s="112" t="s">
        <v>1828</v>
      </c>
      <c r="C455" s="6" t="s">
        <v>1969</v>
      </c>
      <c r="D455" s="9" t="s">
        <v>3</v>
      </c>
      <c r="E455" s="8" t="s">
        <v>17</v>
      </c>
      <c r="F455" s="9">
        <v>27</v>
      </c>
      <c r="G455" s="9"/>
      <c r="H455" s="9"/>
      <c r="I455" s="7"/>
      <c r="J455" s="7"/>
      <c r="K455" s="7"/>
      <c r="L455" s="7"/>
      <c r="M455" s="122"/>
      <c r="N455" s="122"/>
      <c r="O455" s="122"/>
      <c r="P455" s="96"/>
      <c r="Q455" s="7"/>
      <c r="R455" s="93" t="e">
        <f>+#REF!</f>
        <v>#REF!</v>
      </c>
      <c r="S455" s="93" t="e">
        <f>+#REF!</f>
        <v>#REF!</v>
      </c>
      <c r="T455" s="122" t="s">
        <v>1518</v>
      </c>
      <c r="U455" s="7"/>
      <c r="V455" s="7"/>
      <c r="W455" s="124" t="s">
        <v>1518</v>
      </c>
      <c r="X455" s="124"/>
      <c r="Y455" s="124" t="s">
        <v>1518</v>
      </c>
      <c r="Z455" s="12"/>
      <c r="AA455" s="7"/>
      <c r="AB455" s="7"/>
      <c r="AC455" s="7">
        <v>1</v>
      </c>
      <c r="AD455" s="7"/>
      <c r="AE455" s="7"/>
      <c r="AF455" s="7"/>
      <c r="AG455" s="7"/>
      <c r="AH455" s="7"/>
      <c r="AI455" s="7"/>
      <c r="AJ455" s="7"/>
      <c r="AK455" s="7"/>
      <c r="AL455" s="7"/>
      <c r="AM455" s="16">
        <v>45262</v>
      </c>
      <c r="AN455" s="4"/>
      <c r="AO455" s="4" t="s">
        <v>30</v>
      </c>
      <c r="AP455" s="4"/>
      <c r="AQ455" s="4"/>
      <c r="AR455" s="4"/>
      <c r="AS455" s="11">
        <v>450</v>
      </c>
      <c r="AT455" s="11"/>
      <c r="AU455" s="11"/>
      <c r="AV455" s="11"/>
      <c r="AW455" s="4"/>
      <c r="AX455" s="4">
        <f t="shared" si="44"/>
        <v>1</v>
      </c>
      <c r="AY455" s="93"/>
      <c r="AZ455" s="4">
        <v>0.27</v>
      </c>
    </row>
    <row r="456" spans="1:52" ht="14.25" customHeight="1" x14ac:dyDescent="0.25">
      <c r="B456" s="112" t="s">
        <v>292</v>
      </c>
      <c r="C456" s="6" t="s">
        <v>1386</v>
      </c>
      <c r="D456" s="8" t="s">
        <v>4</v>
      </c>
      <c r="E456" s="8" t="s">
        <v>958</v>
      </c>
      <c r="F456" s="9">
        <v>14</v>
      </c>
      <c r="G456" s="9"/>
      <c r="H456" s="9"/>
      <c r="I456" s="7"/>
      <c r="J456" s="7"/>
      <c r="K456" s="7"/>
      <c r="L456" s="7"/>
      <c r="M456" s="122"/>
      <c r="N456" s="122"/>
      <c r="O456" s="122"/>
      <c r="P456" s="96"/>
      <c r="Q456" s="7"/>
      <c r="R456" s="93" t="e">
        <f>+#REF!</f>
        <v>#REF!</v>
      </c>
      <c r="S456" s="93" t="e">
        <f>+#REF!</f>
        <v>#REF!</v>
      </c>
      <c r="T456" s="122" t="s">
        <v>1518</v>
      </c>
      <c r="U456" s="7"/>
      <c r="V456" s="7"/>
      <c r="W456" s="122"/>
      <c r="X456" s="122"/>
      <c r="Y456" s="122"/>
      <c r="Z456" s="7"/>
      <c r="AA456" s="7"/>
      <c r="AB456" s="7"/>
      <c r="AC456" s="7">
        <v>1</v>
      </c>
      <c r="AD456" s="7"/>
      <c r="AE456" s="7"/>
      <c r="AF456" s="7"/>
      <c r="AG456" s="7"/>
      <c r="AH456" s="7"/>
      <c r="AI456" s="7"/>
      <c r="AJ456" s="7"/>
      <c r="AK456" s="7"/>
      <c r="AL456" s="7"/>
      <c r="AM456" s="16">
        <v>44169</v>
      </c>
      <c r="AN456" s="4"/>
      <c r="AO456" s="6" t="s">
        <v>998</v>
      </c>
      <c r="AP456" s="4"/>
      <c r="AQ456" s="4"/>
      <c r="AR456" s="4"/>
      <c r="AS456" s="11">
        <v>60</v>
      </c>
      <c r="AT456" s="11"/>
      <c r="AU456" s="11"/>
      <c r="AV456" s="11"/>
      <c r="AW456" s="4"/>
      <c r="AX456" s="4">
        <f t="shared" si="44"/>
        <v>1</v>
      </c>
      <c r="AY456" s="93">
        <v>2</v>
      </c>
      <c r="AZ456" s="4">
        <v>1</v>
      </c>
    </row>
    <row r="457" spans="1:52" ht="14.25" customHeight="1" x14ac:dyDescent="0.25">
      <c r="B457" s="112" t="s">
        <v>293</v>
      </c>
      <c r="C457" s="6" t="s">
        <v>1675</v>
      </c>
      <c r="D457" s="8" t="s">
        <v>4</v>
      </c>
      <c r="E457" s="8" t="s">
        <v>1449</v>
      </c>
      <c r="F457" s="9">
        <v>2</v>
      </c>
      <c r="G457" s="9">
        <v>2</v>
      </c>
      <c r="H457" s="9"/>
      <c r="I457" s="7"/>
      <c r="J457" s="7">
        <v>6</v>
      </c>
      <c r="K457" s="7"/>
      <c r="L457" s="7"/>
      <c r="M457" s="122"/>
      <c r="N457" s="122"/>
      <c r="O457" s="122"/>
      <c r="P457" s="96"/>
      <c r="Q457" s="7"/>
      <c r="R457" s="93" t="e">
        <f>+#REF!</f>
        <v>#REF!</v>
      </c>
      <c r="S457" s="93" t="e">
        <f>+#REF!</f>
        <v>#REF!</v>
      </c>
      <c r="T457" s="122" t="s">
        <v>1518</v>
      </c>
      <c r="U457" s="7"/>
      <c r="V457" s="7"/>
      <c r="W457" s="122"/>
      <c r="X457" s="122"/>
      <c r="Y457" s="122"/>
      <c r="Z457" s="7"/>
      <c r="AA457" s="7">
        <v>1</v>
      </c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16">
        <v>44169</v>
      </c>
      <c r="AN457" s="4"/>
      <c r="AO457" s="11" t="s">
        <v>153</v>
      </c>
      <c r="AP457" s="6" t="s">
        <v>1010</v>
      </c>
      <c r="AQ457" s="6" t="s">
        <v>300</v>
      </c>
      <c r="AR457" s="4"/>
      <c r="AS457" s="11">
        <v>68.3</v>
      </c>
      <c r="AT457" s="11">
        <v>2.2799999999999998</v>
      </c>
      <c r="AU457" s="11">
        <v>68.3</v>
      </c>
      <c r="AV457" s="11"/>
      <c r="AW457" s="4"/>
      <c r="AX457" s="4">
        <f t="shared" si="44"/>
        <v>1</v>
      </c>
      <c r="AY457" s="93">
        <v>1</v>
      </c>
      <c r="AZ457" s="4">
        <v>0.22</v>
      </c>
    </row>
    <row r="458" spans="1:52" ht="14.25" customHeight="1" x14ac:dyDescent="0.25">
      <c r="B458" s="112" t="s">
        <v>103</v>
      </c>
      <c r="C458" s="6" t="s">
        <v>1387</v>
      </c>
      <c r="D458" s="9" t="s">
        <v>3</v>
      </c>
      <c r="E458" s="9" t="s">
        <v>29</v>
      </c>
      <c r="F458" s="9">
        <v>3</v>
      </c>
      <c r="G458" s="9">
        <v>5</v>
      </c>
      <c r="H458" s="9"/>
      <c r="I458" s="7">
        <v>50</v>
      </c>
      <c r="J458" s="7"/>
      <c r="K458" s="7"/>
      <c r="L458" s="7" t="s">
        <v>14</v>
      </c>
      <c r="M458" s="122"/>
      <c r="N458" s="122"/>
      <c r="O458" s="122"/>
      <c r="P458" s="96"/>
      <c r="Q458" s="14">
        <v>0.3</v>
      </c>
      <c r="R458" s="93" t="e">
        <f>+#REF!</f>
        <v>#REF!</v>
      </c>
      <c r="S458" s="93" t="e">
        <f>+#REF!</f>
        <v>#REF!</v>
      </c>
      <c r="T458" s="122" t="s">
        <v>1518</v>
      </c>
      <c r="U458" s="7"/>
      <c r="V458" s="7"/>
      <c r="W458" s="122" t="s">
        <v>1518</v>
      </c>
      <c r="X458" s="122"/>
      <c r="Y458" s="122"/>
      <c r="Z458" s="7"/>
      <c r="AA458" s="7"/>
      <c r="AB458" s="7">
        <v>1</v>
      </c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16">
        <v>44169</v>
      </c>
      <c r="AN458" s="4"/>
      <c r="AO458" s="6" t="s">
        <v>1014</v>
      </c>
      <c r="AP458" s="6" t="s">
        <v>1013</v>
      </c>
      <c r="AQ458" s="4"/>
      <c r="AR458" s="4"/>
      <c r="AS458" s="11">
        <v>100</v>
      </c>
      <c r="AT458" s="11">
        <v>375</v>
      </c>
      <c r="AU458" s="11"/>
      <c r="AV458" s="11"/>
      <c r="AW458" s="4"/>
      <c r="AX458" s="4">
        <f t="shared" si="44"/>
        <v>1</v>
      </c>
      <c r="AY458" s="93">
        <v>2</v>
      </c>
      <c r="AZ458" s="4">
        <v>1</v>
      </c>
    </row>
    <row r="459" spans="1:52" ht="14.25" customHeight="1" x14ac:dyDescent="0.25">
      <c r="B459" s="92" t="s">
        <v>1388</v>
      </c>
      <c r="C459" s="6" t="s">
        <v>1676</v>
      </c>
      <c r="D459" s="7" t="s">
        <v>7</v>
      </c>
      <c r="E459" s="8" t="s">
        <v>13</v>
      </c>
      <c r="F459" s="137" t="s">
        <v>1555</v>
      </c>
      <c r="G459" s="7"/>
      <c r="H459" s="7"/>
      <c r="I459" s="7"/>
      <c r="J459" s="7"/>
      <c r="K459" s="7"/>
      <c r="L459" s="7"/>
      <c r="M459" s="122"/>
      <c r="N459" s="122"/>
      <c r="O459" s="122"/>
      <c r="P459" s="96"/>
      <c r="Q459" s="7"/>
      <c r="R459" s="93" t="e">
        <f>+#REF!</f>
        <v>#REF!</v>
      </c>
      <c r="S459" s="93" t="e">
        <f>+#REF!</f>
        <v>#REF!</v>
      </c>
      <c r="T459" s="122"/>
      <c r="U459" s="7"/>
      <c r="V459" s="7"/>
      <c r="W459" s="122"/>
      <c r="X459" s="122"/>
      <c r="Y459" s="122" t="s">
        <v>1518</v>
      </c>
      <c r="Z459" s="7"/>
      <c r="AA459" s="7">
        <v>1</v>
      </c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16">
        <v>44169</v>
      </c>
      <c r="AN459" s="4"/>
      <c r="AO459" s="11" t="s">
        <v>362</v>
      </c>
      <c r="AP459" s="11"/>
      <c r="AQ459" s="4"/>
      <c r="AR459" s="4"/>
      <c r="AS459" s="11">
        <v>357</v>
      </c>
      <c r="AT459" s="11"/>
      <c r="AU459" s="11"/>
      <c r="AV459" s="11"/>
      <c r="AW459" s="4"/>
      <c r="AX459" s="4">
        <f t="shared" si="44"/>
        <v>1</v>
      </c>
      <c r="AY459" s="93">
        <v>1</v>
      </c>
      <c r="AZ459" s="4">
        <v>1.5</v>
      </c>
    </row>
    <row r="460" spans="1:52" ht="14.25" customHeight="1" x14ac:dyDescent="0.25">
      <c r="B460" s="92" t="s">
        <v>1540</v>
      </c>
      <c r="C460" s="6" t="s">
        <v>1389</v>
      </c>
      <c r="D460" s="7" t="s">
        <v>7</v>
      </c>
      <c r="E460" s="8" t="s">
        <v>13</v>
      </c>
      <c r="F460" s="137" t="s">
        <v>1555</v>
      </c>
      <c r="G460" s="7"/>
      <c r="H460" s="7"/>
      <c r="I460" s="7"/>
      <c r="J460" s="7"/>
      <c r="K460" s="7"/>
      <c r="L460" s="7"/>
      <c r="M460" s="122"/>
      <c r="N460" s="122"/>
      <c r="O460" s="122"/>
      <c r="P460" s="96"/>
      <c r="Q460" s="7"/>
      <c r="R460" s="93" t="e">
        <f>+#REF!</f>
        <v>#REF!</v>
      </c>
      <c r="S460" s="93" t="e">
        <f>+#REF!</f>
        <v>#REF!</v>
      </c>
      <c r="T460" s="122"/>
      <c r="U460" s="7"/>
      <c r="V460" s="7"/>
      <c r="W460" s="122"/>
      <c r="X460" s="122"/>
      <c r="Y460" s="122" t="s">
        <v>1518</v>
      </c>
      <c r="Z460" s="7"/>
      <c r="AA460" s="7">
        <v>1</v>
      </c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16">
        <v>44169</v>
      </c>
      <c r="AN460" s="4"/>
      <c r="AO460" s="11" t="s">
        <v>362</v>
      </c>
      <c r="AP460" s="11"/>
      <c r="AQ460" s="4"/>
      <c r="AR460" s="4"/>
      <c r="AS460" s="11">
        <v>357</v>
      </c>
      <c r="AT460" s="11"/>
      <c r="AU460" s="11"/>
      <c r="AV460" s="11"/>
      <c r="AW460" s="4"/>
      <c r="AX460" s="4">
        <f t="shared" si="44"/>
        <v>1</v>
      </c>
      <c r="AY460" s="93">
        <v>1</v>
      </c>
      <c r="AZ460" s="4">
        <v>1.5</v>
      </c>
    </row>
    <row r="461" spans="1:52" ht="36" customHeight="1" x14ac:dyDescent="0.25">
      <c r="B461" s="92" t="s">
        <v>1390</v>
      </c>
      <c r="C461" s="6" t="s">
        <v>1391</v>
      </c>
      <c r="D461" s="7" t="s">
        <v>7</v>
      </c>
      <c r="E461" s="8" t="s">
        <v>17</v>
      </c>
      <c r="F461" s="137" t="s">
        <v>1555</v>
      </c>
      <c r="G461" s="7"/>
      <c r="H461" s="7"/>
      <c r="I461" s="7"/>
      <c r="J461" s="7"/>
      <c r="K461" s="7"/>
      <c r="L461" s="7"/>
      <c r="M461" s="122"/>
      <c r="N461" s="122"/>
      <c r="O461" s="122"/>
      <c r="P461" s="96"/>
      <c r="Q461" s="7"/>
      <c r="R461" s="93" t="e">
        <f>+#REF!</f>
        <v>#REF!</v>
      </c>
      <c r="S461" s="93" t="e">
        <f>+#REF!</f>
        <v>#REF!</v>
      </c>
      <c r="T461" s="122"/>
      <c r="U461" s="7"/>
      <c r="V461" s="7"/>
      <c r="W461" s="122"/>
      <c r="X461" s="122"/>
      <c r="Y461" s="122" t="s">
        <v>1518</v>
      </c>
      <c r="Z461" s="7"/>
      <c r="AA461" s="7">
        <v>1</v>
      </c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16">
        <v>44169</v>
      </c>
      <c r="AN461" s="4"/>
      <c r="AO461" s="11" t="s">
        <v>362</v>
      </c>
      <c r="AP461" s="11"/>
      <c r="AQ461" s="4"/>
      <c r="AR461" s="4"/>
      <c r="AS461" s="11">
        <v>357</v>
      </c>
      <c r="AT461" s="11"/>
      <c r="AU461" s="11"/>
      <c r="AV461" s="11"/>
      <c r="AW461" s="4"/>
      <c r="AX461" s="4">
        <f t="shared" si="44"/>
        <v>1</v>
      </c>
      <c r="AY461" s="93">
        <v>1</v>
      </c>
      <c r="AZ461" s="4">
        <v>1.5</v>
      </c>
    </row>
    <row r="462" spans="1:52" ht="36" customHeight="1" x14ac:dyDescent="0.25">
      <c r="B462" s="114" t="s">
        <v>294</v>
      </c>
      <c r="C462" s="6" t="s">
        <v>1677</v>
      </c>
      <c r="D462" s="8" t="s">
        <v>4</v>
      </c>
      <c r="E462" s="8" t="s">
        <v>17</v>
      </c>
      <c r="F462" s="9">
        <v>4</v>
      </c>
      <c r="G462" s="9"/>
      <c r="H462" s="9"/>
      <c r="I462" s="7"/>
      <c r="J462" s="7">
        <v>3</v>
      </c>
      <c r="K462" s="7"/>
      <c r="L462" s="7"/>
      <c r="M462" s="122"/>
      <c r="N462" s="122"/>
      <c r="O462" s="122"/>
      <c r="P462" s="96"/>
      <c r="Q462" s="7"/>
      <c r="R462" s="93" t="e">
        <f>+#REF!</f>
        <v>#REF!</v>
      </c>
      <c r="S462" s="93" t="e">
        <f>+#REF!</f>
        <v>#REF!</v>
      </c>
      <c r="T462" s="122" t="s">
        <v>1518</v>
      </c>
      <c r="U462" s="7"/>
      <c r="V462" s="7"/>
      <c r="W462" s="122" t="s">
        <v>1518</v>
      </c>
      <c r="X462" s="122"/>
      <c r="Y462" s="122"/>
      <c r="Z462" s="7"/>
      <c r="AA462" s="7">
        <v>1</v>
      </c>
      <c r="AB462" s="7"/>
      <c r="AC462" s="7"/>
      <c r="AD462" s="7">
        <v>1</v>
      </c>
      <c r="AE462" s="7"/>
      <c r="AF462" s="7"/>
      <c r="AG462" s="7"/>
      <c r="AH462" s="7"/>
      <c r="AI462" s="7"/>
      <c r="AJ462" s="7"/>
      <c r="AK462" s="7"/>
      <c r="AL462" s="7">
        <v>1</v>
      </c>
      <c r="AM462" s="16">
        <v>44169</v>
      </c>
      <c r="AN462" s="4"/>
      <c r="AO462" s="11" t="s">
        <v>215</v>
      </c>
      <c r="AP462" s="11"/>
      <c r="AQ462" s="4"/>
      <c r="AR462" s="4"/>
      <c r="AS462" s="11">
        <v>333</v>
      </c>
      <c r="AT462" s="11"/>
      <c r="AU462" s="11"/>
      <c r="AV462" s="11"/>
      <c r="AW462" s="4"/>
      <c r="AX462" s="4">
        <f t="shared" si="44"/>
        <v>3</v>
      </c>
      <c r="AY462" s="93"/>
      <c r="AZ462" s="4">
        <v>0.54</v>
      </c>
    </row>
    <row r="463" spans="1:52" ht="14.25" customHeight="1" x14ac:dyDescent="0.25">
      <c r="B463" s="112" t="s">
        <v>295</v>
      </c>
      <c r="C463" s="6" t="s">
        <v>1392</v>
      </c>
      <c r="D463" s="8" t="s">
        <v>4</v>
      </c>
      <c r="E463" s="8" t="s">
        <v>26</v>
      </c>
      <c r="F463" s="9">
        <v>2</v>
      </c>
      <c r="G463" s="9">
        <v>4</v>
      </c>
      <c r="H463" s="9"/>
      <c r="I463" s="7"/>
      <c r="J463" s="7">
        <v>6</v>
      </c>
      <c r="K463" s="7"/>
      <c r="L463" s="7"/>
      <c r="M463" s="122"/>
      <c r="N463" s="122"/>
      <c r="O463" s="122"/>
      <c r="P463" s="96"/>
      <c r="Q463" s="7"/>
      <c r="R463" s="93" t="e">
        <f>+#REF!</f>
        <v>#REF!</v>
      </c>
      <c r="S463" s="93" t="e">
        <f>+#REF!</f>
        <v>#REF!</v>
      </c>
      <c r="T463" s="122" t="s">
        <v>1518</v>
      </c>
      <c r="U463" s="7"/>
      <c r="V463" s="7"/>
      <c r="W463" s="122" t="s">
        <v>1518</v>
      </c>
      <c r="X463" s="122"/>
      <c r="Y463" s="122"/>
      <c r="Z463" s="7"/>
      <c r="AA463" s="7">
        <v>1</v>
      </c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16">
        <v>44169</v>
      </c>
      <c r="AN463" s="4"/>
      <c r="AO463" s="6" t="s">
        <v>1010</v>
      </c>
      <c r="AP463" s="11" t="s">
        <v>215</v>
      </c>
      <c r="AQ463" s="11"/>
      <c r="AR463" s="4"/>
      <c r="AS463" s="11">
        <v>2.5</v>
      </c>
      <c r="AT463" s="11">
        <v>144</v>
      </c>
      <c r="AU463" s="11"/>
      <c r="AV463" s="11"/>
      <c r="AW463" s="4"/>
      <c r="AX463" s="4">
        <f t="shared" si="44"/>
        <v>1</v>
      </c>
      <c r="AY463" s="93">
        <v>1</v>
      </c>
      <c r="AZ463" s="4">
        <v>1.8</v>
      </c>
    </row>
    <row r="464" spans="1:52" ht="14.25" customHeight="1" x14ac:dyDescent="0.25">
      <c r="B464" s="112" t="s">
        <v>357</v>
      </c>
      <c r="C464" s="6" t="s">
        <v>1393</v>
      </c>
      <c r="D464" s="8" t="s">
        <v>6</v>
      </c>
      <c r="E464" s="8" t="s">
        <v>26</v>
      </c>
      <c r="F464" s="8"/>
      <c r="G464" s="8"/>
      <c r="H464" s="8"/>
      <c r="I464" s="7"/>
      <c r="J464" s="7"/>
      <c r="K464" s="7"/>
      <c r="L464" s="7"/>
      <c r="M464" s="122"/>
      <c r="N464" s="122"/>
      <c r="O464" s="122"/>
      <c r="P464" s="96" t="s">
        <v>352</v>
      </c>
      <c r="Q464" s="7"/>
      <c r="R464" s="93" t="e">
        <f>+#REF!</f>
        <v>#REF!</v>
      </c>
      <c r="S464" s="93" t="e">
        <f>+#REF!</f>
        <v>#REF!</v>
      </c>
      <c r="T464" s="122"/>
      <c r="U464" s="7"/>
      <c r="V464" s="7"/>
      <c r="W464" s="122"/>
      <c r="X464" s="122"/>
      <c r="Y464" s="122" t="s">
        <v>1518</v>
      </c>
      <c r="Z464" s="7"/>
      <c r="AA464" s="7">
        <v>2</v>
      </c>
      <c r="AB464" s="7">
        <v>2</v>
      </c>
      <c r="AC464" s="7">
        <v>2</v>
      </c>
      <c r="AD464" s="7">
        <v>2</v>
      </c>
      <c r="AE464" s="7">
        <v>2</v>
      </c>
      <c r="AF464" s="7">
        <v>2</v>
      </c>
      <c r="AG464" s="7">
        <v>2</v>
      </c>
      <c r="AH464" s="7">
        <v>2</v>
      </c>
      <c r="AI464" s="7">
        <v>2</v>
      </c>
      <c r="AJ464" s="7">
        <v>2</v>
      </c>
      <c r="AK464" s="7"/>
      <c r="AL464" s="7"/>
      <c r="AM464" s="16">
        <v>44169</v>
      </c>
      <c r="AN464" s="4"/>
      <c r="AO464" s="11" t="s">
        <v>356</v>
      </c>
      <c r="AP464" s="11"/>
      <c r="AQ464" s="4"/>
      <c r="AR464" s="4"/>
      <c r="AS464" s="11">
        <v>40</v>
      </c>
      <c r="AT464" s="11"/>
      <c r="AU464" s="11"/>
      <c r="AV464" s="11"/>
      <c r="AW464" s="4"/>
      <c r="AX464" s="4">
        <f t="shared" si="44"/>
        <v>20</v>
      </c>
      <c r="AY464" s="93"/>
      <c r="AZ464" s="4">
        <v>5</v>
      </c>
    </row>
    <row r="465" spans="1:52" ht="14.25" customHeight="1" x14ac:dyDescent="0.25">
      <c r="B465" s="92" t="s">
        <v>1394</v>
      </c>
      <c r="C465" s="6" t="s">
        <v>1396</v>
      </c>
      <c r="D465" s="8" t="s">
        <v>118</v>
      </c>
      <c r="E465" s="8" t="s">
        <v>17</v>
      </c>
      <c r="F465" s="8"/>
      <c r="G465" s="8"/>
      <c r="H465" s="8"/>
      <c r="I465" s="7"/>
      <c r="J465" s="7"/>
      <c r="K465" s="7"/>
      <c r="L465" s="7"/>
      <c r="M465" s="122"/>
      <c r="N465" s="122"/>
      <c r="O465" s="122"/>
      <c r="P465" s="96"/>
      <c r="Q465" s="7"/>
      <c r="R465" s="93" t="e">
        <f>+#REF!</f>
        <v>#REF!</v>
      </c>
      <c r="S465" s="93" t="e">
        <f>+#REF!</f>
        <v>#REF!</v>
      </c>
      <c r="T465" s="122"/>
      <c r="U465" s="7"/>
      <c r="V465" s="7"/>
      <c r="W465" s="122"/>
      <c r="X465" s="122"/>
      <c r="Y465" s="122"/>
      <c r="Z465" s="7"/>
      <c r="AA465" s="7">
        <v>1</v>
      </c>
      <c r="AB465" s="7">
        <v>1</v>
      </c>
      <c r="AC465" s="7">
        <v>1</v>
      </c>
      <c r="AD465" s="7">
        <v>1</v>
      </c>
      <c r="AE465" s="7">
        <v>1</v>
      </c>
      <c r="AF465" s="7">
        <v>1</v>
      </c>
      <c r="AG465" s="7">
        <v>1</v>
      </c>
      <c r="AH465" s="7">
        <v>1</v>
      </c>
      <c r="AI465" s="7">
        <v>1</v>
      </c>
      <c r="AJ465" s="7">
        <v>1</v>
      </c>
      <c r="AK465" s="7">
        <v>1</v>
      </c>
      <c r="AL465" s="7"/>
      <c r="AM465" s="16">
        <v>44911</v>
      </c>
      <c r="AN465" s="4"/>
      <c r="AO465" s="6" t="s">
        <v>1395</v>
      </c>
      <c r="AP465" s="11"/>
      <c r="AQ465" s="4"/>
      <c r="AR465" s="4"/>
      <c r="AS465" s="11">
        <v>256.3</v>
      </c>
      <c r="AT465" s="11"/>
      <c r="AU465" s="11"/>
      <c r="AV465" s="11"/>
      <c r="AW465" s="4"/>
      <c r="AX465" s="4">
        <f>SUM(AA465:AM465)</f>
        <v>44922</v>
      </c>
      <c r="AY465" s="93">
        <v>1</v>
      </c>
      <c r="AZ465" s="4">
        <v>0.15</v>
      </c>
    </row>
    <row r="466" spans="1:52" ht="14.25" customHeight="1" x14ac:dyDescent="0.25">
      <c r="B466" s="92" t="s">
        <v>1868</v>
      </c>
      <c r="C466" s="6" t="s">
        <v>1869</v>
      </c>
      <c r="D466" s="8" t="s">
        <v>118</v>
      </c>
      <c r="E466" s="8" t="s">
        <v>17</v>
      </c>
      <c r="F466" s="8"/>
      <c r="G466" s="8"/>
      <c r="H466" s="8"/>
      <c r="I466" s="7"/>
      <c r="J466" s="7"/>
      <c r="K466" s="7"/>
      <c r="L466" s="7"/>
      <c r="M466" s="122"/>
      <c r="N466" s="122"/>
      <c r="O466" s="122"/>
      <c r="P466" s="96"/>
      <c r="Q466" s="7"/>
      <c r="R466" s="93" t="e">
        <f>+#REF!</f>
        <v>#REF!</v>
      </c>
      <c r="S466" s="93" t="e">
        <f>+#REF!</f>
        <v>#REF!</v>
      </c>
      <c r="T466" s="122"/>
      <c r="U466" s="7"/>
      <c r="V466" s="7"/>
      <c r="W466" s="122"/>
      <c r="X466" s="122"/>
      <c r="Y466" s="122"/>
      <c r="Z466" s="7"/>
      <c r="AA466" s="7">
        <v>1</v>
      </c>
      <c r="AB466" s="7">
        <v>1</v>
      </c>
      <c r="AC466" s="7">
        <v>1</v>
      </c>
      <c r="AD466" s="7">
        <v>1</v>
      </c>
      <c r="AE466" s="7">
        <v>1</v>
      </c>
      <c r="AF466" s="7">
        <v>1</v>
      </c>
      <c r="AG466" s="7">
        <v>1</v>
      </c>
      <c r="AH466" s="7">
        <v>1</v>
      </c>
      <c r="AI466" s="7">
        <v>1</v>
      </c>
      <c r="AJ466" s="7">
        <v>1</v>
      </c>
      <c r="AK466" s="7">
        <v>1</v>
      </c>
      <c r="AL466" s="7"/>
      <c r="AM466" s="16">
        <v>44911</v>
      </c>
      <c r="AN466" s="4"/>
      <c r="AO466" s="6" t="s">
        <v>1870</v>
      </c>
      <c r="AP466" s="11"/>
      <c r="AQ466" s="4"/>
      <c r="AR466" s="4"/>
      <c r="AS466" s="11">
        <v>910</v>
      </c>
      <c r="AT466" s="11"/>
      <c r="AU466" s="11"/>
      <c r="AV466" s="11"/>
      <c r="AW466" s="4"/>
      <c r="AX466" s="4">
        <f>SUM(AA466:AM466)</f>
        <v>44922</v>
      </c>
      <c r="AY466" s="93">
        <v>1</v>
      </c>
      <c r="AZ466" s="4">
        <v>2</v>
      </c>
    </row>
    <row r="467" spans="1:52" ht="14.25" customHeight="1" x14ac:dyDescent="0.25">
      <c r="B467" s="112" t="s">
        <v>296</v>
      </c>
      <c r="C467" s="6" t="s">
        <v>1692</v>
      </c>
      <c r="D467" s="8" t="s">
        <v>4</v>
      </c>
      <c r="E467" s="7" t="s">
        <v>1539</v>
      </c>
      <c r="F467" s="9">
        <v>3</v>
      </c>
      <c r="G467" s="9"/>
      <c r="H467" s="9"/>
      <c r="I467" s="7"/>
      <c r="J467" s="7"/>
      <c r="K467" s="7"/>
      <c r="L467" s="7"/>
      <c r="M467" s="122"/>
      <c r="N467" s="122"/>
      <c r="O467" s="122"/>
      <c r="P467" s="96"/>
      <c r="Q467" s="14">
        <v>0.3</v>
      </c>
      <c r="R467" s="93" t="e">
        <f>+#REF!</f>
        <v>#REF!</v>
      </c>
      <c r="S467" s="93" t="e">
        <f>+#REF!</f>
        <v>#REF!</v>
      </c>
      <c r="T467" s="122" t="s">
        <v>1518</v>
      </c>
      <c r="U467" s="7"/>
      <c r="V467" s="7"/>
      <c r="W467" s="122"/>
      <c r="X467" s="122"/>
      <c r="Y467" s="122"/>
      <c r="Z467" s="7"/>
      <c r="AA467" s="7">
        <v>1</v>
      </c>
      <c r="AB467" s="7"/>
      <c r="AC467" s="7">
        <v>1</v>
      </c>
      <c r="AD467" s="7">
        <v>1</v>
      </c>
      <c r="AE467" s="7">
        <v>1</v>
      </c>
      <c r="AF467" s="7">
        <v>1</v>
      </c>
      <c r="AG467" s="7">
        <v>1</v>
      </c>
      <c r="AH467" s="7"/>
      <c r="AI467" s="7"/>
      <c r="AJ467" s="7">
        <v>1</v>
      </c>
      <c r="AK467" s="7">
        <v>1</v>
      </c>
      <c r="AL467" s="7">
        <v>1</v>
      </c>
      <c r="AM467" s="16">
        <v>44169</v>
      </c>
      <c r="AN467" s="4"/>
      <c r="AO467" s="6" t="s">
        <v>1000</v>
      </c>
      <c r="AP467" s="4"/>
      <c r="AQ467" s="4"/>
      <c r="AR467" s="4"/>
      <c r="AS467" s="11">
        <v>455</v>
      </c>
      <c r="AT467" s="11"/>
      <c r="AU467" s="11"/>
      <c r="AV467" s="11"/>
      <c r="AW467" s="4"/>
      <c r="AX467" s="4">
        <f t="shared" ref="AX467:AX512" si="47">SUM(AA467:AL467)</f>
        <v>9</v>
      </c>
      <c r="AY467" s="93"/>
      <c r="AZ467" s="4">
        <v>3.5</v>
      </c>
    </row>
    <row r="468" spans="1:52" s="52" customFormat="1" ht="14.25" customHeight="1" x14ac:dyDescent="0.25">
      <c r="B468" s="112" t="s">
        <v>297</v>
      </c>
      <c r="C468" s="6" t="s">
        <v>1397</v>
      </c>
      <c r="D468" s="9" t="s">
        <v>4</v>
      </c>
      <c r="E468" s="8" t="s">
        <v>17</v>
      </c>
      <c r="F468" s="9">
        <v>15</v>
      </c>
      <c r="G468" s="9"/>
      <c r="H468" s="9"/>
      <c r="I468" s="7">
        <v>20</v>
      </c>
      <c r="J468" s="7"/>
      <c r="K468" s="7"/>
      <c r="L468" s="7" t="s">
        <v>14</v>
      </c>
      <c r="M468" s="122" t="s">
        <v>1518</v>
      </c>
      <c r="N468" s="122" t="s">
        <v>1518</v>
      </c>
      <c r="O468" s="122"/>
      <c r="P468" s="96" t="s">
        <v>189</v>
      </c>
      <c r="Q468" s="7"/>
      <c r="R468" s="93" t="e">
        <f>+#REF!</f>
        <v>#REF!</v>
      </c>
      <c r="S468" s="93" t="e">
        <f>+#REF!</f>
        <v>#REF!</v>
      </c>
      <c r="T468" s="122" t="s">
        <v>1518</v>
      </c>
      <c r="U468" s="7"/>
      <c r="V468" s="7"/>
      <c r="W468" s="122" t="s">
        <v>1518</v>
      </c>
      <c r="X468" s="122"/>
      <c r="Y468" s="122" t="s">
        <v>1518</v>
      </c>
      <c r="Z468" s="7"/>
      <c r="AA468" s="7"/>
      <c r="AB468" s="7"/>
      <c r="AC468" s="7"/>
      <c r="AD468" s="7"/>
      <c r="AE468" s="7">
        <v>1</v>
      </c>
      <c r="AF468" s="7"/>
      <c r="AG468" s="7">
        <v>1</v>
      </c>
      <c r="AH468" s="7"/>
      <c r="AI468" s="7"/>
      <c r="AJ468" s="7"/>
      <c r="AK468" s="7"/>
      <c r="AL468" s="7"/>
      <c r="AM468" s="16">
        <v>44169</v>
      </c>
      <c r="AN468" s="4"/>
      <c r="AO468" s="4" t="s">
        <v>190</v>
      </c>
      <c r="AP468" s="4"/>
      <c r="AQ468" s="4"/>
      <c r="AR468" s="4"/>
      <c r="AS468" s="11">
        <v>600</v>
      </c>
      <c r="AT468" s="11"/>
      <c r="AU468" s="11"/>
      <c r="AV468" s="11"/>
      <c r="AW468" s="4"/>
      <c r="AX468" s="4">
        <f t="shared" si="47"/>
        <v>2</v>
      </c>
      <c r="AY468" s="93"/>
      <c r="AZ468" s="4">
        <v>2</v>
      </c>
    </row>
    <row r="469" spans="1:52" ht="14.25" customHeight="1" x14ac:dyDescent="0.25">
      <c r="B469" s="112" t="s">
        <v>298</v>
      </c>
      <c r="C469" s="6" t="s">
        <v>1398</v>
      </c>
      <c r="D469" s="9" t="s">
        <v>4</v>
      </c>
      <c r="E469" s="8" t="s">
        <v>1537</v>
      </c>
      <c r="F469" s="9">
        <v>5</v>
      </c>
      <c r="G469" s="9">
        <v>15</v>
      </c>
      <c r="H469" s="9"/>
      <c r="I469" s="7">
        <v>20</v>
      </c>
      <c r="J469" s="7"/>
      <c r="K469" s="7"/>
      <c r="L469" s="7" t="s">
        <v>120</v>
      </c>
      <c r="M469" s="122" t="s">
        <v>1518</v>
      </c>
      <c r="N469" s="122" t="s">
        <v>1518</v>
      </c>
      <c r="O469" s="122" t="s">
        <v>1518</v>
      </c>
      <c r="P469" s="96" t="s">
        <v>1500</v>
      </c>
      <c r="Q469" s="7"/>
      <c r="R469" s="93" t="e">
        <f>+#REF!</f>
        <v>#REF!</v>
      </c>
      <c r="S469" s="93" t="e">
        <f>+#REF!</f>
        <v>#REF!</v>
      </c>
      <c r="T469" s="122" t="s">
        <v>1518</v>
      </c>
      <c r="U469" s="7"/>
      <c r="V469" s="7"/>
      <c r="W469" s="122" t="s">
        <v>1518</v>
      </c>
      <c r="X469" s="122"/>
      <c r="Y469" s="122" t="s">
        <v>1518</v>
      </c>
      <c r="Z469" s="7" t="s">
        <v>7</v>
      </c>
      <c r="AA469" s="7"/>
      <c r="AB469" s="7"/>
      <c r="AC469" s="7"/>
      <c r="AD469" s="7">
        <v>3</v>
      </c>
      <c r="AE469" s="7"/>
      <c r="AF469" s="7"/>
      <c r="AG469" s="7"/>
      <c r="AH469" s="7"/>
      <c r="AI469" s="7"/>
      <c r="AJ469" s="7"/>
      <c r="AK469" s="7"/>
      <c r="AL469" s="7"/>
      <c r="AM469" s="16">
        <v>44169</v>
      </c>
      <c r="AN469" s="4"/>
      <c r="AO469" s="4" t="s">
        <v>121</v>
      </c>
      <c r="AP469" s="4" t="s">
        <v>190</v>
      </c>
      <c r="AQ469" s="4"/>
      <c r="AR469" s="4"/>
      <c r="AS469" s="11">
        <v>187.5</v>
      </c>
      <c r="AT469" s="11">
        <v>300</v>
      </c>
      <c r="AU469" s="11"/>
      <c r="AV469" s="11"/>
      <c r="AW469" s="4" t="s">
        <v>1824</v>
      </c>
      <c r="AX469" s="4">
        <f t="shared" si="47"/>
        <v>3</v>
      </c>
      <c r="AY469" s="93"/>
      <c r="AZ469" s="4">
        <v>3</v>
      </c>
    </row>
    <row r="470" spans="1:52" ht="14.25" customHeight="1" x14ac:dyDescent="0.25">
      <c r="B470" s="112" t="s">
        <v>1399</v>
      </c>
      <c r="C470" s="6" t="s">
        <v>1400</v>
      </c>
      <c r="D470" s="9" t="s">
        <v>4</v>
      </c>
      <c r="E470" s="9" t="s">
        <v>29</v>
      </c>
      <c r="F470" s="9">
        <v>5</v>
      </c>
      <c r="G470" s="9">
        <v>15</v>
      </c>
      <c r="H470" s="9"/>
      <c r="I470" s="7"/>
      <c r="J470" s="7"/>
      <c r="K470" s="7"/>
      <c r="L470" s="7"/>
      <c r="M470" s="122"/>
      <c r="N470" s="122"/>
      <c r="O470" s="122"/>
      <c r="P470" s="96"/>
      <c r="Q470" s="7"/>
      <c r="R470" s="93" t="e">
        <f>+#REF!</f>
        <v>#REF!</v>
      </c>
      <c r="S470" s="93" t="e">
        <f>+#REF!</f>
        <v>#REF!</v>
      </c>
      <c r="T470" s="122" t="s">
        <v>1518</v>
      </c>
      <c r="U470" s="7"/>
      <c r="V470" s="7"/>
      <c r="W470" s="122"/>
      <c r="X470" s="122"/>
      <c r="Y470" s="122"/>
      <c r="Z470" s="7"/>
      <c r="AA470" s="7"/>
      <c r="AB470" s="7">
        <v>1</v>
      </c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16">
        <v>44169</v>
      </c>
      <c r="AN470" s="4"/>
      <c r="AO470" s="11" t="s">
        <v>163</v>
      </c>
      <c r="AP470" s="6" t="s">
        <v>1015</v>
      </c>
      <c r="AQ470" s="4"/>
      <c r="AR470" s="4"/>
      <c r="AS470" s="11">
        <v>80</v>
      </c>
      <c r="AT470" s="11">
        <v>100</v>
      </c>
      <c r="AU470" s="11"/>
      <c r="AV470" s="11"/>
      <c r="AW470" s="4"/>
      <c r="AX470" s="4">
        <f t="shared" si="47"/>
        <v>1</v>
      </c>
      <c r="AY470" s="93"/>
      <c r="AZ470" s="4">
        <v>2</v>
      </c>
    </row>
    <row r="471" spans="1:52" ht="14.25" customHeight="1" x14ac:dyDescent="0.25">
      <c r="A471" s="1">
        <v>11</v>
      </c>
      <c r="B471" s="112" t="s">
        <v>949</v>
      </c>
      <c r="C471" s="6" t="s">
        <v>1401</v>
      </c>
      <c r="D471" s="9" t="s">
        <v>4</v>
      </c>
      <c r="E471" s="9" t="s">
        <v>29</v>
      </c>
      <c r="F471" s="9">
        <v>5</v>
      </c>
      <c r="G471" s="9"/>
      <c r="H471" s="9"/>
      <c r="I471" s="7"/>
      <c r="J471" s="7"/>
      <c r="K471" s="7"/>
      <c r="L471" s="7"/>
      <c r="M471" s="122"/>
      <c r="N471" s="122"/>
      <c r="O471" s="122"/>
      <c r="P471" s="96"/>
      <c r="Q471" s="7"/>
      <c r="R471" s="93" t="e">
        <f>+#REF!</f>
        <v>#REF!</v>
      </c>
      <c r="S471" s="93" t="e">
        <f>+#REF!</f>
        <v>#REF!</v>
      </c>
      <c r="T471" s="122" t="s">
        <v>1518</v>
      </c>
      <c r="U471" s="7"/>
      <c r="V471" s="7"/>
      <c r="W471" s="122"/>
      <c r="X471" s="122"/>
      <c r="Y471" s="122" t="s">
        <v>1518</v>
      </c>
      <c r="Z471" s="7" t="s">
        <v>7</v>
      </c>
      <c r="AA471" s="7"/>
      <c r="AB471" s="7">
        <v>1</v>
      </c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16">
        <v>44169</v>
      </c>
      <c r="AN471" s="4"/>
      <c r="AO471" s="6" t="s">
        <v>1017</v>
      </c>
      <c r="AP471" s="4"/>
      <c r="AQ471" s="4"/>
      <c r="AR471" s="4"/>
      <c r="AS471" s="11">
        <v>700</v>
      </c>
      <c r="AT471" s="11"/>
      <c r="AU471" s="11"/>
      <c r="AV471" s="11"/>
      <c r="AW471" s="4"/>
      <c r="AX471" s="4">
        <f t="shared" si="47"/>
        <v>1</v>
      </c>
      <c r="AY471" s="93"/>
      <c r="AZ471" s="4">
        <v>1</v>
      </c>
    </row>
    <row r="472" spans="1:52" ht="24" customHeight="1" x14ac:dyDescent="0.25">
      <c r="B472" s="112" t="s">
        <v>1492</v>
      </c>
      <c r="C472" s="6" t="s">
        <v>1402</v>
      </c>
      <c r="D472" s="8" t="s">
        <v>4</v>
      </c>
      <c r="E472" s="8" t="s">
        <v>13</v>
      </c>
      <c r="F472" s="9">
        <v>14</v>
      </c>
      <c r="G472" s="9"/>
      <c r="H472" s="9"/>
      <c r="I472" s="7">
        <v>20</v>
      </c>
      <c r="J472" s="7">
        <v>20</v>
      </c>
      <c r="K472" s="7"/>
      <c r="L472" s="7" t="s">
        <v>80</v>
      </c>
      <c r="M472" s="122"/>
      <c r="N472" s="122"/>
      <c r="O472" s="122"/>
      <c r="P472" s="96"/>
      <c r="Q472" s="7"/>
      <c r="R472" s="93" t="e">
        <f>+#REF!</f>
        <v>#REF!</v>
      </c>
      <c r="S472" s="93" t="e">
        <f>+#REF!</f>
        <v>#REF!</v>
      </c>
      <c r="T472" s="122" t="s">
        <v>1518</v>
      </c>
      <c r="U472" s="7"/>
      <c r="V472" s="7"/>
      <c r="W472" s="122" t="s">
        <v>1518</v>
      </c>
      <c r="X472" s="122"/>
      <c r="Y472" s="122"/>
      <c r="Z472" s="7"/>
      <c r="AA472" s="7"/>
      <c r="AB472" s="7"/>
      <c r="AC472" s="7">
        <v>1</v>
      </c>
      <c r="AD472" s="7"/>
      <c r="AE472" s="7"/>
      <c r="AF472" s="7"/>
      <c r="AG472" s="7"/>
      <c r="AH472" s="7"/>
      <c r="AI472" s="7"/>
      <c r="AJ472" s="7"/>
      <c r="AK472" s="7"/>
      <c r="AL472" s="7"/>
      <c r="AM472" s="16">
        <v>44169</v>
      </c>
      <c r="AN472" s="4"/>
      <c r="AO472" s="6" t="s">
        <v>1025</v>
      </c>
      <c r="AP472" s="4"/>
      <c r="AQ472" s="4"/>
      <c r="AR472" s="4"/>
      <c r="AS472" s="11">
        <v>10.6</v>
      </c>
      <c r="AT472" s="11"/>
      <c r="AU472" s="11"/>
      <c r="AV472" s="11"/>
      <c r="AW472" s="4"/>
      <c r="AX472" s="4">
        <f t="shared" si="47"/>
        <v>1</v>
      </c>
      <c r="AY472" s="93">
        <v>2</v>
      </c>
      <c r="AZ472" s="4">
        <v>2</v>
      </c>
    </row>
    <row r="473" spans="1:52" ht="14.25" customHeight="1" x14ac:dyDescent="0.25">
      <c r="B473" s="112" t="s">
        <v>1493</v>
      </c>
      <c r="C473" s="6" t="s">
        <v>1402</v>
      </c>
      <c r="D473" s="8" t="s">
        <v>4</v>
      </c>
      <c r="E473" s="8" t="s">
        <v>13</v>
      </c>
      <c r="F473" s="9">
        <v>14</v>
      </c>
      <c r="G473" s="9"/>
      <c r="H473" s="9"/>
      <c r="I473" s="7">
        <v>6</v>
      </c>
      <c r="J473" s="7">
        <v>6</v>
      </c>
      <c r="K473" s="7"/>
      <c r="L473" s="7" t="s">
        <v>120</v>
      </c>
      <c r="M473" s="122"/>
      <c r="N473" s="122"/>
      <c r="O473" s="122"/>
      <c r="P473" s="96"/>
      <c r="Q473" s="7"/>
      <c r="R473" s="93" t="e">
        <f>+#REF!</f>
        <v>#REF!</v>
      </c>
      <c r="S473" s="93" t="e">
        <f>+#REF!</f>
        <v>#REF!</v>
      </c>
      <c r="T473" s="122" t="s">
        <v>1518</v>
      </c>
      <c r="U473" s="7"/>
      <c r="V473" s="7"/>
      <c r="W473" s="122" t="s">
        <v>1518</v>
      </c>
      <c r="X473" s="122"/>
      <c r="Y473" s="122"/>
      <c r="Z473" s="7"/>
      <c r="AA473" s="7"/>
      <c r="AB473" s="7"/>
      <c r="AC473" s="7">
        <v>1</v>
      </c>
      <c r="AD473" s="7"/>
      <c r="AE473" s="7"/>
      <c r="AF473" s="7"/>
      <c r="AG473" s="7"/>
      <c r="AH473" s="7"/>
      <c r="AI473" s="7"/>
      <c r="AJ473" s="7"/>
      <c r="AK473" s="7"/>
      <c r="AL473" s="7"/>
      <c r="AM473" s="16">
        <v>44169</v>
      </c>
      <c r="AN473" s="4"/>
      <c r="AO473" s="6" t="s">
        <v>1025</v>
      </c>
      <c r="AP473" s="4"/>
      <c r="AQ473" s="4"/>
      <c r="AR473" s="4"/>
      <c r="AS473" s="11">
        <v>10.6</v>
      </c>
      <c r="AT473" s="11"/>
      <c r="AU473" s="11"/>
      <c r="AV473" s="11"/>
      <c r="AW473" s="4"/>
      <c r="AX473" s="4">
        <f t="shared" si="47"/>
        <v>1</v>
      </c>
      <c r="AY473" s="93">
        <v>2</v>
      </c>
      <c r="AZ473" s="4">
        <v>2</v>
      </c>
    </row>
    <row r="474" spans="1:52" ht="14.25" customHeight="1" x14ac:dyDescent="0.25">
      <c r="B474" s="92" t="s">
        <v>348</v>
      </c>
      <c r="C474" s="6" t="s">
        <v>1403</v>
      </c>
      <c r="D474" s="8" t="s">
        <v>5</v>
      </c>
      <c r="E474" s="8" t="s">
        <v>17</v>
      </c>
      <c r="F474" s="8"/>
      <c r="G474" s="8"/>
      <c r="H474" s="8"/>
      <c r="I474" s="7"/>
      <c r="J474" s="7"/>
      <c r="K474" s="7"/>
      <c r="L474" s="7"/>
      <c r="M474" s="122"/>
      <c r="N474" s="122"/>
      <c r="O474" s="122"/>
      <c r="P474" s="96"/>
      <c r="Q474" s="7"/>
      <c r="R474" s="93" t="e">
        <f>+#REF!</f>
        <v>#REF!</v>
      </c>
      <c r="S474" s="93" t="e">
        <f>+#REF!</f>
        <v>#REF!</v>
      </c>
      <c r="T474" s="122"/>
      <c r="U474" s="7"/>
      <c r="V474" s="7"/>
      <c r="W474" s="122"/>
      <c r="X474" s="122" t="s">
        <v>1518</v>
      </c>
      <c r="Y474" s="122"/>
      <c r="Z474" s="7"/>
      <c r="AA474" s="7"/>
      <c r="AB474" s="7"/>
      <c r="AC474" s="7"/>
      <c r="AD474" s="7"/>
      <c r="AE474" s="7">
        <v>2</v>
      </c>
      <c r="AF474" s="7"/>
      <c r="AG474" s="7"/>
      <c r="AH474" s="7"/>
      <c r="AI474" s="7"/>
      <c r="AJ474" s="7"/>
      <c r="AK474" s="7"/>
      <c r="AL474" s="7"/>
      <c r="AM474" s="16">
        <v>44169</v>
      </c>
      <c r="AN474" s="4"/>
      <c r="AO474" s="11" t="s">
        <v>667</v>
      </c>
      <c r="AP474" s="11"/>
      <c r="AQ474" s="4"/>
      <c r="AR474" s="4"/>
      <c r="AS474" s="11">
        <v>950</v>
      </c>
      <c r="AT474" s="11"/>
      <c r="AU474" s="11"/>
      <c r="AV474" s="11"/>
      <c r="AW474" s="4"/>
      <c r="AX474" s="4">
        <f t="shared" si="47"/>
        <v>2</v>
      </c>
      <c r="AY474" s="93"/>
      <c r="AZ474" s="4">
        <v>25</v>
      </c>
    </row>
    <row r="475" spans="1:52" s="52" customFormat="1" ht="14.25" customHeight="1" x14ac:dyDescent="0.25">
      <c r="B475" s="112" t="s">
        <v>664</v>
      </c>
      <c r="C475" s="6" t="s">
        <v>1404</v>
      </c>
      <c r="D475" s="8" t="s">
        <v>4</v>
      </c>
      <c r="E475" s="8" t="s">
        <v>26</v>
      </c>
      <c r="F475" s="9">
        <v>2</v>
      </c>
      <c r="G475" s="9"/>
      <c r="H475" s="9"/>
      <c r="I475" s="7"/>
      <c r="J475" s="7"/>
      <c r="K475" s="7"/>
      <c r="L475" s="7"/>
      <c r="M475" s="122"/>
      <c r="N475" s="122"/>
      <c r="O475" s="122"/>
      <c r="P475" s="96"/>
      <c r="Q475" s="14">
        <v>0.3</v>
      </c>
      <c r="R475" s="93" t="e">
        <f>+#REF!</f>
        <v>#REF!</v>
      </c>
      <c r="S475" s="93" t="e">
        <f>+#REF!</f>
        <v>#REF!</v>
      </c>
      <c r="T475" s="122" t="s">
        <v>1518</v>
      </c>
      <c r="U475" s="7"/>
      <c r="V475" s="7"/>
      <c r="W475" s="122"/>
      <c r="X475" s="122"/>
      <c r="Y475" s="122"/>
      <c r="Z475" s="7"/>
      <c r="AA475" s="7"/>
      <c r="AB475" s="7"/>
      <c r="AC475" s="7"/>
      <c r="AD475" s="7"/>
      <c r="AE475" s="7"/>
      <c r="AF475" s="7"/>
      <c r="AG475" s="7">
        <v>1</v>
      </c>
      <c r="AH475" s="7">
        <v>1</v>
      </c>
      <c r="AI475" s="7">
        <v>1</v>
      </c>
      <c r="AJ475" s="7"/>
      <c r="AK475" s="7"/>
      <c r="AL475" s="7"/>
      <c r="AM475" s="16">
        <v>44169</v>
      </c>
      <c r="AN475" s="4"/>
      <c r="AO475" s="11" t="s">
        <v>165</v>
      </c>
      <c r="AP475" s="4"/>
      <c r="AQ475" s="4"/>
      <c r="AR475" s="4"/>
      <c r="AS475" s="11">
        <v>40</v>
      </c>
      <c r="AT475" s="11"/>
      <c r="AU475" s="11"/>
      <c r="AV475" s="11"/>
      <c r="AW475" s="4"/>
      <c r="AX475" s="4">
        <f t="shared" si="47"/>
        <v>3</v>
      </c>
      <c r="AY475" s="93"/>
      <c r="AZ475" s="4">
        <v>1</v>
      </c>
    </row>
    <row r="476" spans="1:52" ht="14.25" customHeight="1" x14ac:dyDescent="0.25">
      <c r="B476" s="116" t="s">
        <v>923</v>
      </c>
      <c r="C476" s="6" t="s">
        <v>1405</v>
      </c>
      <c r="D476" s="54" t="s">
        <v>3</v>
      </c>
      <c r="E476" s="8" t="s">
        <v>26</v>
      </c>
      <c r="F476" s="54">
        <v>3</v>
      </c>
      <c r="G476" s="54">
        <v>7</v>
      </c>
      <c r="H476" s="54"/>
      <c r="I476" s="50"/>
      <c r="J476" s="50"/>
      <c r="K476" s="50"/>
      <c r="L476" s="50"/>
      <c r="M476" s="123"/>
      <c r="N476" s="123"/>
      <c r="O476" s="123"/>
      <c r="P476" s="97"/>
      <c r="Q476" s="55">
        <v>0.5</v>
      </c>
      <c r="R476" s="93" t="e">
        <f>+#REF!</f>
        <v>#REF!</v>
      </c>
      <c r="S476" s="93" t="e">
        <f>+#REF!</f>
        <v>#REF!</v>
      </c>
      <c r="T476" s="123" t="s">
        <v>1518</v>
      </c>
      <c r="U476" s="50"/>
      <c r="V476" s="50"/>
      <c r="W476" s="123"/>
      <c r="X476" s="123"/>
      <c r="Y476" s="123"/>
      <c r="Z476" s="50"/>
      <c r="AA476" s="50"/>
      <c r="AB476" s="50"/>
      <c r="AC476" s="50">
        <v>1</v>
      </c>
      <c r="AD476" s="50"/>
      <c r="AE476" s="50"/>
      <c r="AF476" s="50"/>
      <c r="AG476" s="50"/>
      <c r="AH476" s="50"/>
      <c r="AI476" s="50"/>
      <c r="AJ476" s="50"/>
      <c r="AK476" s="50"/>
      <c r="AL476" s="50"/>
      <c r="AM476" s="16">
        <v>44169</v>
      </c>
      <c r="AN476" s="51"/>
      <c r="AO476" s="6" t="s">
        <v>1014</v>
      </c>
      <c r="AP476" s="6" t="s">
        <v>1004</v>
      </c>
      <c r="AQ476" s="51"/>
      <c r="AR476" s="51"/>
      <c r="AS476" s="53">
        <v>50</v>
      </c>
      <c r="AT476" s="53">
        <v>75</v>
      </c>
      <c r="AU476" s="53"/>
      <c r="AV476" s="53"/>
      <c r="AW476" s="51"/>
      <c r="AX476" s="4">
        <f t="shared" si="47"/>
        <v>1</v>
      </c>
      <c r="AY476" s="94"/>
      <c r="AZ476" s="51">
        <v>0.75</v>
      </c>
    </row>
    <row r="477" spans="1:52" ht="14.25" customHeight="1" x14ac:dyDescent="0.25">
      <c r="B477" s="112" t="s">
        <v>1406</v>
      </c>
      <c r="C477" s="6" t="s">
        <v>1678</v>
      </c>
      <c r="D477" s="8" t="s">
        <v>5</v>
      </c>
      <c r="E477" s="8" t="s">
        <v>17</v>
      </c>
      <c r="F477" s="8" t="s">
        <v>314</v>
      </c>
      <c r="G477" s="8"/>
      <c r="H477" s="8"/>
      <c r="I477" s="7">
        <v>20</v>
      </c>
      <c r="J477" s="7"/>
      <c r="K477" s="7"/>
      <c r="L477" s="7"/>
      <c r="M477" s="122"/>
      <c r="N477" s="122"/>
      <c r="O477" s="122"/>
      <c r="P477" s="96"/>
      <c r="Q477" s="14">
        <v>0.3</v>
      </c>
      <c r="R477" s="93" t="e">
        <f>+#REF!</f>
        <v>#REF!</v>
      </c>
      <c r="S477" s="93" t="e">
        <f>+#REF!</f>
        <v>#REF!</v>
      </c>
      <c r="T477" s="122" t="s">
        <v>1518</v>
      </c>
      <c r="U477" s="7">
        <v>2</v>
      </c>
      <c r="V477" s="7"/>
      <c r="W477" s="122" t="s">
        <v>1518</v>
      </c>
      <c r="X477" s="122"/>
      <c r="Y477" s="122"/>
      <c r="Z477" s="7"/>
      <c r="AA477" s="7">
        <v>3</v>
      </c>
      <c r="AB477" s="7">
        <v>3</v>
      </c>
      <c r="AC477" s="7">
        <v>3</v>
      </c>
      <c r="AD477" s="7">
        <v>3</v>
      </c>
      <c r="AE477" s="7">
        <v>3</v>
      </c>
      <c r="AF477" s="7">
        <v>3</v>
      </c>
      <c r="AG477" s="7">
        <v>3</v>
      </c>
      <c r="AH477" s="7">
        <v>3</v>
      </c>
      <c r="AI477" s="7"/>
      <c r="AJ477" s="7"/>
      <c r="AK477" s="7"/>
      <c r="AL477" s="7"/>
      <c r="AM477" s="16">
        <v>44169</v>
      </c>
      <c r="AN477" s="4"/>
      <c r="AO477" s="6" t="s">
        <v>1029</v>
      </c>
      <c r="AP477" s="4"/>
      <c r="AQ477" s="4"/>
      <c r="AR477" s="4"/>
      <c r="AS477" s="11">
        <v>50</v>
      </c>
      <c r="AT477" s="11"/>
      <c r="AU477" s="11"/>
      <c r="AV477" s="11"/>
      <c r="AW477" s="4"/>
      <c r="AX477" s="4">
        <f t="shared" si="47"/>
        <v>24</v>
      </c>
      <c r="AY477" s="93">
        <v>1</v>
      </c>
      <c r="AZ477" s="4">
        <v>0.15</v>
      </c>
    </row>
    <row r="478" spans="1:52" ht="14.25" customHeight="1" x14ac:dyDescent="0.25">
      <c r="B478" s="112" t="s">
        <v>105</v>
      </c>
      <c r="C478" s="6" t="s">
        <v>1407</v>
      </c>
      <c r="D478" s="9" t="s">
        <v>3</v>
      </c>
      <c r="E478" s="9" t="s">
        <v>17</v>
      </c>
      <c r="F478" s="9">
        <v>13</v>
      </c>
      <c r="G478" s="9"/>
      <c r="H478" s="9"/>
      <c r="I478" s="7"/>
      <c r="J478" s="7"/>
      <c r="K478" s="7"/>
      <c r="L478" s="7"/>
      <c r="M478" s="122"/>
      <c r="N478" s="122"/>
      <c r="O478" s="122"/>
      <c r="P478" s="96"/>
      <c r="Q478" s="7"/>
      <c r="R478" s="93" t="e">
        <f>+#REF!</f>
        <v>#REF!</v>
      </c>
      <c r="S478" s="93" t="e">
        <f>+#REF!</f>
        <v>#REF!</v>
      </c>
      <c r="T478" s="122" t="s">
        <v>1518</v>
      </c>
      <c r="U478" s="7"/>
      <c r="V478" s="7"/>
      <c r="W478" s="122" t="s">
        <v>1518</v>
      </c>
      <c r="X478" s="122"/>
      <c r="Y478" s="122"/>
      <c r="Z478" s="7"/>
      <c r="AA478" s="7">
        <v>1</v>
      </c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16">
        <v>44900</v>
      </c>
      <c r="AN478" s="4"/>
      <c r="AO478" s="11" t="s">
        <v>106</v>
      </c>
      <c r="AP478" s="11"/>
      <c r="AQ478" s="4"/>
      <c r="AR478" s="4"/>
      <c r="AS478" s="11">
        <v>200</v>
      </c>
      <c r="AT478" s="11"/>
      <c r="AU478" s="11"/>
      <c r="AV478" s="11"/>
      <c r="AW478" s="4"/>
      <c r="AX478" s="4">
        <f t="shared" si="47"/>
        <v>1</v>
      </c>
      <c r="AY478" s="93">
        <v>1</v>
      </c>
      <c r="AZ478" s="4">
        <v>0.25</v>
      </c>
    </row>
    <row r="479" spans="1:52" ht="14.25" customHeight="1" x14ac:dyDescent="0.25">
      <c r="B479" s="112" t="s">
        <v>299</v>
      </c>
      <c r="C479" s="6" t="s">
        <v>1679</v>
      </c>
      <c r="D479" s="8" t="s">
        <v>4</v>
      </c>
      <c r="E479" s="8" t="s">
        <v>17</v>
      </c>
      <c r="F479" s="9">
        <v>2</v>
      </c>
      <c r="G479" s="9"/>
      <c r="H479" s="9"/>
      <c r="I479" s="7"/>
      <c r="J479" s="7"/>
      <c r="K479" s="7"/>
      <c r="L479" s="7"/>
      <c r="M479" s="122"/>
      <c r="N479" s="122"/>
      <c r="O479" s="122"/>
      <c r="P479" s="96"/>
      <c r="Q479" s="7"/>
      <c r="R479" s="93" t="e">
        <f>+#REF!</f>
        <v>#REF!</v>
      </c>
      <c r="S479" s="93" t="e">
        <f>+#REF!</f>
        <v>#REF!</v>
      </c>
      <c r="T479" s="122" t="s">
        <v>1518</v>
      </c>
      <c r="U479" s="7"/>
      <c r="V479" s="7"/>
      <c r="W479" s="122"/>
      <c r="X479" s="122"/>
      <c r="Y479" s="122"/>
      <c r="Z479" s="7"/>
      <c r="AA479" s="7">
        <v>1</v>
      </c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16">
        <v>44169</v>
      </c>
      <c r="AN479" s="4"/>
      <c r="AO479" s="11" t="s">
        <v>153</v>
      </c>
      <c r="AP479" s="6" t="s">
        <v>300</v>
      </c>
      <c r="AQ479" s="4"/>
      <c r="AR479" s="4"/>
      <c r="AS479" s="11">
        <v>75</v>
      </c>
      <c r="AT479" s="11">
        <v>75</v>
      </c>
      <c r="AU479" s="11"/>
      <c r="AV479" s="11"/>
      <c r="AW479" s="4"/>
      <c r="AX479" s="4">
        <f t="shared" si="47"/>
        <v>1</v>
      </c>
      <c r="AY479" s="93">
        <v>1</v>
      </c>
      <c r="AZ479" s="4">
        <v>0.25</v>
      </c>
    </row>
    <row r="480" spans="1:52" ht="14.25" customHeight="1" x14ac:dyDescent="0.25">
      <c r="B480" s="112" t="s">
        <v>301</v>
      </c>
      <c r="C480" s="6" t="s">
        <v>1408</v>
      </c>
      <c r="D480" s="8" t="s">
        <v>4</v>
      </c>
      <c r="E480" s="7" t="s">
        <v>19</v>
      </c>
      <c r="F480" s="9">
        <v>4</v>
      </c>
      <c r="G480" s="9">
        <v>15</v>
      </c>
      <c r="H480" s="9"/>
      <c r="I480" s="7"/>
      <c r="J480" s="7"/>
      <c r="K480" s="7"/>
      <c r="L480" s="7"/>
      <c r="M480" s="122" t="s">
        <v>1518</v>
      </c>
      <c r="N480" s="122" t="s">
        <v>1518</v>
      </c>
      <c r="O480" s="122"/>
      <c r="P480" s="96" t="s">
        <v>302</v>
      </c>
      <c r="Q480" s="14"/>
      <c r="R480" s="93" t="e">
        <f>+#REF!</f>
        <v>#REF!</v>
      </c>
      <c r="S480" s="93" t="e">
        <f>+#REF!</f>
        <v>#REF!</v>
      </c>
      <c r="T480" s="122" t="s">
        <v>1518</v>
      </c>
      <c r="U480" s="7"/>
      <c r="V480" s="7"/>
      <c r="W480" s="122" t="s">
        <v>1518</v>
      </c>
      <c r="X480" s="122"/>
      <c r="Y480" s="122" t="s">
        <v>1518</v>
      </c>
      <c r="Z480" s="7"/>
      <c r="AA480" s="7"/>
      <c r="AB480" s="7">
        <v>1</v>
      </c>
      <c r="AC480" s="7"/>
      <c r="AD480" s="7"/>
      <c r="AE480" s="7">
        <v>1</v>
      </c>
      <c r="AF480" s="7"/>
      <c r="AG480" s="7"/>
      <c r="AH480" s="7"/>
      <c r="AI480" s="7"/>
      <c r="AJ480" s="7"/>
      <c r="AK480" s="7"/>
      <c r="AL480" s="7"/>
      <c r="AM480" s="16">
        <v>44169</v>
      </c>
      <c r="AN480" s="4"/>
      <c r="AO480" s="6" t="s">
        <v>303</v>
      </c>
      <c r="AP480" s="4" t="s">
        <v>1008</v>
      </c>
      <c r="AQ480" s="4"/>
      <c r="AR480" s="4"/>
      <c r="AS480" s="11">
        <v>167</v>
      </c>
      <c r="AT480" s="11">
        <v>333</v>
      </c>
      <c r="AU480" s="11"/>
      <c r="AV480" s="11"/>
      <c r="AW480" s="4"/>
      <c r="AX480" s="4">
        <f t="shared" si="47"/>
        <v>2</v>
      </c>
      <c r="AY480" s="93"/>
      <c r="AZ480" s="4">
        <v>1.5</v>
      </c>
    </row>
    <row r="481" spans="2:52" ht="14.25" customHeight="1" x14ac:dyDescent="0.25">
      <c r="B481" s="112" t="s">
        <v>304</v>
      </c>
      <c r="C481" s="6" t="s">
        <v>1680</v>
      </c>
      <c r="D481" s="8" t="s">
        <v>4</v>
      </c>
      <c r="E481" s="8" t="s">
        <v>186</v>
      </c>
      <c r="F481" s="9">
        <v>5</v>
      </c>
      <c r="G481" s="9">
        <v>12</v>
      </c>
      <c r="H481" s="9"/>
      <c r="I481" s="7"/>
      <c r="J481" s="7"/>
      <c r="K481" s="7"/>
      <c r="L481" s="7" t="s">
        <v>14</v>
      </c>
      <c r="M481" s="122"/>
      <c r="N481" s="122"/>
      <c r="O481" s="122"/>
      <c r="P481" s="96"/>
      <c r="Q481" s="14">
        <v>0.3</v>
      </c>
      <c r="R481" s="93" t="e">
        <f>+#REF!</f>
        <v>#REF!</v>
      </c>
      <c r="S481" s="93" t="e">
        <f>+#REF!</f>
        <v>#REF!</v>
      </c>
      <c r="T481" s="122" t="s">
        <v>1518</v>
      </c>
      <c r="U481" s="7"/>
      <c r="V481" s="7"/>
      <c r="W481" s="122"/>
      <c r="X481" s="122"/>
      <c r="Y481" s="122"/>
      <c r="Z481" s="7"/>
      <c r="AA481" s="7">
        <v>1</v>
      </c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16">
        <v>44169</v>
      </c>
      <c r="AN481" s="4"/>
      <c r="AO481" s="6" t="s">
        <v>1037</v>
      </c>
      <c r="AP481" s="6" t="s">
        <v>999</v>
      </c>
      <c r="AQ481" s="4"/>
      <c r="AR481" s="4"/>
      <c r="AS481" s="11">
        <v>600</v>
      </c>
      <c r="AT481" s="11">
        <v>40</v>
      </c>
      <c r="AU481" s="11"/>
      <c r="AV481" s="11"/>
      <c r="AW481" s="4"/>
      <c r="AX481" s="4">
        <f t="shared" si="47"/>
        <v>1</v>
      </c>
      <c r="AY481" s="93"/>
      <c r="AZ481" s="4">
        <v>2.5</v>
      </c>
    </row>
    <row r="482" spans="2:52" ht="14.25" customHeight="1" x14ac:dyDescent="0.25">
      <c r="B482" s="112" t="s">
        <v>305</v>
      </c>
      <c r="C482" s="6" t="s">
        <v>1409</v>
      </c>
      <c r="D482" s="8" t="s">
        <v>4</v>
      </c>
      <c r="E482" s="8" t="s">
        <v>21</v>
      </c>
      <c r="F482" s="9">
        <v>1</v>
      </c>
      <c r="G482" s="9"/>
      <c r="H482" s="9"/>
      <c r="I482" s="7"/>
      <c r="J482" s="7"/>
      <c r="K482" s="7"/>
      <c r="L482" s="7"/>
      <c r="M482" s="122"/>
      <c r="N482" s="122"/>
      <c r="O482" s="122"/>
      <c r="P482" s="96"/>
      <c r="Q482" s="7"/>
      <c r="R482" s="93" t="e">
        <f>+#REF!</f>
        <v>#REF!</v>
      </c>
      <c r="S482" s="93" t="e">
        <f>+#REF!</f>
        <v>#REF!</v>
      </c>
      <c r="T482" s="122" t="s">
        <v>1518</v>
      </c>
      <c r="U482" s="7"/>
      <c r="V482" s="7"/>
      <c r="W482" s="122" t="s">
        <v>1518</v>
      </c>
      <c r="X482" s="122"/>
      <c r="Y482" s="122" t="s">
        <v>1518</v>
      </c>
      <c r="Z482" s="7"/>
      <c r="AA482" s="7"/>
      <c r="AB482" s="7">
        <v>1</v>
      </c>
      <c r="AC482" s="7">
        <v>1</v>
      </c>
      <c r="AD482" s="7"/>
      <c r="AE482" s="7">
        <v>1</v>
      </c>
      <c r="AF482" s="7">
        <v>1</v>
      </c>
      <c r="AG482" s="7">
        <v>1</v>
      </c>
      <c r="AH482" s="7">
        <v>1</v>
      </c>
      <c r="AI482" s="7">
        <v>1</v>
      </c>
      <c r="AJ482" s="7"/>
      <c r="AK482" s="7">
        <v>1</v>
      </c>
      <c r="AL482" s="7"/>
      <c r="AM482" s="16">
        <v>44169</v>
      </c>
      <c r="AN482" s="4"/>
      <c r="AO482" s="6" t="s">
        <v>1023</v>
      </c>
      <c r="AP482" s="4"/>
      <c r="AQ482" s="4"/>
      <c r="AR482" s="4"/>
      <c r="AS482" s="11">
        <v>50</v>
      </c>
      <c r="AT482" s="11"/>
      <c r="AU482" s="11"/>
      <c r="AV482" s="11"/>
      <c r="AW482" s="4"/>
      <c r="AX482" s="4">
        <f t="shared" si="47"/>
        <v>8</v>
      </c>
      <c r="AY482" s="93"/>
      <c r="AZ482" s="4">
        <v>0.75</v>
      </c>
    </row>
    <row r="483" spans="2:52" ht="14.25" customHeight="1" x14ac:dyDescent="0.25">
      <c r="B483" s="115" t="s">
        <v>349</v>
      </c>
      <c r="C483" s="6" t="s">
        <v>1410</v>
      </c>
      <c r="D483" s="54" t="s">
        <v>5</v>
      </c>
      <c r="E483" s="8" t="s">
        <v>13</v>
      </c>
      <c r="F483" s="54" t="s">
        <v>314</v>
      </c>
      <c r="G483" s="54"/>
      <c r="H483" s="54"/>
      <c r="I483" s="50">
        <v>20</v>
      </c>
      <c r="J483" s="50"/>
      <c r="K483" s="50"/>
      <c r="L483" s="50"/>
      <c r="M483" s="123"/>
      <c r="N483" s="123"/>
      <c r="O483" s="123"/>
      <c r="P483" s="97"/>
      <c r="Q483" s="55">
        <v>0.3</v>
      </c>
      <c r="R483" s="93" t="e">
        <f>+#REF!</f>
        <v>#REF!</v>
      </c>
      <c r="S483" s="93" t="e">
        <f>+#REF!</f>
        <v>#REF!</v>
      </c>
      <c r="T483" s="123" t="s">
        <v>1518</v>
      </c>
      <c r="U483" s="50">
        <v>2</v>
      </c>
      <c r="V483" s="50"/>
      <c r="W483" s="123"/>
      <c r="X483" s="123"/>
      <c r="Y483" s="123" t="s">
        <v>1518</v>
      </c>
      <c r="Z483" s="50"/>
      <c r="AA483" s="50">
        <v>3</v>
      </c>
      <c r="AB483" s="50">
        <v>3</v>
      </c>
      <c r="AC483" s="50">
        <v>3</v>
      </c>
      <c r="AD483" s="50">
        <v>3</v>
      </c>
      <c r="AE483" s="50">
        <v>3</v>
      </c>
      <c r="AF483" s="50">
        <v>3</v>
      </c>
      <c r="AG483" s="50">
        <v>3</v>
      </c>
      <c r="AH483" s="50">
        <v>3</v>
      </c>
      <c r="AI483" s="50">
        <v>3</v>
      </c>
      <c r="AJ483" s="50">
        <v>3</v>
      </c>
      <c r="AK483" s="50">
        <v>3</v>
      </c>
      <c r="AL483" s="50">
        <v>3</v>
      </c>
      <c r="AM483" s="16">
        <v>44169</v>
      </c>
      <c r="AN483" s="51"/>
      <c r="AO483" s="6" t="s">
        <v>1029</v>
      </c>
      <c r="AP483" s="51"/>
      <c r="AQ483" s="51"/>
      <c r="AR483" s="51"/>
      <c r="AS483" s="53">
        <v>100</v>
      </c>
      <c r="AT483" s="53"/>
      <c r="AU483" s="53"/>
      <c r="AV483" s="53"/>
      <c r="AW483" s="51"/>
      <c r="AX483" s="4">
        <f t="shared" si="47"/>
        <v>36</v>
      </c>
      <c r="AY483" s="94">
        <v>1</v>
      </c>
      <c r="AZ483" s="51">
        <v>7.4999999999999997E-2</v>
      </c>
    </row>
    <row r="484" spans="2:52" ht="24" customHeight="1" x14ac:dyDescent="0.25">
      <c r="B484" s="112" t="s">
        <v>978</v>
      </c>
      <c r="C484" s="6" t="s">
        <v>1411</v>
      </c>
      <c r="D484" s="8" t="s">
        <v>5</v>
      </c>
      <c r="E484" s="8" t="s">
        <v>26</v>
      </c>
      <c r="F484" s="8"/>
      <c r="G484" s="8"/>
      <c r="H484" s="8"/>
      <c r="I484" s="7"/>
      <c r="J484" s="7"/>
      <c r="K484" s="7"/>
      <c r="L484" s="7"/>
      <c r="M484" s="122"/>
      <c r="N484" s="122"/>
      <c r="O484" s="122"/>
      <c r="P484" s="96"/>
      <c r="Q484" s="7"/>
      <c r="R484" s="93" t="e">
        <f>+#REF!</f>
        <v>#REF!</v>
      </c>
      <c r="S484" s="93" t="e">
        <f>+#REF!</f>
        <v>#REF!</v>
      </c>
      <c r="T484" s="122"/>
      <c r="U484" s="7"/>
      <c r="V484" s="7"/>
      <c r="W484" s="122"/>
      <c r="X484" s="122"/>
      <c r="Y484" s="122"/>
      <c r="Z484" s="7"/>
      <c r="AA484" s="7"/>
      <c r="AB484" s="7"/>
      <c r="AC484" s="7">
        <v>1</v>
      </c>
      <c r="AD484" s="7"/>
      <c r="AE484" s="7"/>
      <c r="AF484" s="7"/>
      <c r="AG484" s="7"/>
      <c r="AH484" s="7"/>
      <c r="AI484" s="7"/>
      <c r="AJ484" s="7"/>
      <c r="AK484" s="7"/>
      <c r="AL484" s="7"/>
      <c r="AM484" s="16">
        <v>44169</v>
      </c>
      <c r="AN484" s="4"/>
      <c r="AO484" s="11" t="s">
        <v>332</v>
      </c>
      <c r="AP484" s="4"/>
      <c r="AQ484" s="4"/>
      <c r="AR484" s="4"/>
      <c r="AS484" s="11">
        <v>876</v>
      </c>
      <c r="AT484" s="11"/>
      <c r="AU484" s="11"/>
      <c r="AV484" s="11"/>
      <c r="AW484" s="4"/>
      <c r="AX484" s="4">
        <f t="shared" si="47"/>
        <v>1</v>
      </c>
      <c r="AY484" s="93"/>
      <c r="AZ484" s="4"/>
    </row>
    <row r="485" spans="2:52" ht="14.25" customHeight="1" x14ac:dyDescent="0.25">
      <c r="B485" s="112" t="s">
        <v>961</v>
      </c>
      <c r="C485" s="6" t="s">
        <v>1412</v>
      </c>
      <c r="D485" s="8" t="s">
        <v>4</v>
      </c>
      <c r="E485" s="8" t="s">
        <v>1826</v>
      </c>
      <c r="F485" s="9">
        <v>27</v>
      </c>
      <c r="G485" s="9"/>
      <c r="H485" s="9"/>
      <c r="I485" s="7"/>
      <c r="J485" s="7"/>
      <c r="K485" s="7"/>
      <c r="L485" s="7"/>
      <c r="M485" s="122"/>
      <c r="N485" s="122"/>
      <c r="O485" s="122"/>
      <c r="P485" s="96"/>
      <c r="Q485" s="7"/>
      <c r="R485" s="93" t="e">
        <f>+#REF!</f>
        <v>#REF!</v>
      </c>
      <c r="S485" s="93" t="e">
        <f>+#REF!</f>
        <v>#REF!</v>
      </c>
      <c r="T485" s="122" t="s">
        <v>1518</v>
      </c>
      <c r="U485" s="7"/>
      <c r="V485" s="7"/>
      <c r="W485" s="122" t="s">
        <v>1518</v>
      </c>
      <c r="X485" s="122"/>
      <c r="Y485" s="122"/>
      <c r="Z485" s="7"/>
      <c r="AA485" s="7"/>
      <c r="AB485" s="7"/>
      <c r="AC485" s="7"/>
      <c r="AD485" s="7">
        <v>1</v>
      </c>
      <c r="AE485" s="7"/>
      <c r="AF485" s="7"/>
      <c r="AG485" s="7"/>
      <c r="AH485" s="7"/>
      <c r="AI485" s="7"/>
      <c r="AJ485" s="7"/>
      <c r="AK485" s="7"/>
      <c r="AL485" s="7"/>
      <c r="AM485" s="16">
        <v>44911</v>
      </c>
      <c r="AN485" s="4"/>
      <c r="AO485" s="11" t="s">
        <v>989</v>
      </c>
      <c r="AP485" s="4"/>
      <c r="AQ485" s="4"/>
      <c r="AR485" s="4"/>
      <c r="AS485" s="11">
        <v>100</v>
      </c>
      <c r="AT485" s="11"/>
      <c r="AU485" s="11"/>
      <c r="AV485" s="11"/>
      <c r="AW485" s="4"/>
      <c r="AX485" s="4">
        <f t="shared" si="47"/>
        <v>1</v>
      </c>
      <c r="AY485" s="93"/>
      <c r="AZ485" s="4">
        <v>1.5</v>
      </c>
    </row>
    <row r="486" spans="2:52" ht="14.25" customHeight="1" x14ac:dyDescent="0.25">
      <c r="B486" s="114" t="s">
        <v>350</v>
      </c>
      <c r="C486" s="6" t="s">
        <v>1693</v>
      </c>
      <c r="D486" s="8" t="s">
        <v>5</v>
      </c>
      <c r="E486" s="8" t="s">
        <v>1597</v>
      </c>
      <c r="F486" s="8" t="s">
        <v>351</v>
      </c>
      <c r="G486" s="8"/>
      <c r="H486" s="8"/>
      <c r="I486" s="7"/>
      <c r="J486" s="7"/>
      <c r="K486" s="7"/>
      <c r="L486" s="7"/>
      <c r="M486" s="122"/>
      <c r="N486" s="122"/>
      <c r="O486" s="122"/>
      <c r="P486" s="96"/>
      <c r="Q486" s="7"/>
      <c r="R486" s="93" t="e">
        <f>+#REF!</f>
        <v>#REF!</v>
      </c>
      <c r="S486" s="93" t="e">
        <f>+#REF!</f>
        <v>#REF!</v>
      </c>
      <c r="T486" s="122"/>
      <c r="U486" s="7">
        <v>2</v>
      </c>
      <c r="V486" s="7"/>
      <c r="W486" s="122" t="s">
        <v>1518</v>
      </c>
      <c r="X486" s="122"/>
      <c r="Y486" s="122"/>
      <c r="Z486" s="7"/>
      <c r="AA486" s="7"/>
      <c r="AB486" s="7">
        <v>1</v>
      </c>
      <c r="AC486" s="7">
        <v>1</v>
      </c>
      <c r="AD486" s="7"/>
      <c r="AE486" s="7"/>
      <c r="AF486" s="7"/>
      <c r="AG486" s="7"/>
      <c r="AH486" s="7"/>
      <c r="AI486" s="7"/>
      <c r="AJ486" s="7"/>
      <c r="AK486" s="7">
        <v>1</v>
      </c>
      <c r="AL486" s="7"/>
      <c r="AM486" s="16">
        <v>45232</v>
      </c>
      <c r="AN486" s="4"/>
      <c r="AO486" s="11" t="s">
        <v>668</v>
      </c>
      <c r="AP486" s="4"/>
      <c r="AQ486" s="4"/>
      <c r="AR486" s="4"/>
      <c r="AS486" s="11">
        <v>500</v>
      </c>
      <c r="AT486" s="11"/>
      <c r="AU486" s="11"/>
      <c r="AV486" s="11"/>
      <c r="AW486" s="4"/>
      <c r="AX486" s="4">
        <f t="shared" si="47"/>
        <v>3</v>
      </c>
      <c r="AY486" s="93">
        <v>2</v>
      </c>
      <c r="AZ486" s="4">
        <v>0.16</v>
      </c>
    </row>
    <row r="487" spans="2:52" ht="14.25" customHeight="1" x14ac:dyDescent="0.25">
      <c r="B487" s="114" t="s">
        <v>1654</v>
      </c>
      <c r="C487" s="6" t="s">
        <v>1655</v>
      </c>
      <c r="D487" s="8" t="s">
        <v>7</v>
      </c>
      <c r="E487" s="8" t="s">
        <v>19</v>
      </c>
      <c r="F487" s="8"/>
      <c r="G487" s="8"/>
      <c r="H487" s="8"/>
      <c r="I487" s="7"/>
      <c r="J487" s="7"/>
      <c r="K487" s="7"/>
      <c r="L487" s="7"/>
      <c r="M487" s="122"/>
      <c r="N487" s="122"/>
      <c r="O487" s="122"/>
      <c r="P487" s="96"/>
      <c r="Q487" s="7"/>
      <c r="R487" s="93" t="e">
        <f>+#REF!</f>
        <v>#REF!</v>
      </c>
      <c r="S487" s="93" t="e">
        <f>+#REF!</f>
        <v>#REF!</v>
      </c>
      <c r="T487" s="122"/>
      <c r="U487" s="7"/>
      <c r="V487" s="7"/>
      <c r="W487" s="122"/>
      <c r="X487" s="122"/>
      <c r="Y487" s="122" t="s">
        <v>1518</v>
      </c>
      <c r="Z487" s="7"/>
      <c r="AA487" s="7">
        <v>1</v>
      </c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16"/>
      <c r="AN487" s="4"/>
      <c r="AO487" s="11" t="s">
        <v>1019</v>
      </c>
      <c r="AP487" s="4" t="s">
        <v>1020</v>
      </c>
      <c r="AQ487" s="4"/>
      <c r="AR487" s="4"/>
      <c r="AS487" s="11">
        <v>155</v>
      </c>
      <c r="AT487" s="11">
        <v>305</v>
      </c>
      <c r="AU487" s="11"/>
      <c r="AV487" s="11"/>
      <c r="AW487" s="4"/>
      <c r="AX487" s="4">
        <f t="shared" si="47"/>
        <v>1</v>
      </c>
      <c r="AY487" s="93"/>
      <c r="AZ487" s="4">
        <v>2.5</v>
      </c>
    </row>
    <row r="488" spans="2:52" ht="14.25" customHeight="1" x14ac:dyDescent="0.25">
      <c r="B488" s="114" t="s">
        <v>107</v>
      </c>
      <c r="C488" s="6" t="s">
        <v>1413</v>
      </c>
      <c r="D488" s="9" t="s">
        <v>3</v>
      </c>
      <c r="E488" s="8" t="s">
        <v>21</v>
      </c>
      <c r="F488" s="9">
        <v>3</v>
      </c>
      <c r="G488" s="9">
        <v>3</v>
      </c>
      <c r="H488" s="9"/>
      <c r="I488" s="7">
        <v>6</v>
      </c>
      <c r="J488" s="7"/>
      <c r="K488" s="7"/>
      <c r="L488" s="7" t="s">
        <v>14</v>
      </c>
      <c r="M488" s="122"/>
      <c r="N488" s="122"/>
      <c r="O488" s="122"/>
      <c r="P488" s="96"/>
      <c r="Q488" s="14">
        <v>0.3</v>
      </c>
      <c r="R488" s="93" t="e">
        <f>+#REF!</f>
        <v>#REF!</v>
      </c>
      <c r="S488" s="93" t="e">
        <f>+#REF!</f>
        <v>#REF!</v>
      </c>
      <c r="T488" s="122" t="s">
        <v>1518</v>
      </c>
      <c r="U488" s="7"/>
      <c r="V488" s="7"/>
      <c r="W488" s="122" t="s">
        <v>1518</v>
      </c>
      <c r="X488" s="122" t="s">
        <v>1518</v>
      </c>
      <c r="Y488" s="122"/>
      <c r="Z488" s="7"/>
      <c r="AA488" s="7"/>
      <c r="AB488" s="7"/>
      <c r="AC488" s="7"/>
      <c r="AD488" s="7"/>
      <c r="AE488" s="7">
        <v>1</v>
      </c>
      <c r="AF488" s="7"/>
      <c r="AG488" s="7"/>
      <c r="AH488" s="7"/>
      <c r="AI488" s="7"/>
      <c r="AJ488" s="7"/>
      <c r="AK488" s="7"/>
      <c r="AL488" s="7"/>
      <c r="AM488" s="16">
        <v>45262</v>
      </c>
      <c r="AN488" s="4"/>
      <c r="AO488" s="11" t="s">
        <v>41</v>
      </c>
      <c r="AP488" s="11" t="s">
        <v>15</v>
      </c>
      <c r="AQ488" s="4"/>
      <c r="AR488" s="4"/>
      <c r="AS488" s="11">
        <v>160</v>
      </c>
      <c r="AT488" s="11">
        <v>80</v>
      </c>
      <c r="AU488" s="11"/>
      <c r="AV488" s="11"/>
      <c r="AW488" s="4"/>
      <c r="AX488" s="4">
        <f t="shared" si="47"/>
        <v>1</v>
      </c>
      <c r="AY488" s="93">
        <v>1</v>
      </c>
      <c r="AZ488" s="4">
        <v>1.2</v>
      </c>
    </row>
    <row r="489" spans="2:52" ht="14.25" customHeight="1" x14ac:dyDescent="0.25">
      <c r="B489" s="112" t="s">
        <v>306</v>
      </c>
      <c r="C489" s="6" t="s">
        <v>1414</v>
      </c>
      <c r="D489" s="8" t="s">
        <v>4</v>
      </c>
      <c r="E489" s="8" t="s">
        <v>17</v>
      </c>
      <c r="F489" s="9">
        <v>2</v>
      </c>
      <c r="G489" s="9"/>
      <c r="H489" s="9"/>
      <c r="I489" s="7"/>
      <c r="J489" s="7"/>
      <c r="K489" s="7"/>
      <c r="L489" s="7"/>
      <c r="M489" s="122"/>
      <c r="N489" s="122"/>
      <c r="O489" s="122"/>
      <c r="P489" s="96"/>
      <c r="Q489" s="7"/>
      <c r="R489" s="93" t="e">
        <f>+#REF!</f>
        <v>#REF!</v>
      </c>
      <c r="S489" s="93" t="e">
        <f>+#REF!</f>
        <v>#REF!</v>
      </c>
      <c r="T489" s="122" t="s">
        <v>1518</v>
      </c>
      <c r="U489" s="7"/>
      <c r="V489" s="7"/>
      <c r="W489" s="122"/>
      <c r="X489" s="122"/>
      <c r="Y489" s="122"/>
      <c r="Z489" s="7"/>
      <c r="AA489" s="7"/>
      <c r="AB489" s="7"/>
      <c r="AC489" s="7">
        <v>1</v>
      </c>
      <c r="AD489" s="7">
        <v>1</v>
      </c>
      <c r="AE489" s="7"/>
      <c r="AF489" s="7"/>
      <c r="AG489" s="7"/>
      <c r="AH489" s="7"/>
      <c r="AI489" s="7"/>
      <c r="AJ489" s="7"/>
      <c r="AK489" s="7"/>
      <c r="AL489" s="7"/>
      <c r="AM489" s="16">
        <v>44169</v>
      </c>
      <c r="AN489" s="4"/>
      <c r="AO489" s="11" t="s">
        <v>138</v>
      </c>
      <c r="AP489" s="11"/>
      <c r="AQ489" s="4"/>
      <c r="AR489" s="4"/>
      <c r="AS489" s="11">
        <v>250</v>
      </c>
      <c r="AT489" s="11"/>
      <c r="AU489" s="11"/>
      <c r="AV489" s="11"/>
      <c r="AW489" s="4"/>
      <c r="AX489" s="4">
        <f t="shared" si="47"/>
        <v>2</v>
      </c>
      <c r="AY489" s="93"/>
      <c r="AZ489" s="4">
        <v>0.04</v>
      </c>
    </row>
    <row r="490" spans="2:52" ht="14.25" customHeight="1" x14ac:dyDescent="0.25">
      <c r="B490" s="112" t="s">
        <v>1586</v>
      </c>
      <c r="C490" s="6" t="s">
        <v>1681</v>
      </c>
      <c r="D490" s="8" t="s">
        <v>3</v>
      </c>
      <c r="E490" s="7" t="s">
        <v>17</v>
      </c>
      <c r="F490" s="8">
        <v>7</v>
      </c>
      <c r="G490" s="8"/>
      <c r="H490" s="8"/>
      <c r="I490" s="7"/>
      <c r="J490" s="7"/>
      <c r="K490" s="7"/>
      <c r="L490" s="7"/>
      <c r="M490" s="122"/>
      <c r="N490" s="122"/>
      <c r="O490" s="122"/>
      <c r="P490" s="96"/>
      <c r="Q490" s="14">
        <v>0.3</v>
      </c>
      <c r="R490" s="93" t="e">
        <f>+#REF!</f>
        <v>#REF!</v>
      </c>
      <c r="S490" s="93" t="e">
        <f>+#REF!</f>
        <v>#REF!</v>
      </c>
      <c r="T490" s="122" t="s">
        <v>1518</v>
      </c>
      <c r="U490" s="7"/>
      <c r="V490" s="7"/>
      <c r="W490" s="122"/>
      <c r="X490" s="122"/>
      <c r="Y490" s="122"/>
      <c r="Z490" s="7"/>
      <c r="AA490" s="7"/>
      <c r="AB490" s="7"/>
      <c r="AC490" s="7">
        <v>1</v>
      </c>
      <c r="AD490" s="7"/>
      <c r="AE490" s="7"/>
      <c r="AF490" s="7"/>
      <c r="AG490" s="7"/>
      <c r="AH490" s="7"/>
      <c r="AI490" s="7"/>
      <c r="AJ490" s="7"/>
      <c r="AK490" s="7"/>
      <c r="AL490" s="7"/>
      <c r="AM490" s="16">
        <v>44540</v>
      </c>
      <c r="AN490" s="4"/>
      <c r="AO490" s="6" t="s">
        <v>1004</v>
      </c>
      <c r="AP490" s="4"/>
      <c r="AQ490" s="4"/>
      <c r="AR490" s="4"/>
      <c r="AS490" s="11">
        <v>300</v>
      </c>
      <c r="AT490" s="11"/>
      <c r="AU490" s="11"/>
      <c r="AV490" s="11"/>
      <c r="AW490" s="4"/>
      <c r="AX490" s="4">
        <f t="shared" si="47"/>
        <v>1</v>
      </c>
      <c r="AY490" s="93"/>
      <c r="AZ490" s="4">
        <v>0.8</v>
      </c>
    </row>
    <row r="491" spans="2:52" ht="14.25" customHeight="1" x14ac:dyDescent="0.25">
      <c r="B491" s="112" t="s">
        <v>897</v>
      </c>
      <c r="C491" s="6" t="s">
        <v>1415</v>
      </c>
      <c r="D491" s="8" t="s">
        <v>3</v>
      </c>
      <c r="E491" s="8" t="s">
        <v>29</v>
      </c>
      <c r="F491" s="8">
        <v>3</v>
      </c>
      <c r="G491" s="8"/>
      <c r="H491" s="8"/>
      <c r="I491" s="7"/>
      <c r="J491" s="7"/>
      <c r="K491" s="7"/>
      <c r="L491" s="7"/>
      <c r="M491" s="122" t="s">
        <v>1518</v>
      </c>
      <c r="N491" s="122" t="s">
        <v>1518</v>
      </c>
      <c r="O491" s="122"/>
      <c r="P491" s="96"/>
      <c r="Q491" s="7"/>
      <c r="R491" s="93" t="e">
        <f>+#REF!</f>
        <v>#REF!</v>
      </c>
      <c r="S491" s="93" t="e">
        <f>+#REF!</f>
        <v>#REF!</v>
      </c>
      <c r="T491" s="122" t="s">
        <v>1518</v>
      </c>
      <c r="U491" s="7"/>
      <c r="V491" s="7"/>
      <c r="W491" s="122" t="s">
        <v>1518</v>
      </c>
      <c r="X491" s="122"/>
      <c r="Y491" s="122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>
        <v>1</v>
      </c>
      <c r="AL491" s="7"/>
      <c r="AM491" s="16">
        <v>44169</v>
      </c>
      <c r="AN491" s="4"/>
      <c r="AO491" s="11" t="s">
        <v>898</v>
      </c>
      <c r="AP491" s="11"/>
      <c r="AQ491" s="4"/>
      <c r="AR491" s="4"/>
      <c r="AS491" s="11">
        <v>200</v>
      </c>
      <c r="AT491" s="11"/>
      <c r="AU491" s="11"/>
      <c r="AV491" s="11"/>
      <c r="AW491" s="4"/>
      <c r="AX491" s="4">
        <f t="shared" si="47"/>
        <v>1</v>
      </c>
      <c r="AY491" s="93">
        <v>3</v>
      </c>
      <c r="AZ491" s="4">
        <v>0.2</v>
      </c>
    </row>
    <row r="492" spans="2:52" ht="14.25" customHeight="1" x14ac:dyDescent="0.25">
      <c r="B492" s="112" t="s">
        <v>913</v>
      </c>
      <c r="C492" s="6" t="s">
        <v>1416</v>
      </c>
      <c r="D492" s="8" t="s">
        <v>4</v>
      </c>
      <c r="E492" s="8" t="s">
        <v>17</v>
      </c>
      <c r="F492" s="9">
        <v>5</v>
      </c>
      <c r="G492" s="9">
        <v>27</v>
      </c>
      <c r="H492" s="9"/>
      <c r="I492" s="7">
        <v>6</v>
      </c>
      <c r="J492" s="7"/>
      <c r="K492" s="7"/>
      <c r="L492" s="7" t="s">
        <v>120</v>
      </c>
      <c r="M492" s="122" t="s">
        <v>1518</v>
      </c>
      <c r="N492" s="122" t="s">
        <v>1518</v>
      </c>
      <c r="O492" s="122" t="s">
        <v>1518</v>
      </c>
      <c r="P492" s="96" t="s">
        <v>1500</v>
      </c>
      <c r="Q492" s="7"/>
      <c r="R492" s="93" t="e">
        <f>+#REF!</f>
        <v>#REF!</v>
      </c>
      <c r="S492" s="93" t="e">
        <f>+#REF!</f>
        <v>#REF!</v>
      </c>
      <c r="T492" s="122" t="s">
        <v>1518</v>
      </c>
      <c r="U492" s="7"/>
      <c r="V492" s="7"/>
      <c r="W492" s="122"/>
      <c r="X492" s="122"/>
      <c r="Y492" s="122" t="s">
        <v>1518</v>
      </c>
      <c r="Z492" s="7" t="s">
        <v>7</v>
      </c>
      <c r="AA492" s="7"/>
      <c r="AB492" s="7"/>
      <c r="AC492" s="7"/>
      <c r="AD492" s="7">
        <v>3</v>
      </c>
      <c r="AE492" s="7"/>
      <c r="AF492" s="7"/>
      <c r="AG492" s="7"/>
      <c r="AH492" s="7"/>
      <c r="AI492" s="7"/>
      <c r="AJ492" s="7"/>
      <c r="AK492" s="7"/>
      <c r="AL492" s="7"/>
      <c r="AM492" s="16">
        <v>44169</v>
      </c>
      <c r="AN492" s="4"/>
      <c r="AO492" s="4" t="s">
        <v>121</v>
      </c>
      <c r="AP492" s="6" t="s">
        <v>989</v>
      </c>
      <c r="AQ492" s="4"/>
      <c r="AR492" s="4"/>
      <c r="AS492" s="11">
        <v>330</v>
      </c>
      <c r="AT492" s="11">
        <v>70</v>
      </c>
      <c r="AU492" s="11"/>
      <c r="AV492" s="11"/>
      <c r="AW492" s="4" t="s">
        <v>1824</v>
      </c>
      <c r="AX492" s="4">
        <f t="shared" si="47"/>
        <v>3</v>
      </c>
      <c r="AY492" s="93"/>
      <c r="AZ492" s="4">
        <v>1.5</v>
      </c>
    </row>
    <row r="493" spans="2:52" ht="14.25" customHeight="1" x14ac:dyDescent="0.25">
      <c r="B493" s="112" t="s">
        <v>108</v>
      </c>
      <c r="C493" s="6" t="s">
        <v>1417</v>
      </c>
      <c r="D493" s="8" t="s">
        <v>7</v>
      </c>
      <c r="E493" s="7" t="s">
        <v>29</v>
      </c>
      <c r="F493" s="8">
        <v>3</v>
      </c>
      <c r="G493" s="8">
        <v>3</v>
      </c>
      <c r="H493" s="8"/>
      <c r="I493" s="7"/>
      <c r="J493" s="7"/>
      <c r="K493" s="7"/>
      <c r="L493" s="7"/>
      <c r="M493" s="122"/>
      <c r="N493" s="122"/>
      <c r="O493" s="122"/>
      <c r="P493" s="96"/>
      <c r="Q493" s="14">
        <v>0.3</v>
      </c>
      <c r="R493" s="93" t="e">
        <f>+#REF!</f>
        <v>#REF!</v>
      </c>
      <c r="S493" s="93" t="e">
        <f>+#REF!</f>
        <v>#REF!</v>
      </c>
      <c r="T493" s="122" t="s">
        <v>1518</v>
      </c>
      <c r="U493" s="7"/>
      <c r="V493" s="7"/>
      <c r="W493" s="122"/>
      <c r="X493" s="122"/>
      <c r="Y493" s="122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16">
        <v>44169</v>
      </c>
      <c r="AN493" s="4"/>
      <c r="AO493" s="6" t="s">
        <v>1014</v>
      </c>
      <c r="AP493" s="4" t="s">
        <v>47</v>
      </c>
      <c r="AQ493" s="4"/>
      <c r="AR493" s="4"/>
      <c r="AS493" s="11">
        <v>250</v>
      </c>
      <c r="AT493" s="11">
        <v>125</v>
      </c>
      <c r="AU493" s="11"/>
      <c r="AV493" s="11"/>
      <c r="AW493" s="4"/>
      <c r="AX493" s="4">
        <f t="shared" si="47"/>
        <v>0</v>
      </c>
      <c r="AY493" s="93">
        <v>1</v>
      </c>
      <c r="AZ493" s="4">
        <v>0.5</v>
      </c>
    </row>
    <row r="494" spans="2:52" ht="14.25" customHeight="1" x14ac:dyDescent="0.25">
      <c r="B494" s="112" t="s">
        <v>1418</v>
      </c>
      <c r="C494" s="6" t="s">
        <v>1419</v>
      </c>
      <c r="D494" s="9" t="s">
        <v>4</v>
      </c>
      <c r="E494" s="9" t="s">
        <v>29</v>
      </c>
      <c r="F494" s="9">
        <v>9</v>
      </c>
      <c r="G494" s="9"/>
      <c r="H494" s="9"/>
      <c r="I494" s="7"/>
      <c r="J494" s="7"/>
      <c r="K494" s="7"/>
      <c r="L494" s="7"/>
      <c r="M494" s="122"/>
      <c r="N494" s="122"/>
      <c r="O494" s="122"/>
      <c r="P494" s="96"/>
      <c r="Q494" s="7"/>
      <c r="R494" s="93" t="e">
        <f>+#REF!</f>
        <v>#REF!</v>
      </c>
      <c r="S494" s="93" t="e">
        <f>+#REF!</f>
        <v>#REF!</v>
      </c>
      <c r="T494" s="122" t="s">
        <v>1518</v>
      </c>
      <c r="U494" s="7"/>
      <c r="V494" s="7"/>
      <c r="W494" s="122"/>
      <c r="X494" s="122"/>
      <c r="Y494" s="122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16">
        <v>44169</v>
      </c>
      <c r="AN494" s="4"/>
      <c r="AO494" s="11" t="s">
        <v>228</v>
      </c>
      <c r="AP494" s="4"/>
      <c r="AQ494" s="4"/>
      <c r="AR494" s="4"/>
      <c r="AS494" s="11">
        <v>360</v>
      </c>
      <c r="AT494" s="11"/>
      <c r="AU494" s="11"/>
      <c r="AV494" s="11"/>
      <c r="AW494" s="4"/>
      <c r="AX494" s="4">
        <f t="shared" si="47"/>
        <v>0</v>
      </c>
      <c r="AY494" s="93"/>
      <c r="AZ494" s="4">
        <v>10</v>
      </c>
    </row>
    <row r="495" spans="2:52" ht="14.25" customHeight="1" x14ac:dyDescent="0.25">
      <c r="B495" s="112" t="s">
        <v>307</v>
      </c>
      <c r="C495" s="6" t="s">
        <v>1420</v>
      </c>
      <c r="D495" s="8" t="s">
        <v>4</v>
      </c>
      <c r="E495" s="8" t="s">
        <v>17</v>
      </c>
      <c r="F495" s="9">
        <v>4</v>
      </c>
      <c r="G495" s="9"/>
      <c r="H495" s="9"/>
      <c r="I495" s="7"/>
      <c r="J495" s="7"/>
      <c r="K495" s="7"/>
      <c r="L495" s="7"/>
      <c r="M495" s="122"/>
      <c r="N495" s="122"/>
      <c r="O495" s="122"/>
      <c r="P495" s="96"/>
      <c r="Q495" s="7"/>
      <c r="R495" s="93" t="e">
        <f>+#REF!</f>
        <v>#REF!</v>
      </c>
      <c r="S495" s="93" t="e">
        <f>+#REF!</f>
        <v>#REF!</v>
      </c>
      <c r="T495" s="122" t="s">
        <v>1518</v>
      </c>
      <c r="U495" s="7"/>
      <c r="V495" s="7"/>
      <c r="W495" s="122" t="s">
        <v>1518</v>
      </c>
      <c r="X495" s="122"/>
      <c r="Y495" s="122" t="s">
        <v>1518</v>
      </c>
      <c r="Z495" s="7"/>
      <c r="AA495" s="7">
        <v>1</v>
      </c>
      <c r="AB495" s="7"/>
      <c r="AC495" s="7">
        <v>1</v>
      </c>
      <c r="AD495" s="7"/>
      <c r="AE495" s="7"/>
      <c r="AF495" s="7"/>
      <c r="AG495" s="7">
        <v>1</v>
      </c>
      <c r="AH495" s="7"/>
      <c r="AI495" s="7"/>
      <c r="AJ495" s="7"/>
      <c r="AK495" s="7"/>
      <c r="AL495" s="7">
        <v>1</v>
      </c>
      <c r="AM495" s="16">
        <v>44169</v>
      </c>
      <c r="AN495" s="4"/>
      <c r="AO495" s="11" t="s">
        <v>205</v>
      </c>
      <c r="AP495" s="4"/>
      <c r="AQ495" s="4"/>
      <c r="AR495" s="4"/>
      <c r="AS495" s="11">
        <v>400</v>
      </c>
      <c r="AT495" s="11"/>
      <c r="AU495" s="11"/>
      <c r="AV495" s="11"/>
      <c r="AW495" s="4"/>
      <c r="AX495" s="4">
        <f t="shared" si="47"/>
        <v>4</v>
      </c>
      <c r="AY495" s="93"/>
      <c r="AZ495" s="4">
        <v>4</v>
      </c>
    </row>
    <row r="496" spans="2:52" ht="14.25" customHeight="1" x14ac:dyDescent="0.25">
      <c r="B496" s="112" t="s">
        <v>308</v>
      </c>
      <c r="C496" s="6" t="s">
        <v>1421</v>
      </c>
      <c r="D496" s="9" t="s">
        <v>4</v>
      </c>
      <c r="E496" s="8" t="s">
        <v>17</v>
      </c>
      <c r="F496" s="9">
        <v>18</v>
      </c>
      <c r="G496" s="9"/>
      <c r="H496" s="9"/>
      <c r="I496" s="7"/>
      <c r="J496" s="7"/>
      <c r="K496" s="7"/>
      <c r="L496" s="7"/>
      <c r="M496" s="122"/>
      <c r="N496" s="122"/>
      <c r="O496" s="122"/>
      <c r="P496" s="96"/>
      <c r="Q496" s="7"/>
      <c r="R496" s="93" t="e">
        <f>+#REF!</f>
        <v>#REF!</v>
      </c>
      <c r="S496" s="93" t="e">
        <f>+#REF!</f>
        <v>#REF!</v>
      </c>
      <c r="T496" s="122" t="s">
        <v>1518</v>
      </c>
      <c r="U496" s="7"/>
      <c r="V496" s="7"/>
      <c r="W496" s="122"/>
      <c r="X496" s="122"/>
      <c r="Y496" s="122" t="s">
        <v>1518</v>
      </c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>
        <v>1</v>
      </c>
      <c r="AM496" s="16">
        <v>44169</v>
      </c>
      <c r="AN496" s="4"/>
      <c r="AO496" s="6" t="s">
        <v>994</v>
      </c>
      <c r="AP496" s="4"/>
      <c r="AQ496" s="4"/>
      <c r="AR496" s="4"/>
      <c r="AS496" s="11">
        <v>400</v>
      </c>
      <c r="AT496" s="11"/>
      <c r="AU496" s="11"/>
      <c r="AV496" s="11"/>
      <c r="AW496" s="4"/>
      <c r="AX496" s="4">
        <f t="shared" si="47"/>
        <v>1</v>
      </c>
      <c r="AY496" s="93"/>
      <c r="AZ496" s="4">
        <v>4</v>
      </c>
    </row>
    <row r="497" spans="2:52" ht="14.25" customHeight="1" x14ac:dyDescent="0.25">
      <c r="B497" s="92" t="s">
        <v>375</v>
      </c>
      <c r="C497" s="6" t="s">
        <v>1422</v>
      </c>
      <c r="D497" s="7" t="s">
        <v>7</v>
      </c>
      <c r="E497" s="7" t="s">
        <v>54</v>
      </c>
      <c r="F497" s="137" t="s">
        <v>1555</v>
      </c>
      <c r="G497" s="7"/>
      <c r="H497" s="7"/>
      <c r="I497" s="7"/>
      <c r="J497" s="7"/>
      <c r="K497" s="7"/>
      <c r="L497" s="7"/>
      <c r="M497" s="122"/>
      <c r="N497" s="122"/>
      <c r="O497" s="122"/>
      <c r="P497" s="96"/>
      <c r="Q497" s="7"/>
      <c r="R497" s="93" t="e">
        <f>+#REF!</f>
        <v>#REF!</v>
      </c>
      <c r="S497" s="93" t="e">
        <f>+#REF!</f>
        <v>#REF!</v>
      </c>
      <c r="T497" s="122"/>
      <c r="U497" s="7"/>
      <c r="V497" s="7"/>
      <c r="W497" s="122"/>
      <c r="X497" s="122"/>
      <c r="Y497" s="122"/>
      <c r="Z497" s="7"/>
      <c r="AA497" s="7">
        <v>1</v>
      </c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16">
        <v>44169</v>
      </c>
      <c r="AN497" s="4"/>
      <c r="AO497" s="4" t="s">
        <v>372</v>
      </c>
      <c r="AP497" s="4"/>
      <c r="AQ497" s="4"/>
      <c r="AR497" s="4"/>
      <c r="AS497" s="11">
        <v>175</v>
      </c>
      <c r="AT497" s="11"/>
      <c r="AU497" s="11"/>
      <c r="AV497" s="11"/>
      <c r="AW497" s="4"/>
      <c r="AX497" s="4">
        <f t="shared" si="47"/>
        <v>1</v>
      </c>
      <c r="AY497" s="93"/>
      <c r="AZ497" s="4">
        <v>0.6</v>
      </c>
    </row>
    <row r="498" spans="2:52" ht="24" customHeight="1" x14ac:dyDescent="0.25">
      <c r="B498" s="112" t="s">
        <v>309</v>
      </c>
      <c r="C498" s="6" t="s">
        <v>1423</v>
      </c>
      <c r="D498" s="9" t="s">
        <v>4</v>
      </c>
      <c r="E498" s="8" t="s">
        <v>26</v>
      </c>
      <c r="F498" s="9">
        <v>3</v>
      </c>
      <c r="G498" s="9">
        <v>5</v>
      </c>
      <c r="H498" s="9">
        <v>12</v>
      </c>
      <c r="I498" s="7">
        <v>20</v>
      </c>
      <c r="J498" s="7"/>
      <c r="K498" s="7"/>
      <c r="L498" s="7" t="s">
        <v>14</v>
      </c>
      <c r="M498" s="122"/>
      <c r="N498" s="122"/>
      <c r="O498" s="122"/>
      <c r="P498" s="96"/>
      <c r="Q498" s="14">
        <v>0.3</v>
      </c>
      <c r="R498" s="93" t="e">
        <f>+#REF!</f>
        <v>#REF!</v>
      </c>
      <c r="S498" s="93" t="e">
        <f>+#REF!</f>
        <v>#REF!</v>
      </c>
      <c r="T498" s="122" t="s">
        <v>1518</v>
      </c>
      <c r="U498" s="7"/>
      <c r="V498" s="7"/>
      <c r="W498" s="122"/>
      <c r="X498" s="122"/>
      <c r="Y498" s="122" t="s">
        <v>1518</v>
      </c>
      <c r="Z498" s="7"/>
      <c r="AA498" s="7">
        <v>1</v>
      </c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16">
        <v>44169</v>
      </c>
      <c r="AN498" s="4"/>
      <c r="AO498" s="6" t="s">
        <v>1000</v>
      </c>
      <c r="AP498" s="6" t="s">
        <v>1037</v>
      </c>
      <c r="AQ498" s="6" t="s">
        <v>999</v>
      </c>
      <c r="AR498" s="6"/>
      <c r="AS498" s="11">
        <v>300</v>
      </c>
      <c r="AT498" s="11">
        <v>250</v>
      </c>
      <c r="AU498" s="11">
        <v>40</v>
      </c>
      <c r="AV498" s="11"/>
      <c r="AW498" s="4"/>
      <c r="AX498" s="4">
        <f t="shared" si="47"/>
        <v>1</v>
      </c>
      <c r="AY498" s="93"/>
      <c r="AZ498" s="4">
        <v>2</v>
      </c>
    </row>
    <row r="499" spans="2:52" ht="14.25" customHeight="1" x14ac:dyDescent="0.25">
      <c r="B499" s="112" t="s">
        <v>110</v>
      </c>
      <c r="C499" s="6" t="s">
        <v>1424</v>
      </c>
      <c r="D499" s="8" t="s">
        <v>3</v>
      </c>
      <c r="E499" s="8" t="s">
        <v>29</v>
      </c>
      <c r="F499" s="8">
        <v>9</v>
      </c>
      <c r="G499" s="8"/>
      <c r="H499" s="8"/>
      <c r="I499" s="7"/>
      <c r="J499" s="7"/>
      <c r="K499" s="7"/>
      <c r="L499" s="7" t="s">
        <v>14</v>
      </c>
      <c r="M499" s="122"/>
      <c r="N499" s="122"/>
      <c r="O499" s="122"/>
      <c r="P499" s="96"/>
      <c r="Q499" s="14">
        <v>0.3</v>
      </c>
      <c r="R499" s="93" t="e">
        <f>+#REF!</f>
        <v>#REF!</v>
      </c>
      <c r="S499" s="93" t="e">
        <f>+#REF!</f>
        <v>#REF!</v>
      </c>
      <c r="T499" s="122" t="s">
        <v>1518</v>
      </c>
      <c r="U499" s="7"/>
      <c r="V499" s="7"/>
      <c r="W499" s="122"/>
      <c r="X499" s="122"/>
      <c r="Y499" s="122"/>
      <c r="Z499" s="7"/>
      <c r="AA499" s="7">
        <v>1</v>
      </c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16">
        <v>44169</v>
      </c>
      <c r="AN499" s="4"/>
      <c r="AO499" s="4" t="s">
        <v>104</v>
      </c>
      <c r="AP499" s="4"/>
      <c r="AQ499" s="4"/>
      <c r="AR499" s="4"/>
      <c r="AS499" s="11">
        <v>750</v>
      </c>
      <c r="AT499" s="11"/>
      <c r="AU499" s="11"/>
      <c r="AV499" s="11"/>
      <c r="AW499" s="4"/>
      <c r="AX499" s="4">
        <f t="shared" si="47"/>
        <v>1</v>
      </c>
      <c r="AY499" s="93">
        <v>1</v>
      </c>
      <c r="AZ499" s="4">
        <v>1</v>
      </c>
    </row>
    <row r="500" spans="2:52" ht="14.25" customHeight="1" x14ac:dyDescent="0.25">
      <c r="B500" s="112" t="s">
        <v>950</v>
      </c>
      <c r="C500" s="6" t="s">
        <v>1425</v>
      </c>
      <c r="D500" s="8" t="s">
        <v>3</v>
      </c>
      <c r="E500" s="8" t="s">
        <v>17</v>
      </c>
      <c r="F500" s="8">
        <v>3</v>
      </c>
      <c r="G500" s="8">
        <v>7</v>
      </c>
      <c r="H500" s="8">
        <v>11</v>
      </c>
      <c r="I500" s="7"/>
      <c r="J500" s="7"/>
      <c r="K500" s="7"/>
      <c r="L500" s="7"/>
      <c r="M500" s="122"/>
      <c r="N500" s="122"/>
      <c r="O500" s="122"/>
      <c r="P500" s="96"/>
      <c r="Q500" s="14">
        <v>0.5</v>
      </c>
      <c r="R500" s="93" t="e">
        <f>+#REF!</f>
        <v>#REF!</v>
      </c>
      <c r="S500" s="93" t="e">
        <f>+#REF!</f>
        <v>#REF!</v>
      </c>
      <c r="T500" s="122" t="s">
        <v>1518</v>
      </c>
      <c r="U500" s="7"/>
      <c r="V500" s="7"/>
      <c r="W500" s="122"/>
      <c r="X500" s="122"/>
      <c r="Y500" s="122" t="s">
        <v>1518</v>
      </c>
      <c r="Z500" s="7"/>
      <c r="AA500" s="7">
        <v>1</v>
      </c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16">
        <v>44169</v>
      </c>
      <c r="AN500" s="4"/>
      <c r="AO500" s="4" t="s">
        <v>15</v>
      </c>
      <c r="AP500" s="4" t="s">
        <v>16</v>
      </c>
      <c r="AQ500" s="4" t="s">
        <v>951</v>
      </c>
      <c r="AR500" s="4"/>
      <c r="AS500" s="11">
        <v>100</v>
      </c>
      <c r="AT500" s="11">
        <v>40</v>
      </c>
      <c r="AU500" s="11">
        <v>50</v>
      </c>
      <c r="AV500" s="11"/>
      <c r="AW500" s="4"/>
      <c r="AX500" s="4">
        <f t="shared" si="47"/>
        <v>1</v>
      </c>
      <c r="AY500" s="4"/>
      <c r="AZ500" s="4">
        <v>1.5</v>
      </c>
    </row>
    <row r="501" spans="2:52" ht="14.25" customHeight="1" x14ac:dyDescent="0.25">
      <c r="B501" s="112" t="s">
        <v>310</v>
      </c>
      <c r="C501" s="6" t="s">
        <v>1426</v>
      </c>
      <c r="D501" s="9" t="s">
        <v>4</v>
      </c>
      <c r="E501" s="8" t="s">
        <v>959</v>
      </c>
      <c r="F501" s="9">
        <v>5</v>
      </c>
      <c r="G501" s="9"/>
      <c r="H501" s="9"/>
      <c r="I501" s="7">
        <v>20</v>
      </c>
      <c r="J501" s="7"/>
      <c r="K501" s="7"/>
      <c r="L501" s="7" t="s">
        <v>14</v>
      </c>
      <c r="M501" s="122" t="s">
        <v>1518</v>
      </c>
      <c r="N501" s="122" t="s">
        <v>1518</v>
      </c>
      <c r="O501" s="122"/>
      <c r="P501" s="96"/>
      <c r="Q501" s="14">
        <v>0.3</v>
      </c>
      <c r="R501" s="93" t="e">
        <f>+#REF!</f>
        <v>#REF!</v>
      </c>
      <c r="S501" s="93" t="e">
        <f>+#REF!</f>
        <v>#REF!</v>
      </c>
      <c r="T501" s="122" t="s">
        <v>1518</v>
      </c>
      <c r="U501" s="7"/>
      <c r="V501" s="7"/>
      <c r="W501" s="122"/>
      <c r="X501" s="122"/>
      <c r="Y501" s="122" t="s">
        <v>1518</v>
      </c>
      <c r="Z501" s="7"/>
      <c r="AA501" s="7"/>
      <c r="AB501" s="7">
        <v>1</v>
      </c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16">
        <v>44169</v>
      </c>
      <c r="AN501" s="4"/>
      <c r="AO501" s="6" t="s">
        <v>991</v>
      </c>
      <c r="AP501" s="4"/>
      <c r="AQ501" s="4"/>
      <c r="AR501" s="4"/>
      <c r="AS501" s="11">
        <v>800</v>
      </c>
      <c r="AT501" s="11"/>
      <c r="AU501" s="11"/>
      <c r="AV501" s="11"/>
      <c r="AW501" s="4"/>
      <c r="AX501" s="4">
        <f t="shared" si="47"/>
        <v>1</v>
      </c>
      <c r="AY501" s="93"/>
      <c r="AZ501" s="4">
        <v>0.4</v>
      </c>
    </row>
    <row r="502" spans="2:52" ht="14.25" customHeight="1" x14ac:dyDescent="0.25">
      <c r="B502" s="112" t="s">
        <v>955</v>
      </c>
      <c r="C502" s="6" t="s">
        <v>1427</v>
      </c>
      <c r="D502" s="9" t="s">
        <v>4</v>
      </c>
      <c r="E502" s="8" t="s">
        <v>17</v>
      </c>
      <c r="F502" s="9">
        <v>5</v>
      </c>
      <c r="G502" s="9"/>
      <c r="H502" s="9"/>
      <c r="I502" s="7">
        <v>6</v>
      </c>
      <c r="J502" s="7"/>
      <c r="K502" s="7"/>
      <c r="L502" s="7" t="s">
        <v>14</v>
      </c>
      <c r="M502" s="122" t="s">
        <v>1518</v>
      </c>
      <c r="N502" s="122" t="s">
        <v>1518</v>
      </c>
      <c r="O502" s="122"/>
      <c r="P502" s="96"/>
      <c r="Q502" s="14">
        <v>0.3</v>
      </c>
      <c r="R502" s="93" t="e">
        <f>+#REF!</f>
        <v>#REF!</v>
      </c>
      <c r="S502" s="93" t="e">
        <f>+#REF!</f>
        <v>#REF!</v>
      </c>
      <c r="T502" s="122" t="s">
        <v>1518</v>
      </c>
      <c r="U502" s="7"/>
      <c r="V502" s="7"/>
      <c r="W502" s="122"/>
      <c r="X502" s="122"/>
      <c r="Y502" s="122" t="s">
        <v>1518</v>
      </c>
      <c r="Z502" s="7"/>
      <c r="AA502" s="7"/>
      <c r="AB502" s="7">
        <v>1</v>
      </c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16">
        <v>44169</v>
      </c>
      <c r="AN502" s="4"/>
      <c r="AO502" s="6" t="s">
        <v>991</v>
      </c>
      <c r="AP502" s="4"/>
      <c r="AQ502" s="4"/>
      <c r="AR502" s="4"/>
      <c r="AS502" s="11">
        <v>500</v>
      </c>
      <c r="AT502" s="11"/>
      <c r="AU502" s="11"/>
      <c r="AV502" s="11"/>
      <c r="AW502" s="4"/>
      <c r="AX502" s="4">
        <f t="shared" si="47"/>
        <v>1</v>
      </c>
      <c r="AY502" s="93"/>
      <c r="AZ502" s="4">
        <v>0.4</v>
      </c>
    </row>
    <row r="503" spans="2:52" ht="15.75" customHeight="1" x14ac:dyDescent="0.25">
      <c r="B503" s="112" t="s">
        <v>1428</v>
      </c>
      <c r="C503" s="6" t="s">
        <v>1429</v>
      </c>
      <c r="D503" s="9" t="s">
        <v>3</v>
      </c>
      <c r="E503" s="9" t="s">
        <v>24</v>
      </c>
      <c r="F503" s="9" t="s">
        <v>25</v>
      </c>
      <c r="G503" s="9"/>
      <c r="H503" s="9"/>
      <c r="I503" s="7"/>
      <c r="J503" s="7"/>
      <c r="K503" s="7"/>
      <c r="L503" s="7"/>
      <c r="M503" s="122"/>
      <c r="N503" s="122"/>
      <c r="O503" s="122"/>
      <c r="P503" s="96"/>
      <c r="Q503" s="14">
        <v>0.5</v>
      </c>
      <c r="R503" s="93" t="e">
        <f>ROUND(#REF!,0)</f>
        <v>#REF!</v>
      </c>
      <c r="S503" s="93" t="e">
        <f>ROUND(#REF!,0)</f>
        <v>#REF!</v>
      </c>
      <c r="T503" s="122" t="s">
        <v>1518</v>
      </c>
      <c r="U503" s="7"/>
      <c r="V503" s="7"/>
      <c r="W503" s="122"/>
      <c r="X503" s="122"/>
      <c r="Y503" s="122" t="s">
        <v>1518</v>
      </c>
      <c r="Z503" s="7"/>
      <c r="AA503" s="7"/>
      <c r="AB503" s="7"/>
      <c r="AC503" s="7">
        <v>1</v>
      </c>
      <c r="AD503" s="7"/>
      <c r="AE503" s="7"/>
      <c r="AF503" s="7"/>
      <c r="AG503" s="7"/>
      <c r="AH503" s="7"/>
      <c r="AI503" s="7"/>
      <c r="AJ503" s="7"/>
      <c r="AK503" s="7"/>
      <c r="AL503" s="7"/>
      <c r="AM503" s="16">
        <v>44169</v>
      </c>
      <c r="AN503" s="4"/>
      <c r="AO503" s="4" t="s">
        <v>49</v>
      </c>
      <c r="AP503" s="4"/>
      <c r="AQ503" s="4"/>
      <c r="AR503" s="4"/>
      <c r="AS503" s="11">
        <v>350</v>
      </c>
      <c r="AT503" s="11"/>
      <c r="AU503" s="11"/>
      <c r="AV503" s="11"/>
      <c r="AW503" s="4"/>
      <c r="AX503" s="4">
        <f t="shared" si="47"/>
        <v>1</v>
      </c>
      <c r="AY503" s="93"/>
      <c r="AZ503" s="4">
        <v>3</v>
      </c>
    </row>
    <row r="504" spans="2:52" ht="15" customHeight="1" x14ac:dyDescent="0.25">
      <c r="B504" s="112" t="s">
        <v>983</v>
      </c>
      <c r="C504" s="6" t="s">
        <v>1431</v>
      </c>
      <c r="D504" s="8" t="s">
        <v>118</v>
      </c>
      <c r="E504" s="8" t="s">
        <v>13</v>
      </c>
      <c r="F504" s="8"/>
      <c r="G504" s="8"/>
      <c r="H504" s="8"/>
      <c r="I504" s="7"/>
      <c r="J504" s="7"/>
      <c r="K504" s="7"/>
      <c r="L504" s="7"/>
      <c r="M504" s="122"/>
      <c r="N504" s="122"/>
      <c r="O504" s="122"/>
      <c r="P504" s="96"/>
      <c r="Q504" s="7"/>
      <c r="R504" s="93" t="e">
        <f>ROUND(#REF!,0)</f>
        <v>#REF!</v>
      </c>
      <c r="S504" s="93" t="e">
        <f>ROUND(#REF!,0)</f>
        <v>#REF!</v>
      </c>
      <c r="T504" s="122"/>
      <c r="U504" s="7"/>
      <c r="V504" s="7"/>
      <c r="W504" s="122"/>
      <c r="X504" s="122"/>
      <c r="Y504" s="122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16">
        <v>44169</v>
      </c>
      <c r="AN504" s="4"/>
      <c r="AO504" s="11" t="s">
        <v>332</v>
      </c>
      <c r="AP504" s="4"/>
      <c r="AQ504" s="4"/>
      <c r="AR504" s="4"/>
      <c r="AS504" s="11">
        <v>875.9</v>
      </c>
      <c r="AT504" s="11"/>
      <c r="AU504" s="11"/>
      <c r="AV504" s="11"/>
      <c r="AW504" s="4"/>
      <c r="AX504" s="4">
        <f t="shared" si="47"/>
        <v>0</v>
      </c>
      <c r="AY504" s="93"/>
      <c r="AZ504" s="4">
        <v>1.5</v>
      </c>
    </row>
    <row r="505" spans="2:52" ht="14.25" customHeight="1" x14ac:dyDescent="0.25">
      <c r="B505" s="112" t="s">
        <v>1948</v>
      </c>
      <c r="C505" s="6" t="s">
        <v>1947</v>
      </c>
      <c r="D505" s="8" t="s">
        <v>4</v>
      </c>
      <c r="E505" s="8" t="s">
        <v>17</v>
      </c>
      <c r="F505" s="9">
        <v>1</v>
      </c>
      <c r="G505" s="9"/>
      <c r="H505" s="9"/>
      <c r="I505" s="7"/>
      <c r="J505" s="7"/>
      <c r="K505" s="7"/>
      <c r="L505" s="7"/>
      <c r="M505" s="122"/>
      <c r="N505" s="122"/>
      <c r="O505" s="122"/>
      <c r="P505" s="96"/>
      <c r="Q505" s="7"/>
      <c r="R505" s="93" t="e">
        <f>+#REF!</f>
        <v>#REF!</v>
      </c>
      <c r="S505" s="93" t="e">
        <f>+#REF!</f>
        <v>#REF!</v>
      </c>
      <c r="T505" s="122" t="s">
        <v>1518</v>
      </c>
      <c r="U505" s="7"/>
      <c r="V505" s="7"/>
      <c r="W505" s="122"/>
      <c r="X505" s="122"/>
      <c r="Y505" s="122"/>
      <c r="Z505" s="7"/>
      <c r="AA505" s="7"/>
      <c r="AB505" s="7">
        <v>1</v>
      </c>
      <c r="AC505" s="7">
        <v>1</v>
      </c>
      <c r="AD505" s="7"/>
      <c r="AE505" s="7">
        <v>1</v>
      </c>
      <c r="AF505" s="7">
        <v>1</v>
      </c>
      <c r="AG505" s="7">
        <v>1</v>
      </c>
      <c r="AH505" s="7">
        <v>1</v>
      </c>
      <c r="AI505" s="7">
        <v>1</v>
      </c>
      <c r="AJ505" s="7"/>
      <c r="AK505" s="7">
        <v>1</v>
      </c>
      <c r="AL505" s="7"/>
      <c r="AM505" s="16">
        <v>45232</v>
      </c>
      <c r="AN505" s="4"/>
      <c r="AO505" s="6" t="s">
        <v>1028</v>
      </c>
      <c r="AP505" s="4"/>
      <c r="AQ505" s="4"/>
      <c r="AR505" s="4"/>
      <c r="AS505" s="11">
        <v>125</v>
      </c>
      <c r="AT505" s="11"/>
      <c r="AU505" s="11"/>
      <c r="AV505" s="11"/>
      <c r="AW505" s="4"/>
      <c r="AX505" s="4">
        <f t="shared" ref="AX505" si="48">SUM(AA505:AL505)</f>
        <v>8</v>
      </c>
      <c r="AY505" s="93">
        <v>1</v>
      </c>
      <c r="AZ505" s="4">
        <v>1</v>
      </c>
    </row>
    <row r="506" spans="2:52" ht="14.25" customHeight="1" x14ac:dyDescent="0.25">
      <c r="B506" s="112" t="s">
        <v>1938</v>
      </c>
      <c r="C506" s="6" t="s">
        <v>1939</v>
      </c>
      <c r="D506" s="8" t="s">
        <v>4</v>
      </c>
      <c r="E506" s="7" t="s">
        <v>13</v>
      </c>
      <c r="F506" s="9">
        <v>4</v>
      </c>
      <c r="G506" s="9">
        <v>15</v>
      </c>
      <c r="H506" s="9"/>
      <c r="I506" s="7"/>
      <c r="J506" s="7"/>
      <c r="K506" s="7"/>
      <c r="L506" s="7"/>
      <c r="M506" s="122" t="s">
        <v>1518</v>
      </c>
      <c r="N506" s="122" t="s">
        <v>1518</v>
      </c>
      <c r="O506" s="122"/>
      <c r="P506" s="96" t="s">
        <v>302</v>
      </c>
      <c r="Q506" s="14"/>
      <c r="R506" s="93" t="e">
        <f>+#REF!</f>
        <v>#REF!</v>
      </c>
      <c r="S506" s="93" t="e">
        <f>+#REF!</f>
        <v>#REF!</v>
      </c>
      <c r="T506" s="122" t="s">
        <v>1518</v>
      </c>
      <c r="U506" s="7"/>
      <c r="V506" s="7"/>
      <c r="W506" s="122" t="s">
        <v>1518</v>
      </c>
      <c r="X506" s="122"/>
      <c r="Y506" s="122" t="s">
        <v>1518</v>
      </c>
      <c r="Z506" s="7"/>
      <c r="AA506" s="7"/>
      <c r="AB506" s="7">
        <v>1</v>
      </c>
      <c r="AC506" s="7"/>
      <c r="AD506" s="7"/>
      <c r="AE506" s="7">
        <v>1</v>
      </c>
      <c r="AF506" s="7"/>
      <c r="AG506" s="7"/>
      <c r="AH506" s="7"/>
      <c r="AI506" s="7"/>
      <c r="AJ506" s="7"/>
      <c r="AK506" s="7"/>
      <c r="AL506" s="7"/>
      <c r="AM506" s="16">
        <v>45232</v>
      </c>
      <c r="AN506" s="4"/>
      <c r="AO506" s="6" t="s">
        <v>303</v>
      </c>
      <c r="AP506" s="4" t="s">
        <v>1008</v>
      </c>
      <c r="AQ506" s="4"/>
      <c r="AR506" s="4"/>
      <c r="AS506" s="11">
        <v>167</v>
      </c>
      <c r="AT506" s="11">
        <v>333</v>
      </c>
      <c r="AU506" s="11"/>
      <c r="AV506" s="11"/>
      <c r="AW506" s="4"/>
      <c r="AX506" s="4">
        <f t="shared" ref="AX506" si="49">SUM(AA506:AL506)</f>
        <v>2</v>
      </c>
      <c r="AY506" s="93"/>
      <c r="AZ506" s="4">
        <v>1.5</v>
      </c>
    </row>
    <row r="507" spans="2:52" ht="15.75" x14ac:dyDescent="0.25">
      <c r="B507" s="112" t="s">
        <v>311</v>
      </c>
      <c r="C507" s="6" t="s">
        <v>1432</v>
      </c>
      <c r="D507" s="8" t="s">
        <v>4</v>
      </c>
      <c r="E507" s="8" t="s">
        <v>26</v>
      </c>
      <c r="F507" s="9">
        <v>5</v>
      </c>
      <c r="G507" s="9"/>
      <c r="H507" s="9"/>
      <c r="I507" s="7"/>
      <c r="J507" s="7"/>
      <c r="K507" s="7"/>
      <c r="L507" s="7" t="s">
        <v>14</v>
      </c>
      <c r="M507" s="122"/>
      <c r="N507" s="122"/>
      <c r="O507" s="122"/>
      <c r="P507" s="96"/>
      <c r="Q507" s="14">
        <v>0.3</v>
      </c>
      <c r="R507" s="93" t="e">
        <f>ROUND(#REF!,0)</f>
        <v>#REF!</v>
      </c>
      <c r="S507" s="93" t="e">
        <f>ROUND(#REF!,0)</f>
        <v>#REF!</v>
      </c>
      <c r="T507" s="122" t="s">
        <v>1518</v>
      </c>
      <c r="U507" s="7"/>
      <c r="V507" s="7"/>
      <c r="W507" s="122"/>
      <c r="X507" s="122"/>
      <c r="Y507" s="122" t="s">
        <v>1518</v>
      </c>
      <c r="Z507" s="7"/>
      <c r="AA507" s="7">
        <v>1</v>
      </c>
      <c r="AB507" s="7"/>
      <c r="AC507" s="7">
        <v>1</v>
      </c>
      <c r="AD507" s="7"/>
      <c r="AE507" s="7"/>
      <c r="AF507" s="7"/>
      <c r="AG507" s="7"/>
      <c r="AH507" s="7"/>
      <c r="AI507" s="7"/>
      <c r="AJ507" s="7"/>
      <c r="AK507" s="7"/>
      <c r="AL507" s="7"/>
      <c r="AM507" s="16">
        <v>44169</v>
      </c>
      <c r="AN507" s="4"/>
      <c r="AO507" s="6" t="s">
        <v>1012</v>
      </c>
      <c r="AP507" s="4"/>
      <c r="AQ507" s="4"/>
      <c r="AR507" s="4"/>
      <c r="AS507" s="11">
        <v>700</v>
      </c>
      <c r="AT507" s="11"/>
      <c r="AU507" s="11"/>
      <c r="AV507" s="11"/>
      <c r="AW507" s="4"/>
      <c r="AX507" s="4">
        <f t="shared" si="47"/>
        <v>2</v>
      </c>
      <c r="AY507" s="93">
        <v>1</v>
      </c>
      <c r="AZ507" s="4">
        <v>0.6</v>
      </c>
    </row>
    <row r="508" spans="2:52" ht="15.75" x14ac:dyDescent="0.25">
      <c r="B508" s="112" t="s">
        <v>111</v>
      </c>
      <c r="C508" s="6" t="s">
        <v>1433</v>
      </c>
      <c r="D508" s="9" t="s">
        <v>3</v>
      </c>
      <c r="E508" s="8" t="s">
        <v>17</v>
      </c>
      <c r="F508" s="9">
        <v>29</v>
      </c>
      <c r="G508" s="9"/>
      <c r="H508" s="9"/>
      <c r="I508" s="7">
        <v>20</v>
      </c>
      <c r="J508" s="7"/>
      <c r="K508" s="7"/>
      <c r="L508" s="7" t="s">
        <v>59</v>
      </c>
      <c r="M508" s="122"/>
      <c r="N508" s="122"/>
      <c r="O508" s="122"/>
      <c r="P508" s="96"/>
      <c r="Q508" s="7"/>
      <c r="R508" s="93" t="e">
        <f>ROUND(#REF!,0)</f>
        <v>#REF!</v>
      </c>
      <c r="S508" s="93" t="e">
        <f>ROUND(#REF!,0)</f>
        <v>#REF!</v>
      </c>
      <c r="T508" s="122" t="s">
        <v>1518</v>
      </c>
      <c r="U508" s="7"/>
      <c r="V508" s="7"/>
      <c r="W508" s="122" t="s">
        <v>1518</v>
      </c>
      <c r="X508" s="122"/>
      <c r="Y508" s="122" t="s">
        <v>1518</v>
      </c>
      <c r="Z508" s="7"/>
      <c r="AA508" s="7"/>
      <c r="AB508" s="7"/>
      <c r="AC508" s="7">
        <v>1</v>
      </c>
      <c r="AD508" s="7"/>
      <c r="AE508" s="7"/>
      <c r="AF508" s="7"/>
      <c r="AG508" s="7"/>
      <c r="AH508" s="7"/>
      <c r="AI508" s="7"/>
      <c r="AJ508" s="7"/>
      <c r="AK508" s="7"/>
      <c r="AL508" s="7"/>
      <c r="AM508" s="16">
        <v>44169</v>
      </c>
      <c r="AN508" s="4"/>
      <c r="AO508" s="11" t="s">
        <v>60</v>
      </c>
      <c r="AP508" s="4"/>
      <c r="AQ508" s="4"/>
      <c r="AR508" s="4"/>
      <c r="AS508" s="11">
        <v>500</v>
      </c>
      <c r="AT508" s="11"/>
      <c r="AU508" s="11"/>
      <c r="AV508" s="11"/>
      <c r="AW508" s="4"/>
      <c r="AX508" s="4">
        <f t="shared" si="47"/>
        <v>1</v>
      </c>
      <c r="AY508" s="93"/>
      <c r="AZ508" s="4">
        <v>0.4</v>
      </c>
    </row>
    <row r="509" spans="2:52" ht="15.75" x14ac:dyDescent="0.25">
      <c r="B509" s="112" t="s">
        <v>984</v>
      </c>
      <c r="C509" s="6" t="s">
        <v>1434</v>
      </c>
      <c r="D509" s="8" t="s">
        <v>5</v>
      </c>
      <c r="E509" s="8" t="s">
        <v>17</v>
      </c>
      <c r="F509" s="8"/>
      <c r="G509" s="8"/>
      <c r="H509" s="8"/>
      <c r="I509" s="7"/>
      <c r="J509" s="7"/>
      <c r="K509" s="7"/>
      <c r="L509" s="7"/>
      <c r="M509" s="122"/>
      <c r="N509" s="122"/>
      <c r="O509" s="122"/>
      <c r="P509" s="96"/>
      <c r="Q509" s="7"/>
      <c r="R509" s="93" t="e">
        <f>ROUND(#REF!,0)</f>
        <v>#REF!</v>
      </c>
      <c r="S509" s="93" t="e">
        <f>ROUND(#REF!,0)</f>
        <v>#REF!</v>
      </c>
      <c r="T509" s="122"/>
      <c r="U509" s="7"/>
      <c r="V509" s="7"/>
      <c r="W509" s="122"/>
      <c r="X509" s="122"/>
      <c r="Y509" s="122"/>
      <c r="Z509" s="7"/>
      <c r="AA509" s="7"/>
      <c r="AB509" s="7"/>
      <c r="AC509" s="7">
        <v>2</v>
      </c>
      <c r="AD509" s="7"/>
      <c r="AE509" s="7"/>
      <c r="AF509" s="7"/>
      <c r="AG509" s="7"/>
      <c r="AH509" s="7"/>
      <c r="AI509" s="7"/>
      <c r="AJ509" s="7"/>
      <c r="AK509" s="7"/>
      <c r="AL509" s="7"/>
      <c r="AM509" s="16">
        <v>44169</v>
      </c>
      <c r="AN509" s="4"/>
      <c r="AO509" s="11" t="s">
        <v>334</v>
      </c>
      <c r="AP509" s="4"/>
      <c r="AQ509" s="4"/>
      <c r="AR509" s="4"/>
      <c r="AS509" s="11">
        <v>830</v>
      </c>
      <c r="AT509" s="11"/>
      <c r="AU509" s="11"/>
      <c r="AV509" s="11"/>
      <c r="AW509" s="4"/>
      <c r="AX509" s="4">
        <f t="shared" si="47"/>
        <v>2</v>
      </c>
      <c r="AY509" s="93"/>
      <c r="AZ509" s="4">
        <v>7</v>
      </c>
    </row>
    <row r="510" spans="2:52" ht="15.75" x14ac:dyDescent="0.25">
      <c r="B510" s="112" t="s">
        <v>1949</v>
      </c>
      <c r="C510" s="6" t="s">
        <v>1950</v>
      </c>
      <c r="D510" s="8" t="s">
        <v>118</v>
      </c>
      <c r="E510" s="9" t="s">
        <v>29</v>
      </c>
      <c r="F510" s="8"/>
      <c r="G510" s="8"/>
      <c r="H510" s="8"/>
      <c r="I510" s="7"/>
      <c r="J510" s="7"/>
      <c r="K510" s="7"/>
      <c r="L510" s="7"/>
      <c r="M510" s="122"/>
      <c r="N510" s="122"/>
      <c r="O510" s="122"/>
      <c r="P510" s="96"/>
      <c r="Q510" s="7"/>
      <c r="R510" s="93" t="e">
        <f>+#REF!</f>
        <v>#REF!</v>
      </c>
      <c r="S510" s="93" t="e">
        <f>+#REF!</f>
        <v>#REF!</v>
      </c>
      <c r="T510" s="122"/>
      <c r="U510" s="7"/>
      <c r="V510" s="7"/>
      <c r="W510" s="122" t="s">
        <v>1518</v>
      </c>
      <c r="X510" s="122"/>
      <c r="Y510" s="122"/>
      <c r="Z510" s="7"/>
      <c r="AA510" s="7">
        <v>1</v>
      </c>
      <c r="AB510" s="7">
        <v>1</v>
      </c>
      <c r="AC510" s="7">
        <v>1</v>
      </c>
      <c r="AD510" s="7">
        <v>1</v>
      </c>
      <c r="AE510" s="7">
        <v>1</v>
      </c>
      <c r="AF510" s="7">
        <v>1</v>
      </c>
      <c r="AG510" s="7">
        <v>1</v>
      </c>
      <c r="AH510" s="7">
        <v>1</v>
      </c>
      <c r="AI510" s="7">
        <v>1</v>
      </c>
      <c r="AJ510" s="7">
        <v>1</v>
      </c>
      <c r="AK510" s="7">
        <v>1</v>
      </c>
      <c r="AL510" s="7">
        <v>1</v>
      </c>
      <c r="AM510" s="16">
        <v>45232</v>
      </c>
      <c r="AN510" s="4"/>
      <c r="AO510" s="11" t="s">
        <v>332</v>
      </c>
      <c r="AP510" s="4"/>
      <c r="AQ510" s="4"/>
      <c r="AR510" s="4"/>
      <c r="AS510" s="11">
        <v>870</v>
      </c>
      <c r="AT510" s="11"/>
      <c r="AU510" s="11"/>
      <c r="AV510" s="11"/>
      <c r="AW510" s="4"/>
      <c r="AX510" s="4"/>
      <c r="AY510" s="93"/>
      <c r="AZ510" s="4">
        <v>0.5</v>
      </c>
    </row>
    <row r="511" spans="2:52" ht="15.75" x14ac:dyDescent="0.25">
      <c r="B511" s="112" t="s">
        <v>1529</v>
      </c>
      <c r="C511" s="6" t="s">
        <v>1435</v>
      </c>
      <c r="D511" s="9" t="s">
        <v>4</v>
      </c>
      <c r="E511" s="9" t="s">
        <v>13</v>
      </c>
      <c r="F511" s="9">
        <v>4</v>
      </c>
      <c r="G511" s="9"/>
      <c r="H511" s="9"/>
      <c r="I511" s="7">
        <v>20</v>
      </c>
      <c r="J511" s="7"/>
      <c r="K511" s="7">
        <v>3</v>
      </c>
      <c r="L511" s="7" t="s">
        <v>14</v>
      </c>
      <c r="M511" s="122"/>
      <c r="N511" s="122"/>
      <c r="O511" s="122"/>
      <c r="P511" s="96"/>
      <c r="Q511" s="7"/>
      <c r="R511" s="93" t="e">
        <f>ROUND(#REF!,0)</f>
        <v>#REF!</v>
      </c>
      <c r="S511" s="93" t="e">
        <f>ROUND(#REF!,0)</f>
        <v>#REF!</v>
      </c>
      <c r="T511" s="122" t="s">
        <v>1518</v>
      </c>
      <c r="U511" s="7"/>
      <c r="V511" s="7"/>
      <c r="W511" s="122" t="s">
        <v>1518</v>
      </c>
      <c r="X511" s="122"/>
      <c r="Y511" s="122" t="s">
        <v>1518</v>
      </c>
      <c r="Z511" s="7" t="s">
        <v>7</v>
      </c>
      <c r="AA511" s="7">
        <v>1</v>
      </c>
      <c r="AB511" s="7"/>
      <c r="AC511" s="7"/>
      <c r="AD511" s="7">
        <v>1</v>
      </c>
      <c r="AE511" s="7"/>
      <c r="AF511" s="7"/>
      <c r="AG511" s="7"/>
      <c r="AH511" s="7"/>
      <c r="AI511" s="7"/>
      <c r="AJ511" s="7"/>
      <c r="AK511" s="7"/>
      <c r="AL511" s="7">
        <v>1</v>
      </c>
      <c r="AM511" s="16">
        <v>44540</v>
      </c>
      <c r="AN511" s="4"/>
      <c r="AO511" s="105" t="s">
        <v>112</v>
      </c>
      <c r="AP511" s="4"/>
      <c r="AQ511" s="4"/>
      <c r="AR511" s="4"/>
      <c r="AS511" s="37">
        <v>496</v>
      </c>
      <c r="AT511" s="11"/>
      <c r="AU511" s="11"/>
      <c r="AV511" s="11"/>
      <c r="AW511" s="4"/>
      <c r="AX511" s="4">
        <f t="shared" si="47"/>
        <v>3</v>
      </c>
      <c r="AY511" s="93">
        <v>1</v>
      </c>
      <c r="AZ511" s="4">
        <v>1.5</v>
      </c>
    </row>
    <row r="512" spans="2:52" ht="15.75" x14ac:dyDescent="0.25">
      <c r="B512" s="112" t="s">
        <v>1436</v>
      </c>
      <c r="C512" s="6" t="s">
        <v>1437</v>
      </c>
      <c r="D512" s="9" t="s">
        <v>4</v>
      </c>
      <c r="E512" s="9" t="s">
        <v>88</v>
      </c>
      <c r="F512" s="9">
        <v>4</v>
      </c>
      <c r="G512" s="9"/>
      <c r="H512" s="9"/>
      <c r="I512" s="7">
        <v>20</v>
      </c>
      <c r="J512" s="7"/>
      <c r="K512" s="7">
        <v>3</v>
      </c>
      <c r="L512" s="7" t="s">
        <v>14</v>
      </c>
      <c r="M512" s="122"/>
      <c r="N512" s="122"/>
      <c r="O512" s="122"/>
      <c r="P512" s="96"/>
      <c r="Q512" s="7"/>
      <c r="R512" s="93" t="e">
        <f>ROUND(#REF!,0)</f>
        <v>#REF!</v>
      </c>
      <c r="S512" s="93" t="e">
        <f>ROUND(#REF!,0)</f>
        <v>#REF!</v>
      </c>
      <c r="T512" s="122" t="s">
        <v>1518</v>
      </c>
      <c r="U512" s="7"/>
      <c r="V512" s="7"/>
      <c r="W512" s="122" t="s">
        <v>1518</v>
      </c>
      <c r="X512" s="122"/>
      <c r="Y512" s="122" t="s">
        <v>1518</v>
      </c>
      <c r="Z512" s="7" t="s">
        <v>7</v>
      </c>
      <c r="AA512" s="7">
        <v>1</v>
      </c>
      <c r="AB512" s="7"/>
      <c r="AC512" s="7"/>
      <c r="AD512" s="7">
        <v>1</v>
      </c>
      <c r="AE512" s="7"/>
      <c r="AF512" s="7"/>
      <c r="AG512" s="7"/>
      <c r="AH512" s="7"/>
      <c r="AI512" s="7"/>
      <c r="AJ512" s="7"/>
      <c r="AK512" s="7"/>
      <c r="AL512" s="7">
        <v>1</v>
      </c>
      <c r="AM512" s="16">
        <v>44540</v>
      </c>
      <c r="AN512" s="4"/>
      <c r="AO512" s="105" t="s">
        <v>112</v>
      </c>
      <c r="AP512" s="4"/>
      <c r="AQ512" s="4"/>
      <c r="AR512" s="4"/>
      <c r="AS512" s="37">
        <v>496</v>
      </c>
      <c r="AT512" s="11"/>
      <c r="AU512" s="11"/>
      <c r="AV512" s="11"/>
      <c r="AW512" s="4"/>
      <c r="AX512" s="4">
        <f t="shared" si="47"/>
        <v>3</v>
      </c>
      <c r="AY512" s="93">
        <v>1</v>
      </c>
      <c r="AZ512" s="4">
        <v>1.5</v>
      </c>
    </row>
    <row r="513" spans="2:48" x14ac:dyDescent="0.2">
      <c r="B513" s="118"/>
      <c r="C513" s="99"/>
      <c r="D513" s="100"/>
      <c r="E513" s="119"/>
      <c r="F513" s="100"/>
      <c r="G513" s="100"/>
      <c r="H513" s="100"/>
      <c r="I513" s="173"/>
      <c r="J513" s="173"/>
      <c r="K513" s="173"/>
      <c r="L513" s="173"/>
      <c r="M513" s="173"/>
      <c r="N513" s="173"/>
      <c r="O513" s="173"/>
      <c r="P513" s="173"/>
      <c r="Q513" s="101"/>
      <c r="R513" s="120"/>
      <c r="S513" s="120"/>
      <c r="T513" s="101"/>
      <c r="U513" s="101"/>
      <c r="V513" s="101"/>
      <c r="W513" s="7"/>
      <c r="X513" s="101"/>
      <c r="Y513" s="101"/>
      <c r="Z513" s="101"/>
      <c r="AA513" s="101"/>
      <c r="AB513" s="101"/>
      <c r="AC513" s="7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2"/>
      <c r="AN513" s="103"/>
      <c r="AO513" s="104"/>
      <c r="AP513" s="103"/>
      <c r="AQ513" s="103"/>
      <c r="AR513" s="103"/>
      <c r="AS513" s="104"/>
      <c r="AT513" s="104"/>
      <c r="AU513" s="104"/>
      <c r="AV513" s="104"/>
    </row>
    <row r="514" spans="2:48" x14ac:dyDescent="0.2">
      <c r="B514" s="118"/>
      <c r="C514" s="99"/>
      <c r="D514" s="100"/>
      <c r="E514" s="119"/>
      <c r="F514" s="100"/>
      <c r="G514" s="100"/>
      <c r="H514" s="100"/>
      <c r="I514" s="174"/>
      <c r="J514" s="101"/>
      <c r="K514" s="101"/>
      <c r="L514" s="101"/>
      <c r="M514" s="174"/>
      <c r="N514" s="174"/>
      <c r="O514" s="101"/>
      <c r="P514" s="101"/>
      <c r="Q514" s="101"/>
      <c r="R514" s="120"/>
      <c r="S514" s="120"/>
      <c r="T514" s="101"/>
      <c r="U514" s="101"/>
      <c r="V514" s="101"/>
      <c r="W514" s="7"/>
      <c r="X514" s="101"/>
      <c r="Y514" s="101"/>
      <c r="Z514" s="101"/>
      <c r="AA514" s="101"/>
      <c r="AB514" s="101"/>
      <c r="AC514" s="7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2"/>
      <c r="AN514" s="103"/>
      <c r="AO514" s="104"/>
      <c r="AP514" s="103"/>
      <c r="AQ514" s="103"/>
      <c r="AR514" s="103"/>
      <c r="AS514" s="104"/>
      <c r="AT514" s="104"/>
      <c r="AU514" s="104"/>
      <c r="AV514" s="104"/>
    </row>
    <row r="515" spans="2:48" ht="15.75" x14ac:dyDescent="0.25">
      <c r="I515" s="168"/>
      <c r="J515" s="39" t="str">
        <f>Herbicides!I280</f>
        <v>Restriction légère</v>
      </c>
      <c r="M515" s="125" t="s">
        <v>1518</v>
      </c>
      <c r="N515" s="125" t="s">
        <v>1518</v>
      </c>
      <c r="O515" s="126" t="str">
        <f>Herbicides!$N$280</f>
        <v>oui</v>
      </c>
      <c r="P515" s="39" t="str">
        <f>P529</f>
        <v>obligation légale</v>
      </c>
      <c r="R515" s="155" t="str">
        <f>+Textes!A56</f>
        <v>faible</v>
      </c>
      <c r="S515" s="155"/>
      <c r="W515" s="41" t="s">
        <v>1518</v>
      </c>
      <c r="X515" s="39" t="str">
        <f>'I+M+R'!$W$82</f>
        <v>gant + tablier + …</v>
      </c>
      <c r="AC515" s="7">
        <v>1</v>
      </c>
      <c r="AD515" s="88" t="str">
        <f>Textes!A62</f>
        <v>Homologué</v>
      </c>
      <c r="AL515" s="1"/>
    </row>
    <row r="516" spans="2:48" ht="15.75" x14ac:dyDescent="0.25">
      <c r="I516" s="172"/>
      <c r="J516" s="39" t="str">
        <f>Herbicides!I281</f>
        <v>Restriction moyenne</v>
      </c>
      <c r="M516" s="126"/>
      <c r="N516" s="126"/>
      <c r="O516" s="126"/>
      <c r="P516" s="39" t="str">
        <f>P530</f>
        <v>risque important</v>
      </c>
      <c r="R516" s="154" t="str">
        <f>+Textes!A57</f>
        <v>moyen</v>
      </c>
      <c r="S516" s="154"/>
      <c r="AC516" s="248">
        <v>2</v>
      </c>
      <c r="AD516" s="88" t="str">
        <f>Textes!A63</f>
        <v>Homologué et utilisable dans programme non-recours PPh</v>
      </c>
      <c r="AL516" s="1"/>
    </row>
    <row r="517" spans="2:48" ht="15.75" x14ac:dyDescent="0.25">
      <c r="I517" s="169"/>
      <c r="J517" s="39" t="str">
        <f>Herbicides!I282</f>
        <v>Restriction forte</v>
      </c>
      <c r="M517" s="126"/>
      <c r="N517" s="126"/>
      <c r="O517" s="126"/>
      <c r="P517" s="39" t="str">
        <f>P531</f>
        <v>risque relatif (métabolites non pertinents)</v>
      </c>
      <c r="R517" s="156" t="str">
        <f>+Textes!A58</f>
        <v>élevé</v>
      </c>
      <c r="S517" s="156"/>
      <c r="U517" s="7">
        <v>1</v>
      </c>
      <c r="V517" s="39" t="s">
        <v>969</v>
      </c>
      <c r="AA517" s="39" t="s">
        <v>1564</v>
      </c>
      <c r="AC517" s="7">
        <v>3</v>
      </c>
      <c r="AD517" s="88" t="str">
        <f>Textes!A64</f>
        <v>Homologué mais soumis à autorisation</v>
      </c>
      <c r="AL517" s="1"/>
    </row>
    <row r="518" spans="2:48" ht="15.75" x14ac:dyDescent="0.25">
      <c r="I518" s="43"/>
      <c r="J518" s="39" t="str">
        <f>Herbicides!I283</f>
        <v>Restriction très forte</v>
      </c>
      <c r="M518" s="126"/>
      <c r="N518" s="126"/>
      <c r="O518" s="126"/>
      <c r="U518" s="7">
        <v>2</v>
      </c>
      <c r="V518" s="39" t="s">
        <v>971</v>
      </c>
      <c r="AL518" s="1"/>
    </row>
    <row r="519" spans="2:48" ht="15.75" x14ac:dyDescent="0.25">
      <c r="M519" s="126"/>
      <c r="N519" s="126"/>
      <c r="O519" s="126"/>
    </row>
    <row r="520" spans="2:48" ht="15.75" x14ac:dyDescent="0.25">
      <c r="M520" s="126"/>
      <c r="N520" s="126"/>
      <c r="O520" s="126"/>
    </row>
    <row r="521" spans="2:48" ht="15.75" x14ac:dyDescent="0.25">
      <c r="M521" s="126"/>
      <c r="N521" s="126"/>
      <c r="O521" s="126"/>
    </row>
    <row r="522" spans="2:48" ht="15.75" x14ac:dyDescent="0.25">
      <c r="M522" s="126"/>
      <c r="N522" s="126"/>
      <c r="O522" s="126"/>
    </row>
    <row r="523" spans="2:48" ht="15.75" x14ac:dyDescent="0.25">
      <c r="M523" s="126"/>
      <c r="N523" s="126"/>
      <c r="O523" s="126"/>
    </row>
    <row r="524" spans="2:48" ht="15.75" x14ac:dyDescent="0.25">
      <c r="M524" s="126"/>
      <c r="N524" s="126"/>
      <c r="O524" s="126"/>
    </row>
    <row r="525" spans="2:48" ht="15.75" x14ac:dyDescent="0.25">
      <c r="M525" s="126"/>
      <c r="N525" s="126"/>
      <c r="O525" s="126"/>
      <c r="AO525" s="11"/>
    </row>
    <row r="526" spans="2:48" ht="15.75" x14ac:dyDescent="0.25">
      <c r="B526" s="1" t="s">
        <v>1542</v>
      </c>
      <c r="E526" s="3" t="s">
        <v>13</v>
      </c>
      <c r="F526" s="3" t="s">
        <v>227</v>
      </c>
      <c r="M526" s="126"/>
      <c r="N526" s="126"/>
      <c r="O526" s="126"/>
      <c r="AO526" s="11" t="s">
        <v>228</v>
      </c>
      <c r="AS526" s="1">
        <v>360</v>
      </c>
    </row>
    <row r="527" spans="2:48" ht="15.75" x14ac:dyDescent="0.25">
      <c r="B527" s="1">
        <v>6136</v>
      </c>
      <c r="M527" s="126"/>
      <c r="N527" s="126"/>
      <c r="O527" s="126"/>
    </row>
    <row r="528" spans="2:48" ht="15.75" x14ac:dyDescent="0.25">
      <c r="B528" s="1">
        <v>450</v>
      </c>
      <c r="M528" s="126"/>
      <c r="N528" s="126"/>
      <c r="O528" s="126"/>
    </row>
    <row r="529" spans="9:28" ht="15.75" x14ac:dyDescent="0.25">
      <c r="I529" s="7">
        <v>20</v>
      </c>
      <c r="J529" s="7">
        <v>6</v>
      </c>
      <c r="K529" s="7"/>
      <c r="L529" s="7" t="s">
        <v>14</v>
      </c>
      <c r="M529" s="122">
        <v>1</v>
      </c>
      <c r="N529" s="122"/>
      <c r="O529" s="122">
        <v>1</v>
      </c>
      <c r="P529" s="39" t="str">
        <f>+Textes!A205</f>
        <v>obligation légale</v>
      </c>
      <c r="T529" s="7">
        <v>1</v>
      </c>
      <c r="U529" s="7">
        <v>1</v>
      </c>
      <c r="V529" s="7"/>
      <c r="W529" s="7">
        <v>1</v>
      </c>
      <c r="AA529" s="1"/>
      <c r="AB529" s="1"/>
    </row>
    <row r="530" spans="9:28" x14ac:dyDescent="0.2">
      <c r="I530" s="7">
        <v>50</v>
      </c>
      <c r="J530" s="7">
        <v>20</v>
      </c>
      <c r="K530" s="7"/>
      <c r="L530" s="7" t="s">
        <v>120</v>
      </c>
      <c r="P530" s="39" t="str">
        <f>+Textes!A206</f>
        <v>risque important</v>
      </c>
      <c r="AA530" s="1"/>
      <c r="AB530" s="1"/>
    </row>
    <row r="531" spans="9:28" x14ac:dyDescent="0.2">
      <c r="I531" s="7">
        <v>100</v>
      </c>
      <c r="J531" s="7">
        <v>50</v>
      </c>
      <c r="K531" s="7"/>
      <c r="L531" s="7" t="s">
        <v>80</v>
      </c>
      <c r="P531" s="39" t="str">
        <f>+Textes!A207</f>
        <v>risque relatif (métabolites non pertinents)</v>
      </c>
      <c r="AA531" s="1"/>
      <c r="AB531" s="1"/>
    </row>
    <row r="532" spans="9:28" x14ac:dyDescent="0.2">
      <c r="J532" s="7">
        <v>100</v>
      </c>
      <c r="K532" s="7"/>
      <c r="L532" s="7" t="s">
        <v>59</v>
      </c>
    </row>
  </sheetData>
  <sheetProtection sort="0" autoFilter="0"/>
  <autoFilter ref="A4:AV504" xr:uid="{00000000-0001-0000-0600-000000000000}"/>
  <sortState xmlns:xlrd2="http://schemas.microsoft.com/office/spreadsheetml/2017/richdata2" ref="A5:AV504">
    <sortCondition ref="B5:B504"/>
  </sortState>
  <mergeCells count="7">
    <mergeCell ref="AA3:AL3"/>
    <mergeCell ref="F3:H3"/>
    <mergeCell ref="W3:Z3"/>
    <mergeCell ref="U3:V3"/>
    <mergeCell ref="R3:T3"/>
    <mergeCell ref="M3:Q3"/>
    <mergeCell ref="I3:K3"/>
  </mergeCells>
  <conditionalFormatting sqref="M347:O350 M114:O114 M110:O110 M262:O268 M270:O272 M192:O192 M359:O359 M397:O398 M356:O356 M127:O128 M108:O108 M5:O8 M176 M313:O319 M409:O409 M421:O424 M456:O459 M342:O344 M301:O311 M10:O10 M208:O209 M392:O394 M251:O255 M142:O144 M122:O125 M330:O339 M362:O364 M461:O465 M280:O283 M202:O206 M12:O15 N8:N9 M17:O21 M23:O29 M33:O53 M55:O61 M63:O63 M65:O65 M68:O95 M97 O97 N96:N97 M98:O100 M103:M107 O103:O107 N102:N107 M130:O140 M157:O171 O176 N174:N176 M178:O189 M194:O196 M198:O200 M211:O218 M240:O247 M249:O249 M257:O260 M274:O278 M352:O354 M381:O390 M401:O407 M411:O419 M427:O429 M432:O437 M439:O454 M467:O489 M491:O508 M116:O116 M118:O120 M147:O151 M153:O155 M220:O225 M227:O238 M285:O293 M295:O298 M321:O323 M325:O328 M366:O370 M372:O374 M376:O379">
    <cfRule type="cellIs" dxfId="1125" priority="6364" operator="equal">
      <formula>"!"</formula>
    </cfRule>
  </conditionalFormatting>
  <conditionalFormatting sqref="I529">
    <cfRule type="cellIs" dxfId="1124" priority="6349" operator="equal">
      <formula>100</formula>
    </cfRule>
    <cfRule type="cellIs" dxfId="1123" priority="6350" operator="equal">
      <formula>50</formula>
    </cfRule>
    <cfRule type="cellIs" dxfId="1122" priority="6351" operator="equal">
      <formula>20</formula>
    </cfRule>
  </conditionalFormatting>
  <conditionalFormatting sqref="I530">
    <cfRule type="cellIs" dxfId="1121" priority="6346" operator="equal">
      <formula>100</formula>
    </cfRule>
    <cfRule type="cellIs" dxfId="1120" priority="6347" operator="equal">
      <formula>50</formula>
    </cfRule>
    <cfRule type="cellIs" dxfId="1119" priority="6348" operator="equal">
      <formula>20</formula>
    </cfRule>
  </conditionalFormatting>
  <conditionalFormatting sqref="I531">
    <cfRule type="cellIs" dxfId="1118" priority="6343" operator="equal">
      <formula>100</formula>
    </cfRule>
    <cfRule type="cellIs" dxfId="1117" priority="6344" operator="equal">
      <formula>50</formula>
    </cfRule>
    <cfRule type="cellIs" dxfId="1116" priority="6345" operator="equal">
      <formula>20</formula>
    </cfRule>
  </conditionalFormatting>
  <conditionalFormatting sqref="L529">
    <cfRule type="cellIs" dxfId="1115" priority="6336" operator="equal">
      <formula>"4 pt"</formula>
    </cfRule>
    <cfRule type="cellIs" dxfId="1114" priority="6337" operator="equal">
      <formula>"3 pt"</formula>
    </cfRule>
    <cfRule type="cellIs" dxfId="1113" priority="6338" operator="equal">
      <formula>"2 pt"</formula>
    </cfRule>
    <cfRule type="cellIs" dxfId="1112" priority="6339" operator="equal">
      <formula>"1 pt"</formula>
    </cfRule>
  </conditionalFormatting>
  <conditionalFormatting sqref="L530">
    <cfRule type="cellIs" dxfId="1111" priority="6332" operator="equal">
      <formula>"4 pt"</formula>
    </cfRule>
    <cfRule type="cellIs" dxfId="1110" priority="6333" operator="equal">
      <formula>"3 pt"</formula>
    </cfRule>
    <cfRule type="cellIs" dxfId="1109" priority="6334" operator="equal">
      <formula>"2 pt"</formula>
    </cfRule>
    <cfRule type="cellIs" dxfId="1108" priority="6335" operator="equal">
      <formula>"1 pt"</formula>
    </cfRule>
  </conditionalFormatting>
  <conditionalFormatting sqref="L531">
    <cfRule type="cellIs" dxfId="1107" priority="6328" operator="equal">
      <formula>"4 pt"</formula>
    </cfRule>
    <cfRule type="cellIs" dxfId="1106" priority="6329" operator="equal">
      <formula>"3 pt"</formula>
    </cfRule>
    <cfRule type="cellIs" dxfId="1105" priority="6330" operator="equal">
      <formula>"2 pt"</formula>
    </cfRule>
    <cfRule type="cellIs" dxfId="1104" priority="6331" operator="equal">
      <formula>"1 pt"</formula>
    </cfRule>
  </conditionalFormatting>
  <conditionalFormatting sqref="L532">
    <cfRule type="cellIs" dxfId="1103" priority="6324" operator="equal">
      <formula>"4 pt"</formula>
    </cfRule>
    <cfRule type="cellIs" dxfId="1102" priority="6325" operator="equal">
      <formula>"3 pt"</formula>
    </cfRule>
    <cfRule type="cellIs" dxfId="1101" priority="6326" operator="equal">
      <formula>"2 pt"</formula>
    </cfRule>
    <cfRule type="cellIs" dxfId="1100" priority="6327" operator="equal">
      <formula>"1 pt"</formula>
    </cfRule>
  </conditionalFormatting>
  <conditionalFormatting sqref="K529:L529">
    <cfRule type="cellIs" dxfId="1099" priority="6320" operator="equal">
      <formula>100</formula>
    </cfRule>
    <cfRule type="cellIs" dxfId="1098" priority="6321" operator="equal">
      <formula>50</formula>
    </cfRule>
    <cfRule type="cellIs" dxfId="1097" priority="6322" operator="equal">
      <formula>20</formula>
    </cfRule>
    <cfRule type="cellIs" dxfId="1096" priority="6323" operator="equal">
      <formula>6</formula>
    </cfRule>
  </conditionalFormatting>
  <conditionalFormatting sqref="K530:L530">
    <cfRule type="cellIs" dxfId="1095" priority="6316" operator="equal">
      <formula>100</formula>
    </cfRule>
    <cfRule type="cellIs" dxfId="1094" priority="6317" operator="equal">
      <formula>50</formula>
    </cfRule>
    <cfRule type="cellIs" dxfId="1093" priority="6318" operator="equal">
      <formula>20</formula>
    </cfRule>
    <cfRule type="cellIs" dxfId="1092" priority="6319" operator="equal">
      <formula>6</formula>
    </cfRule>
  </conditionalFormatting>
  <conditionalFormatting sqref="K531:L531">
    <cfRule type="cellIs" dxfId="1091" priority="6312" operator="equal">
      <formula>100</formula>
    </cfRule>
    <cfRule type="cellIs" dxfId="1090" priority="6313" operator="equal">
      <formula>50</formula>
    </cfRule>
    <cfRule type="cellIs" dxfId="1089" priority="6314" operator="equal">
      <formula>20</formula>
    </cfRule>
    <cfRule type="cellIs" dxfId="1088" priority="6315" operator="equal">
      <formula>6</formula>
    </cfRule>
  </conditionalFormatting>
  <conditionalFormatting sqref="K532:L532">
    <cfRule type="cellIs" dxfId="1087" priority="6308" operator="equal">
      <formula>100</formula>
    </cfRule>
    <cfRule type="cellIs" dxfId="1086" priority="6309" operator="equal">
      <formula>50</formula>
    </cfRule>
    <cfRule type="cellIs" dxfId="1085" priority="6310" operator="equal">
      <formula>20</formula>
    </cfRule>
    <cfRule type="cellIs" dxfId="1084" priority="6311" operator="equal">
      <formula>6</formula>
    </cfRule>
  </conditionalFormatting>
  <conditionalFormatting sqref="Z182 Z128 Z356 Z421 Z501 Z140 Z423:Z424 Z125 Z45:Z50 Z37:Z43 Z53 Z159:Z165 Z136 Z278 Z204 Z222 Z474 Z167:Z171 Z178:Z179 Z189 Z236 Z247 Z477:Z478 Z95 Z385:Z386 Z394 Z285:Z289 Z347:Z350 Z108 Z353:Z354 Z206 Z258:Z260 Z326:Z328 Z249 Z65 Z114 Z432 Z110 Z491 Z55:Z58 Z220 Z262:Z268 Z270:Z272 Z63 Z301:Z302 Z313 Z480:Z482 Z503 Z495:Z499 Z452:Z454 Z427:Z429 Z397:Z398 Z305:Z311 Z202 Z194:Z196 Z132:Z134 Z89:Z92 Z76:Z79 Z17:Z21 Z5:Z8 Z33:Z34 Z60:Z61 Z69:Z74 Z184:Z186 Z238 Z241:Z244 Z316:Z319 Z381:Z383 Z486:Z489 Z337:Z339 Z157 Z456:Z458 Z342:Z344 Z97:Z100 Z401:Z407 Z10 Z208:Z209 Z81:Z87 Z467:Z468 Z392 Z274:Z276 Z130 Z251:Z255 Z142:Z143 Z198:Z200 Z23:Z29 Z330:Z334 Z388:Z390 Z461:Z465 Z411:Z418 Z361:Z364 Z280:Z283 Z211:Z218 Z435:Z448 Z505:Z508 Z12:Z14 Z102:Z105 Z116 Z118:Z120 Z150:Z151 Z153:Z155 Z224:Z225 Z227:Z232 Z293 Z295:Z298 Z321:Z323 Z367:Z370 Z372 Z374 Z376:Z379">
    <cfRule type="cellIs" dxfId="1083" priority="6289" operator="equal">
      <formula>1</formula>
    </cfRule>
  </conditionalFormatting>
  <conditionalFormatting sqref="W529">
    <cfRule type="cellIs" dxfId="1082" priority="6287" operator="equal">
      <formula>1</formula>
    </cfRule>
  </conditionalFormatting>
  <conditionalFormatting sqref="AC515">
    <cfRule type="cellIs" dxfId="1081" priority="6284" operator="equal">
      <formula>3</formula>
    </cfRule>
    <cfRule type="cellIs" dxfId="1080" priority="6285" operator="equal">
      <formula>2</formula>
    </cfRule>
    <cfRule type="cellIs" dxfId="1079" priority="6286" operator="equal">
      <formula>1</formula>
    </cfRule>
  </conditionalFormatting>
  <conditionalFormatting sqref="AC517">
    <cfRule type="cellIs" dxfId="1078" priority="6278" operator="equal">
      <formula>3</formula>
    </cfRule>
    <cfRule type="cellIs" dxfId="1077" priority="6279" operator="equal">
      <formula>2</formula>
    </cfRule>
    <cfRule type="cellIs" dxfId="1076" priority="6280" operator="equal">
      <formula>1</formula>
    </cfRule>
  </conditionalFormatting>
  <conditionalFormatting sqref="T513:T541 T347:T350 W347:Y350 W249:Y249 T249 T114 T110 W110:Y110 W114:Y114 W262:Y268 T262:T268 W257:Y260 T257:T260 T270:T272 W270:Y272 T63 W63:Y63 T192 W192:Y192 T359 W359:Y359 W427:Y429 T427:T429 W397:Y398 T397:T398 W356:Y356 T356 W194:Y196 T194:T196 T127:T128 W127:Y128 T5:T8 W17:Y21 T17:T21 T33:T53 W33:Y53 W65:Y65 T65 W176:Y176 T176 T313:T319 W313:Y319 T409 W409:Y409 W421:Y424 T421:T424 W157:Y171 T157:T171 T456:T459 W456:Y459 T55:T61 W55:Y61 T240:T247 W240:Y247 T178:T189 W178:Y189 W342:Y344 T342:T344 T301:T311 W301:Y311 W97:Y100 T97:T100 T401:T407 W401:Y407 W10:Y10 T10 W208:Y209 T208:T209 W467:Y489 T467:T489 T392:T394 W392:Y394 W274:Y278 T274:T278 W130:Y140 T130:T140 T251:T255 W251:Y255 W352:Y354 T352:T354 T142:T144 W142:Y144 T198:T200 W198:Y200 T68:T95 W68:Y95 W122:Y125 T122:T125 T23:T29 W23:Y29 T330:T339 W330:Y339 W381:Y390 T381:T390 T461:T465 W461:Y465 W411:Y419 T411:T419 T361:T364 W361:Y364 T280:T283 W280:Y283 W211:Y218 T211:T218 T432:T454 W432:Y454 T202:T206 W202:Y206 W491:Y508 T491:T508 T12:T15 W12:Y15 W5:Y8 W102:Y108 T102:T108 W116:Y116 T116 T118:T120 W118:Y120 T147:T151 W147:Y151 W153:Y155 T153:T155 W220:Y225 T220:T225 T227:T238 W227:Y238 W285:Y293 T285:T293 T295:T298 W295:Y298 W321:Y323 T321:T323 T325:T328 W325:Y328 W366:Y370 T366:T370 T372:T374 W372:Y374 W376:Y379 T376:T379">
    <cfRule type="cellIs" dxfId="1075" priority="6257" operator="equal">
      <formula>"!"</formula>
    </cfRule>
  </conditionalFormatting>
  <conditionalFormatting sqref="Z144">
    <cfRule type="cellIs" dxfId="1074" priority="6239" operator="equal">
      <formula>1</formula>
    </cfRule>
  </conditionalFormatting>
  <conditionalFormatting sqref="Z234">
    <cfRule type="cellIs" dxfId="1073" priority="6220" operator="equal">
      <formula>1</formula>
    </cfRule>
  </conditionalFormatting>
  <conditionalFormatting sqref="Z409">
    <cfRule type="cellIs" dxfId="1072" priority="6201" operator="equal">
      <formula>1</formula>
    </cfRule>
  </conditionalFormatting>
  <conditionalFormatting sqref="Z483">
    <cfRule type="cellIs" dxfId="1071" priority="6163" operator="equal">
      <formula>1</formula>
    </cfRule>
  </conditionalFormatting>
  <conditionalFormatting sqref="Z475">
    <cfRule type="cellIs" dxfId="1070" priority="6125" operator="equal">
      <formula>1</formula>
    </cfRule>
  </conditionalFormatting>
  <conditionalFormatting sqref="Z106">
    <cfRule type="cellIs" dxfId="1069" priority="6106" operator="equal">
      <formula>1</formula>
    </cfRule>
  </conditionalFormatting>
  <conditionalFormatting sqref="Z233">
    <cfRule type="cellIs" dxfId="1068" priority="6087" operator="equal">
      <formula>1</formula>
    </cfRule>
  </conditionalFormatting>
  <conditionalFormatting sqref="Z56">
    <cfRule type="cellIs" dxfId="1067" priority="6043" operator="equal">
      <formula>1</formula>
    </cfRule>
  </conditionalFormatting>
  <conditionalFormatting sqref="Z35:Z36">
    <cfRule type="cellIs" dxfId="1066" priority="6038" operator="equal">
      <formula>1</formula>
    </cfRule>
  </conditionalFormatting>
  <conditionalFormatting sqref="Z59">
    <cfRule type="cellIs" dxfId="1065" priority="6003" operator="equal">
      <formula>1</formula>
    </cfRule>
  </conditionalFormatting>
  <conditionalFormatting sqref="Z493">
    <cfRule type="cellIs" dxfId="1064" priority="5983" operator="equal">
      <formula>1</formula>
    </cfRule>
  </conditionalFormatting>
  <conditionalFormatting sqref="Z15">
    <cfRule type="cellIs" dxfId="1063" priority="5963" operator="equal">
      <formula>1</formula>
    </cfRule>
  </conditionalFormatting>
  <conditionalFormatting sqref="Z187">
    <cfRule type="cellIs" dxfId="1062" priority="5943" operator="equal">
      <formula>1</formula>
    </cfRule>
  </conditionalFormatting>
  <conditionalFormatting sqref="Z303:Z304">
    <cfRule type="cellIs" dxfId="1061" priority="5923" operator="equal">
      <formula>1</formula>
    </cfRule>
  </conditionalFormatting>
  <conditionalFormatting sqref="Z449">
    <cfRule type="cellIs" dxfId="1060" priority="5903" operator="equal">
      <formula>1</formula>
    </cfRule>
  </conditionalFormatting>
  <conditionalFormatting sqref="Z476">
    <cfRule type="cellIs" dxfId="1059" priority="5883" operator="equal">
      <formula>1</formula>
    </cfRule>
  </conditionalFormatting>
  <conditionalFormatting sqref="Z422">
    <cfRule type="cellIs" dxfId="1058" priority="5863" operator="equal">
      <formula>1</formula>
    </cfRule>
  </conditionalFormatting>
  <conditionalFormatting sqref="Z433">
    <cfRule type="cellIs" dxfId="1057" priority="5843" operator="equal">
      <formula>1</formula>
    </cfRule>
  </conditionalFormatting>
  <conditionalFormatting sqref="Z44">
    <cfRule type="cellIs" dxfId="1056" priority="5822" operator="equal">
      <formula>1</formula>
    </cfRule>
  </conditionalFormatting>
  <conditionalFormatting sqref="Z188">
    <cfRule type="cellIs" dxfId="1055" priority="5802" operator="equal">
      <formula>1</formula>
    </cfRule>
  </conditionalFormatting>
  <conditionalFormatting sqref="Z479">
    <cfRule type="cellIs" dxfId="1054" priority="5762" operator="equal">
      <formula>1</formula>
    </cfRule>
  </conditionalFormatting>
  <conditionalFormatting sqref="Z366">
    <cfRule type="cellIs" dxfId="1053" priority="5722" operator="equal">
      <formula>1</formula>
    </cfRule>
  </conditionalFormatting>
  <conditionalFormatting sqref="Z359">
    <cfRule type="cellIs" dxfId="1052" priority="5702" operator="equal">
      <formula>1</formula>
    </cfRule>
  </conditionalFormatting>
  <conditionalFormatting sqref="Z240">
    <cfRule type="cellIs" dxfId="1051" priority="5682" operator="equal">
      <formula>1</formula>
    </cfRule>
  </conditionalFormatting>
  <conditionalFormatting sqref="Z291:Z292">
    <cfRule type="cellIs" dxfId="1050" priority="5662" operator="equal">
      <formula>1</formula>
    </cfRule>
  </conditionalFormatting>
  <conditionalFormatting sqref="Z180">
    <cfRule type="cellIs" dxfId="1049" priority="5642" operator="equal">
      <formula>1</formula>
    </cfRule>
  </conditionalFormatting>
  <conditionalFormatting sqref="Z139">
    <cfRule type="cellIs" dxfId="1048" priority="5622" operator="equal">
      <formula>1</formula>
    </cfRule>
  </conditionalFormatting>
  <conditionalFormatting sqref="Z127">
    <cfRule type="cellIs" dxfId="1047" priority="5602" operator="equal">
      <formula>1</formula>
    </cfRule>
  </conditionalFormatting>
  <conditionalFormatting sqref="Z181">
    <cfRule type="cellIs" dxfId="1046" priority="5582" operator="equal">
      <formula>1</formula>
    </cfRule>
  </conditionalFormatting>
  <conditionalFormatting sqref="Z245:Z246">
    <cfRule type="cellIs" dxfId="1045" priority="5562" operator="equal">
      <formula>1</formula>
    </cfRule>
  </conditionalFormatting>
  <conditionalFormatting sqref="Z419">
    <cfRule type="cellIs" dxfId="1044" priority="5522" operator="equal">
      <formula>1</formula>
    </cfRule>
  </conditionalFormatting>
  <conditionalFormatting sqref="Z500">
    <cfRule type="cellIs" dxfId="1043" priority="5502" operator="equal">
      <formula>1</formula>
    </cfRule>
  </conditionalFormatting>
  <conditionalFormatting sqref="Z80">
    <cfRule type="cellIs" dxfId="1042" priority="5442" operator="equal">
      <formula>1</formula>
    </cfRule>
  </conditionalFormatting>
  <conditionalFormatting sqref="Z494">
    <cfRule type="cellIs" dxfId="1041" priority="5402" operator="equal">
      <formula>1</formula>
    </cfRule>
  </conditionalFormatting>
  <conditionalFormatting sqref="Z502">
    <cfRule type="cellIs" dxfId="1040" priority="5382" operator="equal">
      <formula>1</formula>
    </cfRule>
  </conditionalFormatting>
  <conditionalFormatting sqref="Z373">
    <cfRule type="cellIs" dxfId="1039" priority="5362" operator="equal">
      <formula>1</formula>
    </cfRule>
  </conditionalFormatting>
  <conditionalFormatting sqref="Z450:Z451">
    <cfRule type="cellIs" dxfId="1038" priority="5342" operator="equal">
      <formula>1</formula>
    </cfRule>
  </conditionalFormatting>
  <conditionalFormatting sqref="Z123:Z124">
    <cfRule type="cellIs" dxfId="1037" priority="5302" operator="equal">
      <formula>1</formula>
    </cfRule>
  </conditionalFormatting>
  <conditionalFormatting sqref="Z485">
    <cfRule type="cellIs" dxfId="1036" priority="5242" operator="equal">
      <formula>1</formula>
    </cfRule>
  </conditionalFormatting>
  <conditionalFormatting sqref="Z352">
    <cfRule type="cellIs" dxfId="1035" priority="5202" operator="equal">
      <formula>1</formula>
    </cfRule>
  </conditionalFormatting>
  <conditionalFormatting sqref="U517:U518">
    <cfRule type="cellIs" dxfId="1034" priority="5175" operator="equal">
      <formula>3</formula>
    </cfRule>
    <cfRule type="cellIs" dxfId="1033" priority="5176" operator="equal">
      <formula>2</formula>
    </cfRule>
    <cfRule type="cellIs" dxfId="1032" priority="5177" operator="equal">
      <formula>1</formula>
    </cfRule>
  </conditionalFormatting>
  <conditionalFormatting sqref="Z183">
    <cfRule type="cellIs" dxfId="1031" priority="5151" operator="equal">
      <formula>1</formula>
    </cfRule>
  </conditionalFormatting>
  <conditionalFormatting sqref="Z315">
    <cfRule type="cellIs" dxfId="1030" priority="5123" operator="equal">
      <formula>1</formula>
    </cfRule>
  </conditionalFormatting>
  <conditionalFormatting sqref="Z314">
    <cfRule type="cellIs" dxfId="1029" priority="5095" operator="equal">
      <formula>1</formula>
    </cfRule>
  </conditionalFormatting>
  <conditionalFormatting sqref="Z325">
    <cfRule type="cellIs" dxfId="1028" priority="5011" operator="equal">
      <formula>1</formula>
    </cfRule>
  </conditionalFormatting>
  <conditionalFormatting sqref="Z459">
    <cfRule type="cellIs" dxfId="1027" priority="4955" operator="equal">
      <formula>1</formula>
    </cfRule>
  </conditionalFormatting>
  <conditionalFormatting sqref="Z131">
    <cfRule type="cellIs" dxfId="1026" priority="4927" operator="equal">
      <formula>1</formula>
    </cfRule>
  </conditionalFormatting>
  <conditionalFormatting sqref="Z484">
    <cfRule type="cellIs" dxfId="1025" priority="4871" operator="equal">
      <formula>1</formula>
    </cfRule>
  </conditionalFormatting>
  <conditionalFormatting sqref="Z504">
    <cfRule type="cellIs" dxfId="1024" priority="4813" operator="equal">
      <formula>1</formula>
    </cfRule>
  </conditionalFormatting>
  <conditionalFormatting sqref="Z51">
    <cfRule type="cellIs" dxfId="1023" priority="4754" operator="equal">
      <formula>1</formula>
    </cfRule>
  </conditionalFormatting>
  <conditionalFormatting sqref="Z52">
    <cfRule type="cellIs" dxfId="1022" priority="4726" operator="equal">
      <formula>1</formula>
    </cfRule>
  </conditionalFormatting>
  <conditionalFormatting sqref="Z68">
    <cfRule type="cellIs" dxfId="1021" priority="4698" operator="equal">
      <formula>1</formula>
    </cfRule>
  </conditionalFormatting>
  <conditionalFormatting sqref="Z122">
    <cfRule type="cellIs" dxfId="1020" priority="4635" operator="equal">
      <formula>1</formula>
    </cfRule>
  </conditionalFormatting>
  <conditionalFormatting sqref="Z158">
    <cfRule type="cellIs" dxfId="1019" priority="4583" operator="equal">
      <formula>1</formula>
    </cfRule>
  </conditionalFormatting>
  <conditionalFormatting sqref="Z75">
    <cfRule type="cellIs" dxfId="1018" priority="4538" operator="equal">
      <formula>1</formula>
    </cfRule>
  </conditionalFormatting>
  <conditionalFormatting sqref="Z290">
    <cfRule type="cellIs" dxfId="1017" priority="4491" operator="equal">
      <formula>1</formula>
    </cfRule>
  </conditionalFormatting>
  <conditionalFormatting sqref="Z135">
    <cfRule type="cellIs" dxfId="1016" priority="4339" operator="equal">
      <formula>1</formula>
    </cfRule>
  </conditionalFormatting>
  <conditionalFormatting sqref="Z277">
    <cfRule type="cellIs" dxfId="1015" priority="4307" operator="equal">
      <formula>1</formula>
    </cfRule>
  </conditionalFormatting>
  <conditionalFormatting sqref="Z137">
    <cfRule type="cellIs" dxfId="1014" priority="4275" operator="equal">
      <formula>1</formula>
    </cfRule>
  </conditionalFormatting>
  <conditionalFormatting sqref="Z387">
    <cfRule type="cellIs" dxfId="1013" priority="4228" operator="equal">
      <formula>1</formula>
    </cfRule>
  </conditionalFormatting>
  <conditionalFormatting sqref="Z393">
    <cfRule type="cellIs" dxfId="1012" priority="4196" operator="equal">
      <formula>1</formula>
    </cfRule>
  </conditionalFormatting>
  <conditionalFormatting sqref="Z203">
    <cfRule type="cellIs" dxfId="1011" priority="4156" operator="equal">
      <formula>1</formula>
    </cfRule>
  </conditionalFormatting>
  <conditionalFormatting sqref="Z205">
    <cfRule type="cellIs" dxfId="1010" priority="4124" operator="equal">
      <formula>1</formula>
    </cfRule>
  </conditionalFormatting>
  <conditionalFormatting sqref="Z221">
    <cfRule type="cellIs" dxfId="1009" priority="4092" operator="equal">
      <formula>1</formula>
    </cfRule>
  </conditionalFormatting>
  <conditionalFormatting sqref="Z223">
    <cfRule type="cellIs" dxfId="1008" priority="4064" operator="equal">
      <formula>1</formula>
    </cfRule>
  </conditionalFormatting>
  <conditionalFormatting sqref="Z336">
    <cfRule type="cellIs" dxfId="1007" priority="4036" operator="equal">
      <formula>1</formula>
    </cfRule>
  </conditionalFormatting>
  <conditionalFormatting sqref="Z335">
    <cfRule type="cellIs" dxfId="1006" priority="4008" operator="equal">
      <formula>1</formula>
    </cfRule>
  </conditionalFormatting>
  <conditionalFormatting sqref="Z473">
    <cfRule type="cellIs" dxfId="1005" priority="3980" operator="equal">
      <formula>1</formula>
    </cfRule>
  </conditionalFormatting>
  <conditionalFormatting sqref="Z472">
    <cfRule type="cellIs" dxfId="1004" priority="3952" operator="equal">
      <formula>1</formula>
    </cfRule>
  </conditionalFormatting>
  <conditionalFormatting sqref="Z257">
    <cfRule type="cellIs" dxfId="1003" priority="3924" operator="equal">
      <formula>1</formula>
    </cfRule>
  </conditionalFormatting>
  <conditionalFormatting sqref="Z166">
    <cfRule type="cellIs" dxfId="1002" priority="3896" operator="equal">
      <formula>1</formula>
    </cfRule>
  </conditionalFormatting>
  <conditionalFormatting sqref="Z176">
    <cfRule type="cellIs" dxfId="1001" priority="3868" operator="equal">
      <formula>1</formula>
    </cfRule>
  </conditionalFormatting>
  <conditionalFormatting sqref="I513:P514">
    <cfRule type="cellIs" dxfId="1000" priority="3730" operator="equal">
      <formula>100</formula>
    </cfRule>
    <cfRule type="cellIs" dxfId="999" priority="3731" operator="equal">
      <formula>50</formula>
    </cfRule>
    <cfRule type="cellIs" dxfId="998" priority="3732" operator="equal">
      <formula>20</formula>
    </cfRule>
  </conditionalFormatting>
  <conditionalFormatting sqref="AA513:AL514">
    <cfRule type="cellIs" dxfId="997" priority="3734" operator="equal">
      <formula>3</formula>
    </cfRule>
    <cfRule type="cellIs" dxfId="996" priority="3735" operator="equal">
      <formula>2</formula>
    </cfRule>
    <cfRule type="cellIs" dxfId="995" priority="3736" operator="equal">
      <formula>1</formula>
    </cfRule>
  </conditionalFormatting>
  <conditionalFormatting sqref="Z513:Z514">
    <cfRule type="cellIs" dxfId="994" priority="3721" operator="equal">
      <formula>1</formula>
    </cfRule>
  </conditionalFormatting>
  <conditionalFormatting sqref="R513:S514">
    <cfRule type="containsBlanks" dxfId="993" priority="3708">
      <formula>LEN(TRIM(R513))=0</formula>
    </cfRule>
    <cfRule type="cellIs" dxfId="992" priority="3709" operator="greaterThan">
      <formula>20</formula>
    </cfRule>
    <cfRule type="cellIs" dxfId="991" priority="3710" operator="between">
      <formula>5.01</formula>
      <formula>20</formula>
    </cfRule>
    <cfRule type="cellIs" dxfId="990" priority="3711" operator="between">
      <formula>1</formula>
      <formula>5</formula>
    </cfRule>
    <cfRule type="cellIs" dxfId="989" priority="3712" operator="lessThan">
      <formula>1</formula>
    </cfRule>
  </conditionalFormatting>
  <conditionalFormatting sqref="Z235">
    <cfRule type="cellIs" dxfId="988" priority="3637" operator="equal">
      <formula>1</formula>
    </cfRule>
  </conditionalFormatting>
  <conditionalFormatting sqref="U347:U350 U249 U114 U110 U262:U268 U257:U260 U270:U272 U63 U192 U359 U427:U429 U397:U398 U356 U194:U196 U127:U128 U5:U8 U17:U21 U33:U53 U65 U176 U313:U319 U409 U421:U424 U157:U171 U456:U459 U55:U61 U240:U247 U178:U189 U342:U344 U301:U311 U97:U100 U401:U407 U10 U208:U209 U467:U489 U392:U394 U274:U278 U130:U140 U251:U255 U352:U354 U142:U144 U198:U200 U68:U95 U122:U125 U23:U29 U330:U339 U381:U390 U461:U465 U411:U419 U361:U364 U280:U283 U211:U218 U432:U454 U202:U206 U491:U508 U12:U15 U102:U108 U116 U118:U120 U147:U151 U153:U155 U220:U225 U227:U238 U285:U293 U295:U298 U321:U323 U325:U328 U366:U370 U372:U374 U376:U379">
    <cfRule type="cellIs" dxfId="987" priority="3622" operator="equal">
      <formula>2</formula>
    </cfRule>
    <cfRule type="cellIs" dxfId="986" priority="3623" operator="equal">
      <formula>1</formula>
    </cfRule>
  </conditionalFormatting>
  <conditionalFormatting sqref="M284:O284">
    <cfRule type="cellIs" dxfId="985" priority="3615" operator="equal">
      <formula>"!"</formula>
    </cfRule>
  </conditionalFormatting>
  <conditionalFormatting sqref="Z284">
    <cfRule type="cellIs" dxfId="984" priority="3603" operator="equal">
      <formula>1</formula>
    </cfRule>
  </conditionalFormatting>
  <conditionalFormatting sqref="T284 W284:Y284">
    <cfRule type="cellIs" dxfId="983" priority="3602" operator="equal">
      <formula>"!"</formula>
    </cfRule>
  </conditionalFormatting>
  <conditionalFormatting sqref="U284">
    <cfRule type="cellIs" dxfId="982" priority="3589" operator="equal">
      <formula>2</formula>
    </cfRule>
    <cfRule type="cellIs" dxfId="981" priority="3590" operator="equal">
      <formula>1</formula>
    </cfRule>
  </conditionalFormatting>
  <conditionalFormatting sqref="M509:O509">
    <cfRule type="cellIs" dxfId="980" priority="3558" operator="equal">
      <formula>"!"</formula>
    </cfRule>
  </conditionalFormatting>
  <conditionalFormatting sqref="T509 W509:Y509">
    <cfRule type="cellIs" dxfId="979" priority="3557" operator="equal">
      <formula>"!"</formula>
    </cfRule>
  </conditionalFormatting>
  <conditionalFormatting sqref="Z509">
    <cfRule type="cellIs" dxfId="978" priority="3542" operator="equal">
      <formula>1</formula>
    </cfRule>
  </conditionalFormatting>
  <conditionalFormatting sqref="U509">
    <cfRule type="cellIs" dxfId="977" priority="3529" operator="equal">
      <formula>2</formula>
    </cfRule>
    <cfRule type="cellIs" dxfId="976" priority="3530" operator="equal">
      <formula>1</formula>
    </cfRule>
  </conditionalFormatting>
  <conditionalFormatting sqref="M512:O512">
    <cfRule type="cellIs" dxfId="975" priority="3525" operator="equal">
      <formula>"!"</formula>
    </cfRule>
  </conditionalFormatting>
  <conditionalFormatting sqref="Z512">
    <cfRule type="cellIs" dxfId="974" priority="3513" operator="equal">
      <formula>1</formula>
    </cfRule>
  </conditionalFormatting>
  <conditionalFormatting sqref="W512:Y512 T512">
    <cfRule type="cellIs" dxfId="973" priority="3512" operator="equal">
      <formula>"!"</formula>
    </cfRule>
  </conditionalFormatting>
  <conditionalFormatting sqref="U512">
    <cfRule type="cellIs" dxfId="972" priority="3499" operator="equal">
      <formula>2</formula>
    </cfRule>
    <cfRule type="cellIs" dxfId="971" priority="3500" operator="equal">
      <formula>1</formula>
    </cfRule>
  </conditionalFormatting>
  <conditionalFormatting sqref="M250:O250">
    <cfRule type="cellIs" dxfId="970" priority="3495" operator="equal">
      <formula>"!"</formula>
    </cfRule>
  </conditionalFormatting>
  <conditionalFormatting sqref="Z250">
    <cfRule type="cellIs" dxfId="969" priority="3483" operator="equal">
      <formula>1</formula>
    </cfRule>
  </conditionalFormatting>
  <conditionalFormatting sqref="W250:Y250 T250">
    <cfRule type="cellIs" dxfId="968" priority="3482" operator="equal">
      <formula>"!"</formula>
    </cfRule>
  </conditionalFormatting>
  <conditionalFormatting sqref="U250">
    <cfRule type="cellIs" dxfId="967" priority="3469" operator="equal">
      <formula>2</formula>
    </cfRule>
    <cfRule type="cellIs" dxfId="966" priority="3470" operator="equal">
      <formula>1</formula>
    </cfRule>
  </conditionalFormatting>
  <conditionalFormatting sqref="M345:O346">
    <cfRule type="cellIs" dxfId="965" priority="3435" operator="equal">
      <formula>"!"</formula>
    </cfRule>
  </conditionalFormatting>
  <conditionalFormatting sqref="Z345:Z346">
    <cfRule type="cellIs" dxfId="964" priority="3423" operator="equal">
      <formula>1</formula>
    </cfRule>
  </conditionalFormatting>
  <conditionalFormatting sqref="T345:T346 W345:Y346">
    <cfRule type="cellIs" dxfId="963" priority="3422" operator="equal">
      <formula>"!"</formula>
    </cfRule>
  </conditionalFormatting>
  <conditionalFormatting sqref="U345:U346">
    <cfRule type="cellIs" dxfId="962" priority="3409" operator="equal">
      <formula>2</formula>
    </cfRule>
    <cfRule type="cellIs" dxfId="961" priority="3410" operator="equal">
      <formula>1</formula>
    </cfRule>
  </conditionalFormatting>
  <conditionalFormatting sqref="M360:O360">
    <cfRule type="cellIs" dxfId="960" priority="3405" operator="equal">
      <formula>"!"</formula>
    </cfRule>
  </conditionalFormatting>
  <conditionalFormatting sqref="Z360">
    <cfRule type="cellIs" dxfId="959" priority="3393" operator="equal">
      <formula>1</formula>
    </cfRule>
  </conditionalFormatting>
  <conditionalFormatting sqref="W360:Y360 T360">
    <cfRule type="cellIs" dxfId="958" priority="3392" operator="equal">
      <formula>"!"</formula>
    </cfRule>
  </conditionalFormatting>
  <conditionalFormatting sqref="U360">
    <cfRule type="cellIs" dxfId="957" priority="3379" operator="equal">
      <formula>2</formula>
    </cfRule>
    <cfRule type="cellIs" dxfId="956" priority="3380" operator="equal">
      <formula>1</formula>
    </cfRule>
  </conditionalFormatting>
  <conditionalFormatting sqref="M395:O395">
    <cfRule type="cellIs" dxfId="955" priority="3375" operator="equal">
      <formula>"!"</formula>
    </cfRule>
  </conditionalFormatting>
  <conditionalFormatting sqref="Z395">
    <cfRule type="cellIs" dxfId="954" priority="3363" operator="equal">
      <formula>1</formula>
    </cfRule>
  </conditionalFormatting>
  <conditionalFormatting sqref="T395 W395:Y395">
    <cfRule type="cellIs" dxfId="953" priority="3362" operator="equal">
      <formula>"!"</formula>
    </cfRule>
  </conditionalFormatting>
  <conditionalFormatting sqref="U395">
    <cfRule type="cellIs" dxfId="952" priority="3349" operator="equal">
      <formula>2</formula>
    </cfRule>
    <cfRule type="cellIs" dxfId="951" priority="3350" operator="equal">
      <formula>1</formula>
    </cfRule>
  </conditionalFormatting>
  <conditionalFormatting sqref="M511:O511">
    <cfRule type="cellIs" dxfId="950" priority="3315" operator="equal">
      <formula>"!"</formula>
    </cfRule>
  </conditionalFormatting>
  <conditionalFormatting sqref="Z511">
    <cfRule type="cellIs" dxfId="949" priority="3303" operator="equal">
      <formula>1</formula>
    </cfRule>
  </conditionalFormatting>
  <conditionalFormatting sqref="W511:Y511 T511">
    <cfRule type="cellIs" dxfId="948" priority="3302" operator="equal">
      <formula>"!"</formula>
    </cfRule>
  </conditionalFormatting>
  <conditionalFormatting sqref="U511">
    <cfRule type="cellIs" dxfId="947" priority="3289" operator="equal">
      <formula>2</formula>
    </cfRule>
    <cfRule type="cellIs" dxfId="946" priority="3290" operator="equal">
      <formula>1</formula>
    </cfRule>
  </conditionalFormatting>
  <conditionalFormatting sqref="T248">
    <cfRule type="cellIs" dxfId="945" priority="3228" operator="equal">
      <formula>"!"</formula>
    </cfRule>
  </conditionalFormatting>
  <conditionalFormatting sqref="M64:O64">
    <cfRule type="cellIs" dxfId="944" priority="3213" operator="equal">
      <formula>"!"</formula>
    </cfRule>
  </conditionalFormatting>
  <conditionalFormatting sqref="Z64">
    <cfRule type="cellIs" dxfId="943" priority="3201" operator="equal">
      <formula>1</formula>
    </cfRule>
  </conditionalFormatting>
  <conditionalFormatting sqref="T64 W64:Y64">
    <cfRule type="cellIs" dxfId="942" priority="3200" operator="equal">
      <formula>"!"</formula>
    </cfRule>
  </conditionalFormatting>
  <conditionalFormatting sqref="U64">
    <cfRule type="cellIs" dxfId="941" priority="3187" operator="equal">
      <formula>2</formula>
    </cfRule>
    <cfRule type="cellIs" dxfId="940" priority="3188" operator="equal">
      <formula>1</formula>
    </cfRule>
  </conditionalFormatting>
  <conditionalFormatting sqref="M113:O113">
    <cfRule type="cellIs" dxfId="939" priority="3183" operator="equal">
      <formula>"!"</formula>
    </cfRule>
  </conditionalFormatting>
  <conditionalFormatting sqref="Z113">
    <cfRule type="cellIs" dxfId="938" priority="3171" operator="equal">
      <formula>1</formula>
    </cfRule>
  </conditionalFormatting>
  <conditionalFormatting sqref="T113 W113:Y113">
    <cfRule type="cellIs" dxfId="937" priority="3170" operator="equal">
      <formula>"!"</formula>
    </cfRule>
  </conditionalFormatting>
  <conditionalFormatting sqref="U113">
    <cfRule type="cellIs" dxfId="936" priority="3157" operator="equal">
      <formula>2</formula>
    </cfRule>
    <cfRule type="cellIs" dxfId="935" priority="3158" operator="equal">
      <formula>1</formula>
    </cfRule>
  </conditionalFormatting>
  <conditionalFormatting sqref="M430:O431">
    <cfRule type="cellIs" dxfId="934" priority="3153" operator="equal">
      <formula>"!"</formula>
    </cfRule>
  </conditionalFormatting>
  <conditionalFormatting sqref="Z430:Z431">
    <cfRule type="cellIs" dxfId="933" priority="3141" operator="equal">
      <formula>1</formula>
    </cfRule>
  </conditionalFormatting>
  <conditionalFormatting sqref="T430:T431 W430:Y431">
    <cfRule type="cellIs" dxfId="932" priority="3140" operator="equal">
      <formula>"!"</formula>
    </cfRule>
  </conditionalFormatting>
  <conditionalFormatting sqref="U430:U431">
    <cfRule type="cellIs" dxfId="931" priority="3127" operator="equal">
      <formula>2</formula>
    </cfRule>
    <cfRule type="cellIs" dxfId="930" priority="3128" operator="equal">
      <formula>1</formula>
    </cfRule>
  </conditionalFormatting>
  <conditionalFormatting sqref="M193:O193">
    <cfRule type="cellIs" dxfId="929" priority="3123" operator="equal">
      <formula>"!"</formula>
    </cfRule>
  </conditionalFormatting>
  <conditionalFormatting sqref="Z193">
    <cfRule type="cellIs" dxfId="928" priority="3111" operator="equal">
      <formula>1</formula>
    </cfRule>
  </conditionalFormatting>
  <conditionalFormatting sqref="T193 W193:Y193">
    <cfRule type="cellIs" dxfId="927" priority="3110" operator="equal">
      <formula>"!"</formula>
    </cfRule>
  </conditionalFormatting>
  <conditionalFormatting sqref="U193">
    <cfRule type="cellIs" dxfId="926" priority="3097" operator="equal">
      <formula>2</formula>
    </cfRule>
    <cfRule type="cellIs" dxfId="925" priority="3098" operator="equal">
      <formula>1</formula>
    </cfRule>
  </conditionalFormatting>
  <conditionalFormatting sqref="M300:O300">
    <cfRule type="cellIs" dxfId="924" priority="3093" operator="equal">
      <formula>"!"</formula>
    </cfRule>
  </conditionalFormatting>
  <conditionalFormatting sqref="Z299:Z300">
    <cfRule type="cellIs" dxfId="923" priority="3081" operator="equal">
      <formula>1</formula>
    </cfRule>
  </conditionalFormatting>
  <conditionalFormatting sqref="T299:T300 W299:Y300">
    <cfRule type="cellIs" dxfId="922" priority="3080" operator="equal">
      <formula>"!"</formula>
    </cfRule>
  </conditionalFormatting>
  <conditionalFormatting sqref="U299:U300">
    <cfRule type="cellIs" dxfId="921" priority="3067" operator="equal">
      <formula>2</formula>
    </cfRule>
    <cfRule type="cellIs" dxfId="920" priority="3068" operator="equal">
      <formula>1</formula>
    </cfRule>
  </conditionalFormatting>
  <conditionalFormatting sqref="M109:O109">
    <cfRule type="cellIs" dxfId="919" priority="3063" operator="equal">
      <formula>"!"</formula>
    </cfRule>
  </conditionalFormatting>
  <conditionalFormatting sqref="Z109">
    <cfRule type="cellIs" dxfId="918" priority="3051" operator="equal">
      <formula>1</formula>
    </cfRule>
  </conditionalFormatting>
  <conditionalFormatting sqref="W109:Y109 T109">
    <cfRule type="cellIs" dxfId="917" priority="3050" operator="equal">
      <formula>"!"</formula>
    </cfRule>
  </conditionalFormatting>
  <conditionalFormatting sqref="U109">
    <cfRule type="cellIs" dxfId="916" priority="3037" operator="equal">
      <formula>2</formula>
    </cfRule>
    <cfRule type="cellIs" dxfId="915" priority="3038" operator="equal">
      <formula>1</formula>
    </cfRule>
  </conditionalFormatting>
  <conditionalFormatting sqref="J531">
    <cfRule type="cellIs" dxfId="914" priority="2987" operator="equal">
      <formula>100</formula>
    </cfRule>
    <cfRule type="cellIs" dxfId="913" priority="2988" operator="equal">
      <formula>50</formula>
    </cfRule>
    <cfRule type="cellIs" dxfId="912" priority="2989" operator="equal">
      <formula>20</formula>
    </cfRule>
    <cfRule type="cellIs" dxfId="911" priority="2990" operator="equal">
      <formula>6</formula>
    </cfRule>
  </conditionalFormatting>
  <conditionalFormatting sqref="J529">
    <cfRule type="cellIs" dxfId="910" priority="2995" operator="equal">
      <formula>100</formula>
    </cfRule>
    <cfRule type="cellIs" dxfId="909" priority="2996" operator="equal">
      <formula>50</formula>
    </cfRule>
    <cfRule type="cellIs" dxfId="908" priority="2997" operator="equal">
      <formula>20</formula>
    </cfRule>
    <cfRule type="cellIs" dxfId="907" priority="2998" operator="equal">
      <formula>6</formula>
    </cfRule>
  </conditionalFormatting>
  <conditionalFormatting sqref="J530">
    <cfRule type="cellIs" dxfId="906" priority="2991" operator="equal">
      <formula>100</formula>
    </cfRule>
    <cfRule type="cellIs" dxfId="905" priority="2992" operator="equal">
      <formula>50</formula>
    </cfRule>
    <cfRule type="cellIs" dxfId="904" priority="2993" operator="equal">
      <formula>20</formula>
    </cfRule>
    <cfRule type="cellIs" dxfId="903" priority="2994" operator="equal">
      <formula>6</formula>
    </cfRule>
  </conditionalFormatting>
  <conditionalFormatting sqref="J532">
    <cfRule type="cellIs" dxfId="902" priority="2983" operator="equal">
      <formula>100</formula>
    </cfRule>
    <cfRule type="cellIs" dxfId="901" priority="2984" operator="equal">
      <formula>50</formula>
    </cfRule>
    <cfRule type="cellIs" dxfId="900" priority="2985" operator="equal">
      <formula>20</formula>
    </cfRule>
    <cfRule type="cellIs" dxfId="899" priority="2986" operator="equal">
      <formula>6</formula>
    </cfRule>
  </conditionalFormatting>
  <conditionalFormatting sqref="M490:O490">
    <cfRule type="cellIs" dxfId="898" priority="2566" operator="equal">
      <formula>"!"</formula>
    </cfRule>
  </conditionalFormatting>
  <conditionalFormatting sqref="Z490">
    <cfRule type="cellIs" dxfId="897" priority="2554" operator="equal">
      <formula>1</formula>
    </cfRule>
  </conditionalFormatting>
  <conditionalFormatting sqref="W490:Y490 T490">
    <cfRule type="cellIs" dxfId="896" priority="2553" operator="equal">
      <formula>"!"</formula>
    </cfRule>
  </conditionalFormatting>
  <conditionalFormatting sqref="U490">
    <cfRule type="cellIs" dxfId="895" priority="2545" operator="equal">
      <formula>2</formula>
    </cfRule>
    <cfRule type="cellIs" dxfId="894" priority="2546" operator="equal">
      <formula>1</formula>
    </cfRule>
  </conditionalFormatting>
  <conditionalFormatting sqref="M174:M175 O174:O175">
    <cfRule type="cellIs" dxfId="893" priority="2532" operator="equal">
      <formula>"!"</formula>
    </cfRule>
  </conditionalFormatting>
  <conditionalFormatting sqref="Z175">
    <cfRule type="cellIs" dxfId="892" priority="2527" operator="equal">
      <formula>1</formula>
    </cfRule>
  </conditionalFormatting>
  <conditionalFormatting sqref="W174:Y175 T174:T175">
    <cfRule type="cellIs" dxfId="891" priority="2526" operator="equal">
      <formula>"!"</formula>
    </cfRule>
  </conditionalFormatting>
  <conditionalFormatting sqref="Z174">
    <cfRule type="cellIs" dxfId="890" priority="2515" operator="equal">
      <formula>1</formula>
    </cfRule>
  </conditionalFormatting>
  <conditionalFormatting sqref="U174:U175">
    <cfRule type="cellIs" dxfId="889" priority="2493" operator="equal">
      <formula>2</formula>
    </cfRule>
    <cfRule type="cellIs" dxfId="888" priority="2494" operator="equal">
      <formula>1</formula>
    </cfRule>
  </conditionalFormatting>
  <conditionalFormatting sqref="M121:O121">
    <cfRule type="cellIs" dxfId="887" priority="2473" operator="equal">
      <formula>"!"</formula>
    </cfRule>
  </conditionalFormatting>
  <conditionalFormatting sqref="Z121">
    <cfRule type="cellIs" dxfId="886" priority="2461" operator="equal">
      <formula>1</formula>
    </cfRule>
  </conditionalFormatting>
  <conditionalFormatting sqref="T121 W121:Y121">
    <cfRule type="cellIs" dxfId="885" priority="2460" operator="equal">
      <formula>"!"</formula>
    </cfRule>
  </conditionalFormatting>
  <conditionalFormatting sqref="U121">
    <cfRule type="cellIs" dxfId="884" priority="2455" operator="equal">
      <formula>2</formula>
    </cfRule>
    <cfRule type="cellIs" dxfId="883" priority="2456" operator="equal">
      <formula>1</formula>
    </cfRule>
  </conditionalFormatting>
  <conditionalFormatting sqref="M380:O380">
    <cfRule type="cellIs" dxfId="882" priority="2439" operator="equal">
      <formula>"!"</formula>
    </cfRule>
  </conditionalFormatting>
  <conditionalFormatting sqref="Z380">
    <cfRule type="cellIs" dxfId="881" priority="2427" operator="equal">
      <formula>1</formula>
    </cfRule>
  </conditionalFormatting>
  <conditionalFormatting sqref="W380:Y380 T380">
    <cfRule type="cellIs" dxfId="880" priority="2426" operator="equal">
      <formula>"!"</formula>
    </cfRule>
  </conditionalFormatting>
  <conditionalFormatting sqref="U380">
    <cfRule type="cellIs" dxfId="879" priority="2418" operator="equal">
      <formula>2</formula>
    </cfRule>
    <cfRule type="cellIs" dxfId="878" priority="2419" operator="equal">
      <formula>1</formula>
    </cfRule>
  </conditionalFormatting>
  <conditionalFormatting sqref="M201:O201">
    <cfRule type="cellIs" dxfId="877" priority="2405" operator="equal">
      <formula>"!"</formula>
    </cfRule>
  </conditionalFormatting>
  <conditionalFormatting sqref="Z201">
    <cfRule type="cellIs" dxfId="876" priority="2393" operator="equal">
      <formula>1</formula>
    </cfRule>
  </conditionalFormatting>
  <conditionalFormatting sqref="T201 W201:Y201">
    <cfRule type="cellIs" dxfId="875" priority="2392" operator="equal">
      <formula>"!"</formula>
    </cfRule>
  </conditionalFormatting>
  <conditionalFormatting sqref="U201">
    <cfRule type="cellIs" dxfId="874" priority="2384" operator="equal">
      <formula>2</formula>
    </cfRule>
    <cfRule type="cellIs" dxfId="873" priority="2385" operator="equal">
      <formula>1</formula>
    </cfRule>
  </conditionalFormatting>
  <conditionalFormatting sqref="M279:O279">
    <cfRule type="cellIs" dxfId="872" priority="2371" operator="equal">
      <formula>"!"</formula>
    </cfRule>
  </conditionalFormatting>
  <conditionalFormatting sqref="Z279">
    <cfRule type="cellIs" dxfId="871" priority="2359" operator="equal">
      <formula>1</formula>
    </cfRule>
  </conditionalFormatting>
  <conditionalFormatting sqref="W279:Y279 T279">
    <cfRule type="cellIs" dxfId="870" priority="2358" operator="equal">
      <formula>"!"</formula>
    </cfRule>
  </conditionalFormatting>
  <conditionalFormatting sqref="U279">
    <cfRule type="cellIs" dxfId="869" priority="2350" operator="equal">
      <formula>2</formula>
    </cfRule>
    <cfRule type="cellIs" dxfId="868" priority="2351" operator="equal">
      <formula>1</formula>
    </cfRule>
  </conditionalFormatting>
  <conditionalFormatting sqref="M54:O54">
    <cfRule type="cellIs" dxfId="867" priority="2337" operator="equal">
      <formula>"!"</formula>
    </cfRule>
  </conditionalFormatting>
  <conditionalFormatting sqref="Z54">
    <cfRule type="cellIs" dxfId="866" priority="2325" operator="equal">
      <formula>1</formula>
    </cfRule>
  </conditionalFormatting>
  <conditionalFormatting sqref="T54 W54:Y54">
    <cfRule type="cellIs" dxfId="865" priority="2324" operator="equal">
      <formula>"!"</formula>
    </cfRule>
  </conditionalFormatting>
  <conditionalFormatting sqref="U54">
    <cfRule type="cellIs" dxfId="864" priority="2316" operator="equal">
      <formula>2</formula>
    </cfRule>
    <cfRule type="cellIs" dxfId="863" priority="2317" operator="equal">
      <formula>1</formula>
    </cfRule>
  </conditionalFormatting>
  <conditionalFormatting sqref="M16:O16">
    <cfRule type="cellIs" dxfId="862" priority="2303" operator="equal">
      <formula>"!"</formula>
    </cfRule>
  </conditionalFormatting>
  <conditionalFormatting sqref="Z16">
    <cfRule type="cellIs" dxfId="861" priority="2291" operator="equal">
      <formula>1</formula>
    </cfRule>
  </conditionalFormatting>
  <conditionalFormatting sqref="T16 W16:Y16">
    <cfRule type="cellIs" dxfId="860" priority="2290" operator="equal">
      <formula>"!"</formula>
    </cfRule>
  </conditionalFormatting>
  <conditionalFormatting sqref="U16">
    <cfRule type="cellIs" dxfId="859" priority="2282" operator="equal">
      <formula>2</formula>
    </cfRule>
    <cfRule type="cellIs" dxfId="858" priority="2283" operator="equal">
      <formula>1</formula>
    </cfRule>
  </conditionalFormatting>
  <conditionalFormatting sqref="M219:O219">
    <cfRule type="cellIs" dxfId="857" priority="2269" operator="equal">
      <formula>"!"</formula>
    </cfRule>
  </conditionalFormatting>
  <conditionalFormatting sqref="Z219">
    <cfRule type="cellIs" dxfId="856" priority="2257" operator="equal">
      <formula>1</formula>
    </cfRule>
  </conditionalFormatting>
  <conditionalFormatting sqref="W219:Y219 T219">
    <cfRule type="cellIs" dxfId="855" priority="2256" operator="equal">
      <formula>"!"</formula>
    </cfRule>
  </conditionalFormatting>
  <conditionalFormatting sqref="U219">
    <cfRule type="cellIs" dxfId="854" priority="2248" operator="equal">
      <formula>2</formula>
    </cfRule>
    <cfRule type="cellIs" dxfId="853" priority="2249" operator="equal">
      <formula>1</formula>
    </cfRule>
  </conditionalFormatting>
  <conditionalFormatting sqref="M261:O261">
    <cfRule type="cellIs" dxfId="852" priority="2235" operator="equal">
      <formula>"!"</formula>
    </cfRule>
  </conditionalFormatting>
  <conditionalFormatting sqref="Z261">
    <cfRule type="cellIs" dxfId="851" priority="2223" operator="equal">
      <formula>1</formula>
    </cfRule>
  </conditionalFormatting>
  <conditionalFormatting sqref="W261:Y261 T261">
    <cfRule type="cellIs" dxfId="850" priority="2222" operator="equal">
      <formula>"!"</formula>
    </cfRule>
  </conditionalFormatting>
  <conditionalFormatting sqref="U261">
    <cfRule type="cellIs" dxfId="849" priority="2214" operator="equal">
      <formula>2</formula>
    </cfRule>
    <cfRule type="cellIs" dxfId="848" priority="2215" operator="equal">
      <formula>1</formula>
    </cfRule>
  </conditionalFormatting>
  <conditionalFormatting sqref="M210:O210">
    <cfRule type="cellIs" dxfId="847" priority="2167" operator="equal">
      <formula>"!"</formula>
    </cfRule>
  </conditionalFormatting>
  <conditionalFormatting sqref="Z210">
    <cfRule type="cellIs" dxfId="846" priority="2155" operator="equal">
      <formula>1</formula>
    </cfRule>
  </conditionalFormatting>
  <conditionalFormatting sqref="W210:Y210 T210">
    <cfRule type="cellIs" dxfId="845" priority="2154" operator="equal">
      <formula>"!"</formula>
    </cfRule>
  </conditionalFormatting>
  <conditionalFormatting sqref="U210">
    <cfRule type="cellIs" dxfId="844" priority="2146" operator="equal">
      <formula>2</formula>
    </cfRule>
    <cfRule type="cellIs" dxfId="843" priority="2147" operator="equal">
      <formula>1</formula>
    </cfRule>
  </conditionalFormatting>
  <conditionalFormatting sqref="M256:O256">
    <cfRule type="cellIs" dxfId="842" priority="2136" operator="equal">
      <formula>"!"</formula>
    </cfRule>
  </conditionalFormatting>
  <conditionalFormatting sqref="W256:Y256 T256">
    <cfRule type="cellIs" dxfId="841" priority="2135" operator="equal">
      <formula>"!"</formula>
    </cfRule>
  </conditionalFormatting>
  <conditionalFormatting sqref="Z256">
    <cfRule type="cellIs" dxfId="840" priority="2120" operator="equal">
      <formula>1</formula>
    </cfRule>
  </conditionalFormatting>
  <conditionalFormatting sqref="U256">
    <cfRule type="cellIs" dxfId="839" priority="2112" operator="equal">
      <formula>2</formula>
    </cfRule>
    <cfRule type="cellIs" dxfId="838" priority="2113" operator="equal">
      <formula>1</formula>
    </cfRule>
  </conditionalFormatting>
  <conditionalFormatting sqref="M269:O269">
    <cfRule type="cellIs" dxfId="837" priority="2099" operator="equal">
      <formula>"!"</formula>
    </cfRule>
  </conditionalFormatting>
  <conditionalFormatting sqref="Z269">
    <cfRule type="cellIs" dxfId="836" priority="2087" operator="equal">
      <formula>1</formula>
    </cfRule>
  </conditionalFormatting>
  <conditionalFormatting sqref="W269:Y269 T269">
    <cfRule type="cellIs" dxfId="835" priority="2086" operator="equal">
      <formula>"!"</formula>
    </cfRule>
  </conditionalFormatting>
  <conditionalFormatting sqref="U269">
    <cfRule type="cellIs" dxfId="834" priority="2078" operator="equal">
      <formula>2</formula>
    </cfRule>
    <cfRule type="cellIs" dxfId="833" priority="2079" operator="equal">
      <formula>1</formula>
    </cfRule>
  </conditionalFormatting>
  <conditionalFormatting sqref="M273:O273">
    <cfRule type="cellIs" dxfId="832" priority="2065" operator="equal">
      <formula>"!"</formula>
    </cfRule>
  </conditionalFormatting>
  <conditionalFormatting sqref="Z273">
    <cfRule type="cellIs" dxfId="831" priority="2053" operator="equal">
      <formula>1</formula>
    </cfRule>
  </conditionalFormatting>
  <conditionalFormatting sqref="W273:Y273 T273">
    <cfRule type="cellIs" dxfId="830" priority="2052" operator="equal">
      <formula>"!"</formula>
    </cfRule>
  </conditionalFormatting>
  <conditionalFormatting sqref="U273">
    <cfRule type="cellIs" dxfId="829" priority="2044" operator="equal">
      <formula>2</formula>
    </cfRule>
    <cfRule type="cellIs" dxfId="828" priority="2045" operator="equal">
      <formula>1</formula>
    </cfRule>
  </conditionalFormatting>
  <conditionalFormatting sqref="M329:O329">
    <cfRule type="cellIs" dxfId="827" priority="2031" operator="equal">
      <formula>"!"</formula>
    </cfRule>
  </conditionalFormatting>
  <conditionalFormatting sqref="Z329">
    <cfRule type="cellIs" dxfId="826" priority="2019" operator="equal">
      <formula>1</formula>
    </cfRule>
  </conditionalFormatting>
  <conditionalFormatting sqref="W329:Y329 T329">
    <cfRule type="cellIs" dxfId="825" priority="2018" operator="equal">
      <formula>"!"</formula>
    </cfRule>
  </conditionalFormatting>
  <conditionalFormatting sqref="U329">
    <cfRule type="cellIs" dxfId="824" priority="2010" operator="equal">
      <formula>2</formula>
    </cfRule>
    <cfRule type="cellIs" dxfId="823" priority="2011" operator="equal">
      <formula>1</formula>
    </cfRule>
  </conditionalFormatting>
  <conditionalFormatting sqref="M62:O62">
    <cfRule type="cellIs" dxfId="822" priority="1997" operator="equal">
      <formula>"!"</formula>
    </cfRule>
  </conditionalFormatting>
  <conditionalFormatting sqref="Z62">
    <cfRule type="cellIs" dxfId="821" priority="1985" operator="equal">
      <formula>1</formula>
    </cfRule>
  </conditionalFormatting>
  <conditionalFormatting sqref="W62:Y62 T62">
    <cfRule type="cellIs" dxfId="820" priority="1984" operator="equal">
      <formula>"!"</formula>
    </cfRule>
  </conditionalFormatting>
  <conditionalFormatting sqref="U62">
    <cfRule type="cellIs" dxfId="819" priority="1976" operator="equal">
      <formula>2</formula>
    </cfRule>
    <cfRule type="cellIs" dxfId="818" priority="1977" operator="equal">
      <formula>1</formula>
    </cfRule>
  </conditionalFormatting>
  <conditionalFormatting sqref="M408:O408">
    <cfRule type="cellIs" dxfId="817" priority="1963" operator="equal">
      <formula>"!"</formula>
    </cfRule>
  </conditionalFormatting>
  <conditionalFormatting sqref="Z408">
    <cfRule type="cellIs" dxfId="816" priority="1951" operator="equal">
      <formula>1</formula>
    </cfRule>
  </conditionalFormatting>
  <conditionalFormatting sqref="W408:Y408 T408">
    <cfRule type="cellIs" dxfId="815" priority="1950" operator="equal">
      <formula>"!"</formula>
    </cfRule>
  </conditionalFormatting>
  <conditionalFormatting sqref="U408">
    <cfRule type="cellIs" dxfId="814" priority="1942" operator="equal">
      <formula>2</formula>
    </cfRule>
    <cfRule type="cellIs" dxfId="813" priority="1943" operator="equal">
      <formula>1</formula>
    </cfRule>
  </conditionalFormatting>
  <conditionalFormatting sqref="M425:O425">
    <cfRule type="cellIs" dxfId="812" priority="1929" operator="equal">
      <formula>"!"</formula>
    </cfRule>
  </conditionalFormatting>
  <conditionalFormatting sqref="Z425">
    <cfRule type="cellIs" dxfId="811" priority="1917" operator="equal">
      <formula>1</formula>
    </cfRule>
  </conditionalFormatting>
  <conditionalFormatting sqref="W425:Y425 T425">
    <cfRule type="cellIs" dxfId="810" priority="1916" operator="equal">
      <formula>"!"</formula>
    </cfRule>
  </conditionalFormatting>
  <conditionalFormatting sqref="U425">
    <cfRule type="cellIs" dxfId="809" priority="1908" operator="equal">
      <formula>2</formula>
    </cfRule>
    <cfRule type="cellIs" dxfId="808" priority="1909" operator="equal">
      <formula>1</formula>
    </cfRule>
  </conditionalFormatting>
  <conditionalFormatting sqref="M101:O101">
    <cfRule type="cellIs" dxfId="807" priority="1895" operator="equal">
      <formula>"!"</formula>
    </cfRule>
  </conditionalFormatting>
  <conditionalFormatting sqref="Z101">
    <cfRule type="cellIs" dxfId="806" priority="1883" operator="equal">
      <formula>1</formula>
    </cfRule>
  </conditionalFormatting>
  <conditionalFormatting sqref="T101 W101:Y101">
    <cfRule type="cellIs" dxfId="805" priority="1882" operator="equal">
      <formula>"!"</formula>
    </cfRule>
  </conditionalFormatting>
  <conditionalFormatting sqref="U101">
    <cfRule type="cellIs" dxfId="804" priority="1874" operator="equal">
      <formula>2</formula>
    </cfRule>
    <cfRule type="cellIs" dxfId="803" priority="1875" operator="equal">
      <formula>1</formula>
    </cfRule>
  </conditionalFormatting>
  <conditionalFormatting sqref="M101:O101">
    <cfRule type="cellIs" dxfId="802" priority="1870" operator="equal">
      <formula>"!"</formula>
    </cfRule>
  </conditionalFormatting>
  <conditionalFormatting sqref="Z101">
    <cfRule type="cellIs" dxfId="801" priority="1858" operator="equal">
      <formula>1</formula>
    </cfRule>
  </conditionalFormatting>
  <conditionalFormatting sqref="T101 W101:Y101">
    <cfRule type="cellIs" dxfId="800" priority="1857" operator="equal">
      <formula>"!"</formula>
    </cfRule>
  </conditionalFormatting>
  <conditionalFormatting sqref="U101">
    <cfRule type="cellIs" dxfId="799" priority="1849" operator="equal">
      <formula>2</formula>
    </cfRule>
    <cfRule type="cellIs" dxfId="798" priority="1850" operator="equal">
      <formula>1</formula>
    </cfRule>
  </conditionalFormatting>
  <conditionalFormatting sqref="M34:O34">
    <cfRule type="cellIs" dxfId="797" priority="1828" operator="equal">
      <formula>"!"</formula>
    </cfRule>
  </conditionalFormatting>
  <conditionalFormatting sqref="Z34">
    <cfRule type="cellIs" dxfId="796" priority="1816" operator="equal">
      <formula>1</formula>
    </cfRule>
  </conditionalFormatting>
  <conditionalFormatting sqref="T34 W34:Y34">
    <cfRule type="cellIs" dxfId="795" priority="1815" operator="equal">
      <formula>"!"</formula>
    </cfRule>
  </conditionalFormatting>
  <conditionalFormatting sqref="U34">
    <cfRule type="cellIs" dxfId="794" priority="1807" operator="equal">
      <formula>2</formula>
    </cfRule>
    <cfRule type="cellIs" dxfId="793" priority="1808" operator="equal">
      <formula>1</formula>
    </cfRule>
  </conditionalFormatting>
  <conditionalFormatting sqref="M312:O312">
    <cfRule type="cellIs" dxfId="792" priority="1795" operator="equal">
      <formula>"!"</formula>
    </cfRule>
  </conditionalFormatting>
  <conditionalFormatting sqref="Z312">
    <cfRule type="cellIs" dxfId="791" priority="1783" operator="equal">
      <formula>1</formula>
    </cfRule>
  </conditionalFormatting>
  <conditionalFormatting sqref="W312:Y312 T312">
    <cfRule type="cellIs" dxfId="790" priority="1782" operator="equal">
      <formula>"!"</formula>
    </cfRule>
  </conditionalFormatting>
  <conditionalFormatting sqref="U312">
    <cfRule type="cellIs" dxfId="789" priority="1774" operator="equal">
      <formula>2</formula>
    </cfRule>
    <cfRule type="cellIs" dxfId="788" priority="1775" operator="equal">
      <formula>1</formula>
    </cfRule>
  </conditionalFormatting>
  <conditionalFormatting sqref="M146:O146">
    <cfRule type="cellIs" dxfId="787" priority="1762" operator="equal">
      <formula>"!"</formula>
    </cfRule>
  </conditionalFormatting>
  <conditionalFormatting sqref="T146 W146:Y146">
    <cfRule type="cellIs" dxfId="786" priority="1749" operator="equal">
      <formula>"!"</formula>
    </cfRule>
  </conditionalFormatting>
  <conditionalFormatting sqref="U146">
    <cfRule type="cellIs" dxfId="785" priority="1744" operator="equal">
      <formula>2</formula>
    </cfRule>
    <cfRule type="cellIs" dxfId="784" priority="1745" operator="equal">
      <formula>1</formula>
    </cfRule>
  </conditionalFormatting>
  <conditionalFormatting sqref="M355:O355">
    <cfRule type="cellIs" dxfId="783" priority="1729" operator="equal">
      <formula>"!"</formula>
    </cfRule>
  </conditionalFormatting>
  <conditionalFormatting sqref="Z355">
    <cfRule type="cellIs" dxfId="782" priority="1717" operator="equal">
      <formula>1</formula>
    </cfRule>
  </conditionalFormatting>
  <conditionalFormatting sqref="T355 W355:Y355">
    <cfRule type="cellIs" dxfId="781" priority="1716" operator="equal">
      <formula>"!"</formula>
    </cfRule>
  </conditionalFormatting>
  <conditionalFormatting sqref="U355">
    <cfRule type="cellIs" dxfId="780" priority="1708" operator="equal">
      <formula>2</formula>
    </cfRule>
    <cfRule type="cellIs" dxfId="779" priority="1709" operator="equal">
      <formula>1</formula>
    </cfRule>
  </conditionalFormatting>
  <conditionalFormatting sqref="M126:O126">
    <cfRule type="cellIs" dxfId="778" priority="1696" operator="equal">
      <formula>"!"</formula>
    </cfRule>
  </conditionalFormatting>
  <conditionalFormatting sqref="Z126">
    <cfRule type="cellIs" dxfId="777" priority="1684" operator="equal">
      <formula>1</formula>
    </cfRule>
  </conditionalFormatting>
  <conditionalFormatting sqref="T126 W126:Y126">
    <cfRule type="cellIs" dxfId="776" priority="1683" operator="equal">
      <formula>"!"</formula>
    </cfRule>
  </conditionalFormatting>
  <conditionalFormatting sqref="U126">
    <cfRule type="cellIs" dxfId="775" priority="1675" operator="equal">
      <formula>2</formula>
    </cfRule>
    <cfRule type="cellIs" dxfId="774" priority="1676" operator="equal">
      <formula>1</formula>
    </cfRule>
  </conditionalFormatting>
  <conditionalFormatting sqref="M190:O191">
    <cfRule type="cellIs" dxfId="773" priority="1663" operator="equal">
      <formula>"!"</formula>
    </cfRule>
  </conditionalFormatting>
  <conditionalFormatting sqref="Z191">
    <cfRule type="cellIs" dxfId="772" priority="1651" operator="equal">
      <formula>1</formula>
    </cfRule>
  </conditionalFormatting>
  <conditionalFormatting sqref="W190:Y191 T190:T191">
    <cfRule type="cellIs" dxfId="771" priority="1650" operator="equal">
      <formula>"!"</formula>
    </cfRule>
  </conditionalFormatting>
  <conditionalFormatting sqref="Z190">
    <cfRule type="cellIs" dxfId="770" priority="1629" operator="equal">
      <formula>1</formula>
    </cfRule>
  </conditionalFormatting>
  <conditionalFormatting sqref="U190:U191">
    <cfRule type="cellIs" dxfId="769" priority="1621" operator="equal">
      <formula>2</formula>
    </cfRule>
    <cfRule type="cellIs" dxfId="768" priority="1622" operator="equal">
      <formula>1</formula>
    </cfRule>
  </conditionalFormatting>
  <conditionalFormatting sqref="M357:O358">
    <cfRule type="cellIs" dxfId="767" priority="1602" operator="equal">
      <formula>"!"</formula>
    </cfRule>
  </conditionalFormatting>
  <conditionalFormatting sqref="Z357:Z358">
    <cfRule type="cellIs" dxfId="766" priority="1590" operator="equal">
      <formula>1</formula>
    </cfRule>
  </conditionalFormatting>
  <conditionalFormatting sqref="T357:T358 W357:Y358">
    <cfRule type="cellIs" dxfId="765" priority="1589" operator="equal">
      <formula>"!"</formula>
    </cfRule>
  </conditionalFormatting>
  <conditionalFormatting sqref="U357:U358">
    <cfRule type="cellIs" dxfId="764" priority="1581" operator="equal">
      <formula>2</formula>
    </cfRule>
    <cfRule type="cellIs" dxfId="763" priority="1582" operator="equal">
      <formula>1</formula>
    </cfRule>
  </conditionalFormatting>
  <conditionalFormatting sqref="M420:O420">
    <cfRule type="cellIs" dxfId="762" priority="1572" operator="equal">
      <formula>"!"</formula>
    </cfRule>
  </conditionalFormatting>
  <conditionalFormatting sqref="W420:Y420 T420">
    <cfRule type="cellIs" dxfId="761" priority="1571" operator="equal">
      <formula>"!"</formula>
    </cfRule>
  </conditionalFormatting>
  <conditionalFormatting sqref="Z420">
    <cfRule type="cellIs" dxfId="760" priority="1556" operator="equal">
      <formula>1</formula>
    </cfRule>
  </conditionalFormatting>
  <conditionalFormatting sqref="U420">
    <cfRule type="cellIs" dxfId="759" priority="1548" operator="equal">
      <formula>2</formula>
    </cfRule>
    <cfRule type="cellIs" dxfId="758" priority="1549" operator="equal">
      <formula>1</formula>
    </cfRule>
  </conditionalFormatting>
  <conditionalFormatting sqref="I5:I8 I456:I459 I157:I171 I33:I65 I178:I196 I342:I350 I401:I409 I174:I176 I392:I395 I130:I140 I142:I144 I397:I398 I68:I95 I23:I29 I461:I465 I411:I425 I352:I364 I427:I454 I198:I206 I10:I21 I97:I110 I467:I512 I113:I114 I116 I118:I128 I146:I151 I153:I155 I208:I225 I227:I238 I240:I293 I295:I319 I321:I323 I325:I339 I366:I370 I372:I374 I376:I390">
    <cfRule type="cellIs" dxfId="757" priority="1494" operator="equal">
      <formula>100</formula>
    </cfRule>
    <cfRule type="cellIs" dxfId="756" priority="1495" operator="equal">
      <formula>50</formula>
    </cfRule>
    <cfRule type="cellIs" dxfId="755" priority="1496" operator="equal">
      <formula>20</formula>
    </cfRule>
    <cfRule type="cellIs" dxfId="754" priority="1497" operator="equal">
      <formula>6</formula>
    </cfRule>
  </conditionalFormatting>
  <conditionalFormatting sqref="J4:K8 J456:K459 J157:K171 J33:K65 J178:K196 J342:K350 J401:K409 J174:K176 J392:K395 J130:K140 J142:K144 J397:K398 J68:K95 J23:K29 J461:K465 J411:K425 J352:K364 J427:K454 J198:K206 J10:K21 J97:K110 J467:K512 J113:K114 J116:K116 J118:K128 J146:K151 J153:K155 J208:K225 J227:K238 J240:K293 J295:K319 J321:K323 J325:K339 J366:K370 J372:K374 J376:K390">
    <cfRule type="cellIs" dxfId="753" priority="1490" operator="equal">
      <formula>50</formula>
    </cfRule>
    <cfRule type="cellIs" dxfId="752" priority="1491" operator="equal">
      <formula>20</formula>
    </cfRule>
    <cfRule type="cellIs" dxfId="751" priority="1492" operator="equal">
      <formula>6</formula>
    </cfRule>
    <cfRule type="cellIs" dxfId="750" priority="1493" operator="equal">
      <formula>3</formula>
    </cfRule>
  </conditionalFormatting>
  <conditionalFormatting sqref="L4:L8 L456:L459 L157:L171 L33:L65 L178:L196 L342:L350 L401:L409 L174:L176 L392:L395 L130:L140 L142:L144 L397:L398 L68:L95 L23:L29 L461:L465 L411:L425 L352:L364 L427:L454 L198:L206 L10:L21 L97:L110 L467:L512 L113:L114 L116 L118:L128 L146:L151 L153:L155 L208:L225 L227:L238 L240:L293 L295:L319 L321:L323 L325:L339 L366:L370 L372:L374 L376:L390">
    <cfRule type="cellIs" dxfId="749" priority="1482" operator="equal">
      <formula>"4 pt"</formula>
    </cfRule>
    <cfRule type="cellIs" dxfId="748" priority="1483" operator="equal">
      <formula>"3 pt"</formula>
    </cfRule>
    <cfRule type="cellIs" dxfId="747" priority="1484" operator="equal">
      <formula>"2 pt"</formula>
    </cfRule>
    <cfRule type="cellIs" dxfId="746" priority="1485" operator="equal">
      <formula>"1 pt"</formula>
    </cfRule>
  </conditionalFormatting>
  <conditionalFormatting sqref="M31:O32">
    <cfRule type="cellIs" dxfId="745" priority="1478" operator="equal">
      <formula>"!"</formula>
    </cfRule>
  </conditionalFormatting>
  <conditionalFormatting sqref="Z31:Z32">
    <cfRule type="cellIs" dxfId="744" priority="1477" operator="equal">
      <formula>1</formula>
    </cfRule>
  </conditionalFormatting>
  <conditionalFormatting sqref="W31:Y32 T31:T32">
    <cfRule type="cellIs" dxfId="743" priority="1476" operator="equal">
      <formula>"!"</formula>
    </cfRule>
  </conditionalFormatting>
  <conditionalFormatting sqref="U31:U32">
    <cfRule type="cellIs" dxfId="742" priority="1468" operator="equal">
      <formula>2</formula>
    </cfRule>
    <cfRule type="cellIs" dxfId="741" priority="1469" operator="equal">
      <formula>1</formula>
    </cfRule>
  </conditionalFormatting>
  <conditionalFormatting sqref="I31:I32">
    <cfRule type="cellIs" dxfId="740" priority="1460" operator="equal">
      <formula>100</formula>
    </cfRule>
    <cfRule type="cellIs" dxfId="739" priority="1461" operator="equal">
      <formula>50</formula>
    </cfRule>
    <cfRule type="cellIs" dxfId="738" priority="1462" operator="equal">
      <formula>20</formula>
    </cfRule>
    <cfRule type="cellIs" dxfId="737" priority="1463" operator="equal">
      <formula>6</formula>
    </cfRule>
  </conditionalFormatting>
  <conditionalFormatting sqref="J31:K32">
    <cfRule type="cellIs" dxfId="736" priority="1456" operator="equal">
      <formula>50</formula>
    </cfRule>
    <cfRule type="cellIs" dxfId="735" priority="1457" operator="equal">
      <formula>20</formula>
    </cfRule>
    <cfRule type="cellIs" dxfId="734" priority="1458" operator="equal">
      <formula>6</formula>
    </cfRule>
    <cfRule type="cellIs" dxfId="733" priority="1459" operator="equal">
      <formula>3</formula>
    </cfRule>
  </conditionalFormatting>
  <conditionalFormatting sqref="L31:L32">
    <cfRule type="cellIs" dxfId="732" priority="1452" operator="equal">
      <formula>"4 pt"</formula>
    </cfRule>
    <cfRule type="cellIs" dxfId="731" priority="1453" operator="equal">
      <formula>"3 pt"</formula>
    </cfRule>
    <cfRule type="cellIs" dxfId="730" priority="1454" operator="equal">
      <formula>"2 pt"</formula>
    </cfRule>
    <cfRule type="cellIs" dxfId="729" priority="1455" operator="equal">
      <formula>"1 pt"</formula>
    </cfRule>
  </conditionalFormatting>
  <conditionalFormatting sqref="M30:O30">
    <cfRule type="cellIs" dxfId="728" priority="1448" operator="equal">
      <formula>"!"</formula>
    </cfRule>
  </conditionalFormatting>
  <conditionalFormatting sqref="Z30">
    <cfRule type="cellIs" dxfId="727" priority="1447" operator="equal">
      <formula>1</formula>
    </cfRule>
  </conditionalFormatting>
  <conditionalFormatting sqref="W30:Y30 T30">
    <cfRule type="cellIs" dxfId="726" priority="1446" operator="equal">
      <formula>"!"</formula>
    </cfRule>
  </conditionalFormatting>
  <conditionalFormatting sqref="U30">
    <cfRule type="cellIs" dxfId="725" priority="1438" operator="equal">
      <formula>2</formula>
    </cfRule>
    <cfRule type="cellIs" dxfId="724" priority="1439" operator="equal">
      <formula>1</formula>
    </cfRule>
  </conditionalFormatting>
  <conditionalFormatting sqref="I30">
    <cfRule type="cellIs" dxfId="723" priority="1430" operator="equal">
      <formula>100</formula>
    </cfRule>
    <cfRule type="cellIs" dxfId="722" priority="1431" operator="equal">
      <formula>50</formula>
    </cfRule>
    <cfRule type="cellIs" dxfId="721" priority="1432" operator="equal">
      <formula>20</formula>
    </cfRule>
    <cfRule type="cellIs" dxfId="720" priority="1433" operator="equal">
      <formula>6</formula>
    </cfRule>
  </conditionalFormatting>
  <conditionalFormatting sqref="J30:K30">
    <cfRule type="cellIs" dxfId="719" priority="1426" operator="equal">
      <formula>50</formula>
    </cfRule>
    <cfRule type="cellIs" dxfId="718" priority="1427" operator="equal">
      <formula>20</formula>
    </cfRule>
    <cfRule type="cellIs" dxfId="717" priority="1428" operator="equal">
      <formula>6</formula>
    </cfRule>
    <cfRule type="cellIs" dxfId="716" priority="1429" operator="equal">
      <formula>3</formula>
    </cfRule>
  </conditionalFormatting>
  <conditionalFormatting sqref="L30">
    <cfRule type="cellIs" dxfId="715" priority="1422" operator="equal">
      <formula>"4 pt"</formula>
    </cfRule>
    <cfRule type="cellIs" dxfId="714" priority="1423" operator="equal">
      <formula>"3 pt"</formula>
    </cfRule>
    <cfRule type="cellIs" dxfId="713" priority="1424" operator="equal">
      <formula>"2 pt"</formula>
    </cfRule>
    <cfRule type="cellIs" dxfId="712" priority="1425" operator="equal">
      <formula>"1 pt"</formula>
    </cfRule>
  </conditionalFormatting>
  <conditionalFormatting sqref="M460:O460">
    <cfRule type="cellIs" dxfId="711" priority="1421" operator="equal">
      <formula>"!"</formula>
    </cfRule>
  </conditionalFormatting>
  <conditionalFormatting sqref="W460:Y460 T460">
    <cfRule type="cellIs" dxfId="710" priority="1420" operator="equal">
      <formula>"!"</formula>
    </cfRule>
  </conditionalFormatting>
  <conditionalFormatting sqref="Z460">
    <cfRule type="cellIs" dxfId="709" priority="1413" operator="equal">
      <formula>1</formula>
    </cfRule>
  </conditionalFormatting>
  <conditionalFormatting sqref="U460">
    <cfRule type="cellIs" dxfId="708" priority="1405" operator="equal">
      <formula>2</formula>
    </cfRule>
    <cfRule type="cellIs" dxfId="707" priority="1406" operator="equal">
      <formula>1</formula>
    </cfRule>
  </conditionalFormatting>
  <conditionalFormatting sqref="I460">
    <cfRule type="cellIs" dxfId="706" priority="1397" operator="equal">
      <formula>100</formula>
    </cfRule>
    <cfRule type="cellIs" dxfId="705" priority="1398" operator="equal">
      <formula>50</formula>
    </cfRule>
    <cfRule type="cellIs" dxfId="704" priority="1399" operator="equal">
      <formula>20</formula>
    </cfRule>
    <cfRule type="cellIs" dxfId="703" priority="1400" operator="equal">
      <formula>6</formula>
    </cfRule>
  </conditionalFormatting>
  <conditionalFormatting sqref="J460:K460">
    <cfRule type="cellIs" dxfId="702" priority="1393" operator="equal">
      <formula>50</formula>
    </cfRule>
    <cfRule type="cellIs" dxfId="701" priority="1394" operator="equal">
      <formula>20</formula>
    </cfRule>
    <cfRule type="cellIs" dxfId="700" priority="1395" operator="equal">
      <formula>6</formula>
    </cfRule>
    <cfRule type="cellIs" dxfId="699" priority="1396" operator="equal">
      <formula>3</formula>
    </cfRule>
  </conditionalFormatting>
  <conditionalFormatting sqref="L460">
    <cfRule type="cellIs" dxfId="698" priority="1389" operator="equal">
      <formula>"4 pt"</formula>
    </cfRule>
    <cfRule type="cellIs" dxfId="697" priority="1390" operator="equal">
      <formula>"3 pt"</formula>
    </cfRule>
    <cfRule type="cellIs" dxfId="696" priority="1391" operator="equal">
      <formula>"2 pt"</formula>
    </cfRule>
    <cfRule type="cellIs" dxfId="695" priority="1392" operator="equal">
      <formula>"1 pt"</formula>
    </cfRule>
  </conditionalFormatting>
  <conditionalFormatting sqref="M156:O156">
    <cfRule type="cellIs" dxfId="694" priority="1385" operator="equal">
      <formula>"!"</formula>
    </cfRule>
  </conditionalFormatting>
  <conditionalFormatting sqref="Z156">
    <cfRule type="cellIs" dxfId="693" priority="1384" operator="equal">
      <formula>1</formula>
    </cfRule>
  </conditionalFormatting>
  <conditionalFormatting sqref="T156 W156:Y156">
    <cfRule type="cellIs" dxfId="692" priority="1383" operator="equal">
      <formula>"!"</formula>
    </cfRule>
  </conditionalFormatting>
  <conditionalFormatting sqref="U156">
    <cfRule type="cellIs" dxfId="691" priority="1375" operator="equal">
      <formula>2</formula>
    </cfRule>
    <cfRule type="cellIs" dxfId="690" priority="1376" operator="equal">
      <formula>1</formula>
    </cfRule>
  </conditionalFormatting>
  <conditionalFormatting sqref="I156">
    <cfRule type="cellIs" dxfId="689" priority="1367" operator="equal">
      <formula>100</formula>
    </cfRule>
    <cfRule type="cellIs" dxfId="688" priority="1368" operator="equal">
      <formula>50</formula>
    </cfRule>
    <cfRule type="cellIs" dxfId="687" priority="1369" operator="equal">
      <formula>20</formula>
    </cfRule>
    <cfRule type="cellIs" dxfId="686" priority="1370" operator="equal">
      <formula>6</formula>
    </cfRule>
  </conditionalFormatting>
  <conditionalFormatting sqref="J156:K156">
    <cfRule type="cellIs" dxfId="685" priority="1363" operator="equal">
      <formula>50</formula>
    </cfRule>
    <cfRule type="cellIs" dxfId="684" priority="1364" operator="equal">
      <formula>20</formula>
    </cfRule>
    <cfRule type="cellIs" dxfId="683" priority="1365" operator="equal">
      <formula>6</formula>
    </cfRule>
    <cfRule type="cellIs" dxfId="682" priority="1366" operator="equal">
      <formula>3</formula>
    </cfRule>
  </conditionalFormatting>
  <conditionalFormatting sqref="L156">
    <cfRule type="cellIs" dxfId="681" priority="1359" operator="equal">
      <formula>"4 pt"</formula>
    </cfRule>
    <cfRule type="cellIs" dxfId="680" priority="1360" operator="equal">
      <formula>"3 pt"</formula>
    </cfRule>
    <cfRule type="cellIs" dxfId="679" priority="1361" operator="equal">
      <formula>"2 pt"</formula>
    </cfRule>
    <cfRule type="cellIs" dxfId="678" priority="1362" operator="equal">
      <formula>"1 pt"</formula>
    </cfRule>
  </conditionalFormatting>
  <conditionalFormatting sqref="M455:O455">
    <cfRule type="cellIs" dxfId="677" priority="1355" operator="equal">
      <formula>"!"</formula>
    </cfRule>
  </conditionalFormatting>
  <conditionalFormatting sqref="Z455">
    <cfRule type="cellIs" dxfId="676" priority="1354" operator="equal">
      <formula>1</formula>
    </cfRule>
  </conditionalFormatting>
  <conditionalFormatting sqref="T455 W455:Y455">
    <cfRule type="cellIs" dxfId="675" priority="1353" operator="equal">
      <formula>"!"</formula>
    </cfRule>
  </conditionalFormatting>
  <conditionalFormatting sqref="U455">
    <cfRule type="cellIs" dxfId="674" priority="1345" operator="equal">
      <formula>2</formula>
    </cfRule>
    <cfRule type="cellIs" dxfId="673" priority="1346" operator="equal">
      <formula>1</formula>
    </cfRule>
  </conditionalFormatting>
  <conditionalFormatting sqref="I455">
    <cfRule type="cellIs" dxfId="672" priority="1337" operator="equal">
      <formula>100</formula>
    </cfRule>
    <cfRule type="cellIs" dxfId="671" priority="1338" operator="equal">
      <formula>50</formula>
    </cfRule>
    <cfRule type="cellIs" dxfId="670" priority="1339" operator="equal">
      <formula>20</formula>
    </cfRule>
    <cfRule type="cellIs" dxfId="669" priority="1340" operator="equal">
      <formula>6</formula>
    </cfRule>
  </conditionalFormatting>
  <conditionalFormatting sqref="J455:K455">
    <cfRule type="cellIs" dxfId="668" priority="1333" operator="equal">
      <formula>50</formula>
    </cfRule>
    <cfRule type="cellIs" dxfId="667" priority="1334" operator="equal">
      <formula>20</formula>
    </cfRule>
    <cfRule type="cellIs" dxfId="666" priority="1335" operator="equal">
      <formula>6</formula>
    </cfRule>
    <cfRule type="cellIs" dxfId="665" priority="1336" operator="equal">
      <formula>3</formula>
    </cfRule>
  </conditionalFormatting>
  <conditionalFormatting sqref="L455">
    <cfRule type="cellIs" dxfId="664" priority="1329" operator="equal">
      <formula>"4 pt"</formula>
    </cfRule>
    <cfRule type="cellIs" dxfId="663" priority="1330" operator="equal">
      <formula>"3 pt"</formula>
    </cfRule>
    <cfRule type="cellIs" dxfId="662" priority="1331" operator="equal">
      <formula>"2 pt"</formula>
    </cfRule>
    <cfRule type="cellIs" dxfId="661" priority="1332" operator="equal">
      <formula>"1 pt"</formula>
    </cfRule>
  </conditionalFormatting>
  <conditionalFormatting sqref="M239:O239">
    <cfRule type="cellIs" dxfId="660" priority="1325" operator="equal">
      <formula>"!"</formula>
    </cfRule>
  </conditionalFormatting>
  <conditionalFormatting sqref="Z239">
    <cfRule type="cellIs" dxfId="659" priority="1324" operator="equal">
      <formula>1</formula>
    </cfRule>
  </conditionalFormatting>
  <conditionalFormatting sqref="T239 W239:Y239">
    <cfRule type="cellIs" dxfId="658" priority="1323" operator="equal">
      <formula>"!"</formula>
    </cfRule>
  </conditionalFormatting>
  <conditionalFormatting sqref="U239">
    <cfRule type="cellIs" dxfId="657" priority="1315" operator="equal">
      <formula>2</formula>
    </cfRule>
    <cfRule type="cellIs" dxfId="656" priority="1316" operator="equal">
      <formula>1</formula>
    </cfRule>
  </conditionalFormatting>
  <conditionalFormatting sqref="M239:O239">
    <cfRule type="cellIs" dxfId="655" priority="1307" operator="equal">
      <formula>"!"</formula>
    </cfRule>
  </conditionalFormatting>
  <conditionalFormatting sqref="Z239">
    <cfRule type="cellIs" dxfId="654" priority="1306" operator="equal">
      <formula>1</formula>
    </cfRule>
  </conditionalFormatting>
  <conditionalFormatting sqref="T239 W239:Y239">
    <cfRule type="cellIs" dxfId="653" priority="1305" operator="equal">
      <formula>"!"</formula>
    </cfRule>
  </conditionalFormatting>
  <conditionalFormatting sqref="U239">
    <cfRule type="cellIs" dxfId="652" priority="1297" operator="equal">
      <formula>2</formula>
    </cfRule>
    <cfRule type="cellIs" dxfId="651" priority="1298" operator="equal">
      <formula>1</formula>
    </cfRule>
  </conditionalFormatting>
  <conditionalFormatting sqref="I239">
    <cfRule type="cellIs" dxfId="650" priority="1289" operator="equal">
      <formula>100</formula>
    </cfRule>
    <cfRule type="cellIs" dxfId="649" priority="1290" operator="equal">
      <formula>50</formula>
    </cfRule>
    <cfRule type="cellIs" dxfId="648" priority="1291" operator="equal">
      <formula>20</formula>
    </cfRule>
    <cfRule type="cellIs" dxfId="647" priority="1292" operator="equal">
      <formula>6</formula>
    </cfRule>
  </conditionalFormatting>
  <conditionalFormatting sqref="J239:K239">
    <cfRule type="cellIs" dxfId="646" priority="1285" operator="equal">
      <formula>50</formula>
    </cfRule>
    <cfRule type="cellIs" dxfId="645" priority="1286" operator="equal">
      <formula>20</formula>
    </cfRule>
    <cfRule type="cellIs" dxfId="644" priority="1287" operator="equal">
      <formula>6</formula>
    </cfRule>
    <cfRule type="cellIs" dxfId="643" priority="1288" operator="equal">
      <formula>3</formula>
    </cfRule>
  </conditionalFormatting>
  <conditionalFormatting sqref="L239">
    <cfRule type="cellIs" dxfId="642" priority="1281" operator="equal">
      <formula>"4 pt"</formula>
    </cfRule>
    <cfRule type="cellIs" dxfId="641" priority="1282" operator="equal">
      <formula>"3 pt"</formula>
    </cfRule>
    <cfRule type="cellIs" dxfId="640" priority="1283" operator="equal">
      <formula>"2 pt"</formula>
    </cfRule>
    <cfRule type="cellIs" dxfId="639" priority="1284" operator="equal">
      <formula>"1 pt"</formula>
    </cfRule>
  </conditionalFormatting>
  <conditionalFormatting sqref="M177:O177">
    <cfRule type="cellIs" dxfId="638" priority="1277" operator="equal">
      <formula>"!"</formula>
    </cfRule>
  </conditionalFormatting>
  <conditionalFormatting sqref="Z177">
    <cfRule type="cellIs" dxfId="637" priority="1276" operator="equal">
      <formula>1</formula>
    </cfRule>
  </conditionalFormatting>
  <conditionalFormatting sqref="T177 W177:Y177">
    <cfRule type="cellIs" dxfId="636" priority="1275" operator="equal">
      <formula>"!"</formula>
    </cfRule>
  </conditionalFormatting>
  <conditionalFormatting sqref="U177">
    <cfRule type="cellIs" dxfId="635" priority="1267" operator="equal">
      <formula>2</formula>
    </cfRule>
    <cfRule type="cellIs" dxfId="634" priority="1268" operator="equal">
      <formula>1</formula>
    </cfRule>
  </conditionalFormatting>
  <conditionalFormatting sqref="M177:O177">
    <cfRule type="cellIs" dxfId="633" priority="1259" operator="equal">
      <formula>"!"</formula>
    </cfRule>
  </conditionalFormatting>
  <conditionalFormatting sqref="Z177">
    <cfRule type="cellIs" dxfId="632" priority="1258" operator="equal">
      <formula>1</formula>
    </cfRule>
  </conditionalFormatting>
  <conditionalFormatting sqref="T177 W177:Y177">
    <cfRule type="cellIs" dxfId="631" priority="1257" operator="equal">
      <formula>"!"</formula>
    </cfRule>
  </conditionalFormatting>
  <conditionalFormatting sqref="U177">
    <cfRule type="cellIs" dxfId="630" priority="1249" operator="equal">
      <formula>2</formula>
    </cfRule>
    <cfRule type="cellIs" dxfId="629" priority="1250" operator="equal">
      <formula>1</formula>
    </cfRule>
  </conditionalFormatting>
  <conditionalFormatting sqref="I177">
    <cfRule type="cellIs" dxfId="628" priority="1241" operator="equal">
      <formula>100</formula>
    </cfRule>
    <cfRule type="cellIs" dxfId="627" priority="1242" operator="equal">
      <formula>50</formula>
    </cfRule>
    <cfRule type="cellIs" dxfId="626" priority="1243" operator="equal">
      <formula>20</formula>
    </cfRule>
    <cfRule type="cellIs" dxfId="625" priority="1244" operator="equal">
      <formula>6</formula>
    </cfRule>
  </conditionalFormatting>
  <conditionalFormatting sqref="J177:K177">
    <cfRule type="cellIs" dxfId="624" priority="1237" operator="equal">
      <formula>50</formula>
    </cfRule>
    <cfRule type="cellIs" dxfId="623" priority="1238" operator="equal">
      <formula>20</formula>
    </cfRule>
    <cfRule type="cellIs" dxfId="622" priority="1239" operator="equal">
      <formula>6</formula>
    </cfRule>
    <cfRule type="cellIs" dxfId="621" priority="1240" operator="equal">
      <formula>3</formula>
    </cfRule>
  </conditionalFormatting>
  <conditionalFormatting sqref="L177">
    <cfRule type="cellIs" dxfId="620" priority="1233" operator="equal">
      <formula>"4 pt"</formula>
    </cfRule>
    <cfRule type="cellIs" dxfId="619" priority="1234" operator="equal">
      <formula>"3 pt"</formula>
    </cfRule>
    <cfRule type="cellIs" dxfId="618" priority="1235" operator="equal">
      <formula>"2 pt"</formula>
    </cfRule>
    <cfRule type="cellIs" dxfId="617" priority="1236" operator="equal">
      <formula>"1 pt"</formula>
    </cfRule>
  </conditionalFormatting>
  <conditionalFormatting sqref="M115:O115">
    <cfRule type="cellIs" dxfId="616" priority="1229" operator="equal">
      <formula>"!"</formula>
    </cfRule>
  </conditionalFormatting>
  <conditionalFormatting sqref="Z115">
    <cfRule type="cellIs" dxfId="615" priority="1228" operator="equal">
      <formula>1</formula>
    </cfRule>
  </conditionalFormatting>
  <conditionalFormatting sqref="T115 W115:Y115">
    <cfRule type="cellIs" dxfId="614" priority="1227" operator="equal">
      <formula>"!"</formula>
    </cfRule>
  </conditionalFormatting>
  <conditionalFormatting sqref="U115">
    <cfRule type="cellIs" dxfId="613" priority="1219" operator="equal">
      <formula>2</formula>
    </cfRule>
    <cfRule type="cellIs" dxfId="612" priority="1220" operator="equal">
      <formula>1</formula>
    </cfRule>
  </conditionalFormatting>
  <conditionalFormatting sqref="I115">
    <cfRule type="cellIs" dxfId="611" priority="1211" operator="equal">
      <formula>100</formula>
    </cfRule>
    <cfRule type="cellIs" dxfId="610" priority="1212" operator="equal">
      <formula>50</formula>
    </cfRule>
    <cfRule type="cellIs" dxfId="609" priority="1213" operator="equal">
      <formula>20</formula>
    </cfRule>
    <cfRule type="cellIs" dxfId="608" priority="1214" operator="equal">
      <formula>6</formula>
    </cfRule>
  </conditionalFormatting>
  <conditionalFormatting sqref="J115:K115">
    <cfRule type="cellIs" dxfId="607" priority="1207" operator="equal">
      <formula>50</formula>
    </cfRule>
    <cfRule type="cellIs" dxfId="606" priority="1208" operator="equal">
      <formula>20</formula>
    </cfRule>
    <cfRule type="cellIs" dxfId="605" priority="1209" operator="equal">
      <formula>6</formula>
    </cfRule>
    <cfRule type="cellIs" dxfId="604" priority="1210" operator="equal">
      <formula>3</formula>
    </cfRule>
  </conditionalFormatting>
  <conditionalFormatting sqref="L115">
    <cfRule type="cellIs" dxfId="603" priority="1203" operator="equal">
      <formula>"4 pt"</formula>
    </cfRule>
    <cfRule type="cellIs" dxfId="602" priority="1204" operator="equal">
      <formula>"3 pt"</formula>
    </cfRule>
    <cfRule type="cellIs" dxfId="601" priority="1205" operator="equal">
      <formula>"2 pt"</formula>
    </cfRule>
    <cfRule type="cellIs" dxfId="600" priority="1206" operator="equal">
      <formula>"1 pt"</formula>
    </cfRule>
  </conditionalFormatting>
  <conditionalFormatting sqref="M111:O111">
    <cfRule type="cellIs" dxfId="599" priority="1199" operator="equal">
      <formula>"!"</formula>
    </cfRule>
  </conditionalFormatting>
  <conditionalFormatting sqref="Z111">
    <cfRule type="cellIs" dxfId="598" priority="1198" operator="equal">
      <formula>1</formula>
    </cfRule>
  </conditionalFormatting>
  <conditionalFormatting sqref="T111 W111:Y111">
    <cfRule type="cellIs" dxfId="597" priority="1197" operator="equal">
      <formula>"!"</formula>
    </cfRule>
  </conditionalFormatting>
  <conditionalFormatting sqref="U111">
    <cfRule type="cellIs" dxfId="596" priority="1189" operator="equal">
      <formula>2</formula>
    </cfRule>
    <cfRule type="cellIs" dxfId="595" priority="1190" operator="equal">
      <formula>1</formula>
    </cfRule>
  </conditionalFormatting>
  <conditionalFormatting sqref="I111">
    <cfRule type="cellIs" dxfId="594" priority="1181" operator="equal">
      <formula>100</formula>
    </cfRule>
    <cfRule type="cellIs" dxfId="593" priority="1182" operator="equal">
      <formula>50</formula>
    </cfRule>
    <cfRule type="cellIs" dxfId="592" priority="1183" operator="equal">
      <formula>20</formula>
    </cfRule>
    <cfRule type="cellIs" dxfId="591" priority="1184" operator="equal">
      <formula>6</formula>
    </cfRule>
  </conditionalFormatting>
  <conditionalFormatting sqref="J111:K111">
    <cfRule type="cellIs" dxfId="590" priority="1177" operator="equal">
      <formula>50</formula>
    </cfRule>
    <cfRule type="cellIs" dxfId="589" priority="1178" operator="equal">
      <formula>20</formula>
    </cfRule>
    <cfRule type="cellIs" dxfId="588" priority="1179" operator="equal">
      <formula>6</formula>
    </cfRule>
    <cfRule type="cellIs" dxfId="587" priority="1180" operator="equal">
      <formula>3</formula>
    </cfRule>
  </conditionalFormatting>
  <conditionalFormatting sqref="L111">
    <cfRule type="cellIs" dxfId="586" priority="1173" operator="equal">
      <formula>"4 pt"</formula>
    </cfRule>
    <cfRule type="cellIs" dxfId="585" priority="1174" operator="equal">
      <formula>"3 pt"</formula>
    </cfRule>
    <cfRule type="cellIs" dxfId="584" priority="1175" operator="equal">
      <formula>"2 pt"</formula>
    </cfRule>
    <cfRule type="cellIs" dxfId="583" priority="1176" operator="equal">
      <formula>"1 pt"</formula>
    </cfRule>
  </conditionalFormatting>
  <conditionalFormatting sqref="M365:O365">
    <cfRule type="cellIs" dxfId="582" priority="1142" operator="equal">
      <formula>"!"</formula>
    </cfRule>
  </conditionalFormatting>
  <conditionalFormatting sqref="T365 W365:Y365">
    <cfRule type="cellIs" dxfId="581" priority="1141" operator="equal">
      <formula>"!"</formula>
    </cfRule>
  </conditionalFormatting>
  <conditionalFormatting sqref="U365">
    <cfRule type="cellIs" dxfId="580" priority="1139" operator="equal">
      <formula>2</formula>
    </cfRule>
    <cfRule type="cellIs" dxfId="579" priority="1140" operator="equal">
      <formula>1</formula>
    </cfRule>
  </conditionalFormatting>
  <conditionalFormatting sqref="Z365">
    <cfRule type="cellIs" dxfId="578" priority="1135" operator="equal">
      <formula>1</formula>
    </cfRule>
  </conditionalFormatting>
  <conditionalFormatting sqref="I365">
    <cfRule type="cellIs" dxfId="577" priority="1131" operator="equal">
      <formula>100</formula>
    </cfRule>
    <cfRule type="cellIs" dxfId="576" priority="1132" operator="equal">
      <formula>50</formula>
    </cfRule>
    <cfRule type="cellIs" dxfId="575" priority="1133" operator="equal">
      <formula>20</formula>
    </cfRule>
    <cfRule type="cellIs" dxfId="574" priority="1134" operator="equal">
      <formula>6</formula>
    </cfRule>
  </conditionalFormatting>
  <conditionalFormatting sqref="J365:K365">
    <cfRule type="cellIs" dxfId="573" priority="1127" operator="equal">
      <formula>50</formula>
    </cfRule>
    <cfRule type="cellIs" dxfId="572" priority="1128" operator="equal">
      <formula>20</formula>
    </cfRule>
    <cfRule type="cellIs" dxfId="571" priority="1129" operator="equal">
      <formula>6</formula>
    </cfRule>
    <cfRule type="cellIs" dxfId="570" priority="1130" operator="equal">
      <formula>3</formula>
    </cfRule>
  </conditionalFormatting>
  <conditionalFormatting sqref="L365">
    <cfRule type="cellIs" dxfId="569" priority="1123" operator="equal">
      <formula>"4 pt"</formula>
    </cfRule>
    <cfRule type="cellIs" dxfId="568" priority="1124" operator="equal">
      <formula>"3 pt"</formula>
    </cfRule>
    <cfRule type="cellIs" dxfId="567" priority="1125" operator="equal">
      <formula>"2 pt"</formula>
    </cfRule>
    <cfRule type="cellIs" dxfId="566" priority="1126" operator="equal">
      <formula>"1 pt"</formula>
    </cfRule>
  </conditionalFormatting>
  <conditionalFormatting sqref="M66:O67">
    <cfRule type="cellIs" dxfId="565" priority="1119" operator="equal">
      <formula>"!"</formula>
    </cfRule>
  </conditionalFormatting>
  <conditionalFormatting sqref="Z67">
    <cfRule type="cellIs" dxfId="564" priority="1118" operator="equal">
      <formula>1</formula>
    </cfRule>
  </conditionalFormatting>
  <conditionalFormatting sqref="T66:T67 W66:Y67">
    <cfRule type="cellIs" dxfId="563" priority="1117" operator="equal">
      <formula>"!"</formula>
    </cfRule>
  </conditionalFormatting>
  <conditionalFormatting sqref="Z66">
    <cfRule type="cellIs" dxfId="562" priority="1107" operator="equal">
      <formula>1</formula>
    </cfRule>
  </conditionalFormatting>
  <conditionalFormatting sqref="U66:U67">
    <cfRule type="cellIs" dxfId="561" priority="1099" operator="equal">
      <formula>2</formula>
    </cfRule>
    <cfRule type="cellIs" dxfId="560" priority="1100" operator="equal">
      <formula>1</formula>
    </cfRule>
  </conditionalFormatting>
  <conditionalFormatting sqref="I66:I67">
    <cfRule type="cellIs" dxfId="559" priority="1091" operator="equal">
      <formula>100</formula>
    </cfRule>
    <cfRule type="cellIs" dxfId="558" priority="1092" operator="equal">
      <formula>50</formula>
    </cfRule>
    <cfRule type="cellIs" dxfId="557" priority="1093" operator="equal">
      <formula>20</formula>
    </cfRule>
    <cfRule type="cellIs" dxfId="556" priority="1094" operator="equal">
      <formula>6</formula>
    </cfRule>
  </conditionalFormatting>
  <conditionalFormatting sqref="J66:K67">
    <cfRule type="cellIs" dxfId="555" priority="1087" operator="equal">
      <formula>50</formula>
    </cfRule>
    <cfRule type="cellIs" dxfId="554" priority="1088" operator="equal">
      <formula>20</formula>
    </cfRule>
    <cfRule type="cellIs" dxfId="553" priority="1089" operator="equal">
      <formula>6</formula>
    </cfRule>
    <cfRule type="cellIs" dxfId="552" priority="1090" operator="equal">
      <formula>3</formula>
    </cfRule>
  </conditionalFormatting>
  <conditionalFormatting sqref="L66:L67">
    <cfRule type="cellIs" dxfId="551" priority="1083" operator="equal">
      <formula>"4 pt"</formula>
    </cfRule>
    <cfRule type="cellIs" dxfId="550" priority="1084" operator="equal">
      <formula>"3 pt"</formula>
    </cfRule>
    <cfRule type="cellIs" dxfId="549" priority="1085" operator="equal">
      <formula>"2 pt"</formula>
    </cfRule>
    <cfRule type="cellIs" dxfId="548" priority="1086" operator="equal">
      <formula>"1 pt"</formula>
    </cfRule>
  </conditionalFormatting>
  <conditionalFormatting sqref="M340:O341">
    <cfRule type="cellIs" dxfId="547" priority="1079" operator="equal">
      <formula>"!"</formula>
    </cfRule>
  </conditionalFormatting>
  <conditionalFormatting sqref="Z341">
    <cfRule type="cellIs" dxfId="546" priority="1078" operator="equal">
      <formula>1</formula>
    </cfRule>
  </conditionalFormatting>
  <conditionalFormatting sqref="T340:T341 W340:Y341">
    <cfRule type="cellIs" dxfId="545" priority="1077" operator="equal">
      <formula>"!"</formula>
    </cfRule>
  </conditionalFormatting>
  <conditionalFormatting sqref="Z340">
    <cfRule type="cellIs" dxfId="544" priority="1067" operator="equal">
      <formula>1</formula>
    </cfRule>
  </conditionalFormatting>
  <conditionalFormatting sqref="U340:U341">
    <cfRule type="cellIs" dxfId="543" priority="1059" operator="equal">
      <formula>2</formula>
    </cfRule>
    <cfRule type="cellIs" dxfId="542" priority="1060" operator="equal">
      <formula>1</formula>
    </cfRule>
  </conditionalFormatting>
  <conditionalFormatting sqref="I340:I341">
    <cfRule type="cellIs" dxfId="541" priority="1051" operator="equal">
      <formula>100</formula>
    </cfRule>
    <cfRule type="cellIs" dxfId="540" priority="1052" operator="equal">
      <formula>50</formula>
    </cfRule>
    <cfRule type="cellIs" dxfId="539" priority="1053" operator="equal">
      <formula>20</formula>
    </cfRule>
    <cfRule type="cellIs" dxfId="538" priority="1054" operator="equal">
      <formula>6</formula>
    </cfRule>
  </conditionalFormatting>
  <conditionalFormatting sqref="J340:K341">
    <cfRule type="cellIs" dxfId="537" priority="1047" operator="equal">
      <formula>50</formula>
    </cfRule>
    <cfRule type="cellIs" dxfId="536" priority="1048" operator="equal">
      <formula>20</formula>
    </cfRule>
    <cfRule type="cellIs" dxfId="535" priority="1049" operator="equal">
      <formula>6</formula>
    </cfRule>
    <cfRule type="cellIs" dxfId="534" priority="1050" operator="equal">
      <formula>3</formula>
    </cfRule>
  </conditionalFormatting>
  <conditionalFormatting sqref="L340:L341">
    <cfRule type="cellIs" dxfId="533" priority="1043" operator="equal">
      <formula>"4 pt"</formula>
    </cfRule>
    <cfRule type="cellIs" dxfId="532" priority="1044" operator="equal">
      <formula>"3 pt"</formula>
    </cfRule>
    <cfRule type="cellIs" dxfId="531" priority="1045" operator="equal">
      <formula>"2 pt"</formula>
    </cfRule>
    <cfRule type="cellIs" dxfId="530" priority="1046" operator="equal">
      <formula>"1 pt"</formula>
    </cfRule>
  </conditionalFormatting>
  <conditionalFormatting sqref="M145:O145">
    <cfRule type="cellIs" dxfId="529" priority="1039" operator="equal">
      <formula>"!"</formula>
    </cfRule>
  </conditionalFormatting>
  <conditionalFormatting sqref="Z145">
    <cfRule type="cellIs" dxfId="528" priority="1038" operator="equal">
      <formula>1</formula>
    </cfRule>
  </conditionalFormatting>
  <conditionalFormatting sqref="T145 W145:Y145">
    <cfRule type="cellIs" dxfId="527" priority="1037" operator="equal">
      <formula>"!"</formula>
    </cfRule>
  </conditionalFormatting>
  <conditionalFormatting sqref="U145">
    <cfRule type="cellIs" dxfId="526" priority="1029" operator="equal">
      <formula>2</formula>
    </cfRule>
    <cfRule type="cellIs" dxfId="525" priority="1030" operator="equal">
      <formula>1</formula>
    </cfRule>
  </conditionalFormatting>
  <conditionalFormatting sqref="I145">
    <cfRule type="cellIs" dxfId="524" priority="1021" operator="equal">
      <formula>100</formula>
    </cfRule>
    <cfRule type="cellIs" dxfId="523" priority="1022" operator="equal">
      <formula>50</formula>
    </cfRule>
    <cfRule type="cellIs" dxfId="522" priority="1023" operator="equal">
      <formula>20</formula>
    </cfRule>
    <cfRule type="cellIs" dxfId="521" priority="1024" operator="equal">
      <formula>6</formula>
    </cfRule>
  </conditionalFormatting>
  <conditionalFormatting sqref="J145:K145">
    <cfRule type="cellIs" dxfId="520" priority="1017" operator="equal">
      <formula>50</formula>
    </cfRule>
    <cfRule type="cellIs" dxfId="519" priority="1018" operator="equal">
      <formula>20</formula>
    </cfRule>
    <cfRule type="cellIs" dxfId="518" priority="1019" operator="equal">
      <formula>6</formula>
    </cfRule>
    <cfRule type="cellIs" dxfId="517" priority="1020" operator="equal">
      <formula>3</formula>
    </cfRule>
  </conditionalFormatting>
  <conditionalFormatting sqref="L145">
    <cfRule type="cellIs" dxfId="516" priority="1013" operator="equal">
      <formula>"4 pt"</formula>
    </cfRule>
    <cfRule type="cellIs" dxfId="515" priority="1014" operator="equal">
      <formula>"3 pt"</formula>
    </cfRule>
    <cfRule type="cellIs" dxfId="514" priority="1015" operator="equal">
      <formula>"2 pt"</formula>
    </cfRule>
    <cfRule type="cellIs" dxfId="513" priority="1016" operator="equal">
      <formula>"1 pt"</formula>
    </cfRule>
  </conditionalFormatting>
  <conditionalFormatting sqref="M96 O96">
    <cfRule type="cellIs" dxfId="512" priority="979" operator="equal">
      <formula>"!"</formula>
    </cfRule>
  </conditionalFormatting>
  <conditionalFormatting sqref="Z96">
    <cfRule type="cellIs" dxfId="511" priority="978" operator="equal">
      <formula>1</formula>
    </cfRule>
  </conditionalFormatting>
  <conditionalFormatting sqref="T96 W96:Y96">
    <cfRule type="cellIs" dxfId="510" priority="977" operator="equal">
      <formula>"!"</formula>
    </cfRule>
  </conditionalFormatting>
  <conditionalFormatting sqref="U96">
    <cfRule type="cellIs" dxfId="509" priority="969" operator="equal">
      <formula>2</formula>
    </cfRule>
    <cfRule type="cellIs" dxfId="508" priority="970" operator="equal">
      <formula>1</formula>
    </cfRule>
  </conditionalFormatting>
  <conditionalFormatting sqref="I96">
    <cfRule type="cellIs" dxfId="507" priority="961" operator="equal">
      <formula>100</formula>
    </cfRule>
    <cfRule type="cellIs" dxfId="506" priority="962" operator="equal">
      <formula>50</formula>
    </cfRule>
    <cfRule type="cellIs" dxfId="505" priority="963" operator="equal">
      <formula>20</formula>
    </cfRule>
    <cfRule type="cellIs" dxfId="504" priority="964" operator="equal">
      <formula>6</formula>
    </cfRule>
  </conditionalFormatting>
  <conditionalFormatting sqref="J96:K96">
    <cfRule type="cellIs" dxfId="503" priority="957" operator="equal">
      <formula>50</formula>
    </cfRule>
    <cfRule type="cellIs" dxfId="502" priority="958" operator="equal">
      <formula>20</formula>
    </cfRule>
    <cfRule type="cellIs" dxfId="501" priority="959" operator="equal">
      <formula>6</formula>
    </cfRule>
    <cfRule type="cellIs" dxfId="500" priority="960" operator="equal">
      <formula>3</formula>
    </cfRule>
  </conditionalFormatting>
  <conditionalFormatting sqref="L96">
    <cfRule type="cellIs" dxfId="499" priority="953" operator="equal">
      <formula>"4 pt"</formula>
    </cfRule>
    <cfRule type="cellIs" dxfId="498" priority="954" operator="equal">
      <formula>"3 pt"</formula>
    </cfRule>
    <cfRule type="cellIs" dxfId="497" priority="955" operator="equal">
      <formula>"2 pt"</formula>
    </cfRule>
    <cfRule type="cellIs" dxfId="496" priority="956" operator="equal">
      <formula>"1 pt"</formula>
    </cfRule>
  </conditionalFormatting>
  <conditionalFormatting sqref="M399:O400">
    <cfRule type="cellIs" dxfId="495" priority="949" operator="equal">
      <formula>"!"</formula>
    </cfRule>
  </conditionalFormatting>
  <conditionalFormatting sqref="Z399">
    <cfRule type="cellIs" dxfId="494" priority="948" operator="equal">
      <formula>1</formula>
    </cfRule>
  </conditionalFormatting>
  <conditionalFormatting sqref="W399:Y400 T399:T400">
    <cfRule type="cellIs" dxfId="493" priority="947" operator="equal">
      <formula>"!"</formula>
    </cfRule>
  </conditionalFormatting>
  <conditionalFormatting sqref="Z400">
    <cfRule type="cellIs" dxfId="492" priority="937" operator="equal">
      <formula>1</formula>
    </cfRule>
  </conditionalFormatting>
  <conditionalFormatting sqref="U399:U400">
    <cfRule type="cellIs" dxfId="491" priority="929" operator="equal">
      <formula>2</formula>
    </cfRule>
    <cfRule type="cellIs" dxfId="490" priority="930" operator="equal">
      <formula>1</formula>
    </cfRule>
  </conditionalFormatting>
  <conditionalFormatting sqref="I399:I400">
    <cfRule type="cellIs" dxfId="489" priority="921" operator="equal">
      <formula>100</formula>
    </cfRule>
    <cfRule type="cellIs" dxfId="488" priority="922" operator="equal">
      <formula>50</formula>
    </cfRule>
    <cfRule type="cellIs" dxfId="487" priority="923" operator="equal">
      <formula>20</formula>
    </cfRule>
    <cfRule type="cellIs" dxfId="486" priority="924" operator="equal">
      <formula>6</formula>
    </cfRule>
  </conditionalFormatting>
  <conditionalFormatting sqref="J399:K400">
    <cfRule type="cellIs" dxfId="485" priority="917" operator="equal">
      <formula>50</formula>
    </cfRule>
    <cfRule type="cellIs" dxfId="484" priority="918" operator="equal">
      <formula>20</formula>
    </cfRule>
    <cfRule type="cellIs" dxfId="483" priority="919" operator="equal">
      <formula>6</formula>
    </cfRule>
    <cfRule type="cellIs" dxfId="482" priority="920" operator="equal">
      <formula>3</formula>
    </cfRule>
  </conditionalFormatting>
  <conditionalFormatting sqref="L399:L400">
    <cfRule type="cellIs" dxfId="481" priority="913" operator="equal">
      <formula>"4 pt"</formula>
    </cfRule>
    <cfRule type="cellIs" dxfId="480" priority="914" operator="equal">
      <formula>"3 pt"</formula>
    </cfRule>
    <cfRule type="cellIs" dxfId="479" priority="915" operator="equal">
      <formula>"2 pt"</formula>
    </cfRule>
    <cfRule type="cellIs" dxfId="478" priority="916" operator="equal">
      <formula>"1 pt"</formula>
    </cfRule>
  </conditionalFormatting>
  <conditionalFormatting sqref="M22:O22">
    <cfRule type="cellIs" dxfId="477" priority="909" operator="equal">
      <formula>"!"</formula>
    </cfRule>
  </conditionalFormatting>
  <conditionalFormatting sqref="Z22">
    <cfRule type="cellIs" dxfId="476" priority="908" operator="equal">
      <formula>1</formula>
    </cfRule>
  </conditionalFormatting>
  <conditionalFormatting sqref="W22:Y22 T22">
    <cfRule type="cellIs" dxfId="475" priority="907" operator="equal">
      <formula>"!"</formula>
    </cfRule>
  </conditionalFormatting>
  <conditionalFormatting sqref="U22">
    <cfRule type="cellIs" dxfId="474" priority="899" operator="equal">
      <formula>2</formula>
    </cfRule>
    <cfRule type="cellIs" dxfId="473" priority="900" operator="equal">
      <formula>1</formula>
    </cfRule>
  </conditionalFormatting>
  <conditionalFormatting sqref="I22">
    <cfRule type="cellIs" dxfId="472" priority="891" operator="equal">
      <formula>100</formula>
    </cfRule>
    <cfRule type="cellIs" dxfId="471" priority="892" operator="equal">
      <formula>50</formula>
    </cfRule>
    <cfRule type="cellIs" dxfId="470" priority="893" operator="equal">
      <formula>20</formula>
    </cfRule>
    <cfRule type="cellIs" dxfId="469" priority="894" operator="equal">
      <formula>6</formula>
    </cfRule>
  </conditionalFormatting>
  <conditionalFormatting sqref="J22:K22">
    <cfRule type="cellIs" dxfId="468" priority="887" operator="equal">
      <formula>50</formula>
    </cfRule>
    <cfRule type="cellIs" dxfId="467" priority="888" operator="equal">
      <formula>20</formula>
    </cfRule>
    <cfRule type="cellIs" dxfId="466" priority="889" operator="equal">
      <formula>6</formula>
    </cfRule>
    <cfRule type="cellIs" dxfId="465" priority="890" operator="equal">
      <formula>3</formula>
    </cfRule>
  </conditionalFormatting>
  <conditionalFormatting sqref="L22">
    <cfRule type="cellIs" dxfId="464" priority="883" operator="equal">
      <formula>"4 pt"</formula>
    </cfRule>
    <cfRule type="cellIs" dxfId="463" priority="884" operator="equal">
      <formula>"3 pt"</formula>
    </cfRule>
    <cfRule type="cellIs" dxfId="462" priority="885" operator="equal">
      <formula>"2 pt"</formula>
    </cfRule>
    <cfRule type="cellIs" dxfId="461" priority="886" operator="equal">
      <formula>"1 pt"</formula>
    </cfRule>
  </conditionalFormatting>
  <conditionalFormatting sqref="M9:O9">
    <cfRule type="cellIs" dxfId="460" priority="549" operator="equal">
      <formula>"!"</formula>
    </cfRule>
  </conditionalFormatting>
  <conditionalFormatting sqref="Z9">
    <cfRule type="cellIs" dxfId="459" priority="548" operator="equal">
      <formula>1</formula>
    </cfRule>
  </conditionalFormatting>
  <conditionalFormatting sqref="T9 W9:Y9">
    <cfRule type="cellIs" dxfId="458" priority="547" operator="equal">
      <formula>"!"</formula>
    </cfRule>
  </conditionalFormatting>
  <conditionalFormatting sqref="U9">
    <cfRule type="cellIs" dxfId="457" priority="542" operator="equal">
      <formula>2</formula>
    </cfRule>
    <cfRule type="cellIs" dxfId="456" priority="543" operator="equal">
      <formula>1</formula>
    </cfRule>
  </conditionalFormatting>
  <conditionalFormatting sqref="I9">
    <cfRule type="cellIs" dxfId="455" priority="538" operator="equal">
      <formula>100</formula>
    </cfRule>
    <cfRule type="cellIs" dxfId="454" priority="539" operator="equal">
      <formula>50</formula>
    </cfRule>
    <cfRule type="cellIs" dxfId="453" priority="540" operator="equal">
      <formula>20</formula>
    </cfRule>
    <cfRule type="cellIs" dxfId="452" priority="541" operator="equal">
      <formula>6</formula>
    </cfRule>
  </conditionalFormatting>
  <conditionalFormatting sqref="J9:K9">
    <cfRule type="cellIs" dxfId="451" priority="534" operator="equal">
      <formula>50</formula>
    </cfRule>
    <cfRule type="cellIs" dxfId="450" priority="535" operator="equal">
      <formula>20</formula>
    </cfRule>
    <cfRule type="cellIs" dxfId="449" priority="536" operator="equal">
      <formula>6</formula>
    </cfRule>
    <cfRule type="cellIs" dxfId="448" priority="537" operator="equal">
      <formula>3</formula>
    </cfRule>
  </conditionalFormatting>
  <conditionalFormatting sqref="L9">
    <cfRule type="cellIs" dxfId="447" priority="530" operator="equal">
      <formula>"4 pt"</formula>
    </cfRule>
    <cfRule type="cellIs" dxfId="446" priority="531" operator="equal">
      <formula>"3 pt"</formula>
    </cfRule>
    <cfRule type="cellIs" dxfId="445" priority="532" operator="equal">
      <formula>"2 pt"</formula>
    </cfRule>
    <cfRule type="cellIs" dxfId="444" priority="533" operator="equal">
      <formula>"1 pt"</formula>
    </cfRule>
  </conditionalFormatting>
  <conditionalFormatting sqref="M207:O207">
    <cfRule type="cellIs" dxfId="443" priority="523" operator="equal">
      <formula>"!"</formula>
    </cfRule>
  </conditionalFormatting>
  <conditionalFormatting sqref="Z207">
    <cfRule type="cellIs" dxfId="442" priority="522" operator="equal">
      <formula>1</formula>
    </cfRule>
  </conditionalFormatting>
  <conditionalFormatting sqref="W207:Y207 T207">
    <cfRule type="cellIs" dxfId="441" priority="521" operator="equal">
      <formula>"!"</formula>
    </cfRule>
  </conditionalFormatting>
  <conditionalFormatting sqref="U207">
    <cfRule type="cellIs" dxfId="440" priority="516" operator="equal">
      <formula>2</formula>
    </cfRule>
    <cfRule type="cellIs" dxfId="439" priority="517" operator="equal">
      <formula>1</formula>
    </cfRule>
  </conditionalFormatting>
  <conditionalFormatting sqref="I207">
    <cfRule type="cellIs" dxfId="438" priority="512" operator="equal">
      <formula>100</formula>
    </cfRule>
    <cfRule type="cellIs" dxfId="437" priority="513" operator="equal">
      <formula>50</formula>
    </cfRule>
    <cfRule type="cellIs" dxfId="436" priority="514" operator="equal">
      <formula>20</formula>
    </cfRule>
    <cfRule type="cellIs" dxfId="435" priority="515" operator="equal">
      <formula>6</formula>
    </cfRule>
  </conditionalFormatting>
  <conditionalFormatting sqref="J207:K207">
    <cfRule type="cellIs" dxfId="434" priority="508" operator="equal">
      <formula>50</formula>
    </cfRule>
    <cfRule type="cellIs" dxfId="433" priority="509" operator="equal">
      <formula>20</formula>
    </cfRule>
    <cfRule type="cellIs" dxfId="432" priority="510" operator="equal">
      <formula>6</formula>
    </cfRule>
    <cfRule type="cellIs" dxfId="431" priority="511" operator="equal">
      <formula>3</formula>
    </cfRule>
  </conditionalFormatting>
  <conditionalFormatting sqref="L207">
    <cfRule type="cellIs" dxfId="430" priority="504" operator="equal">
      <formula>"4 pt"</formula>
    </cfRule>
    <cfRule type="cellIs" dxfId="429" priority="505" operator="equal">
      <formula>"3 pt"</formula>
    </cfRule>
    <cfRule type="cellIs" dxfId="428" priority="506" operator="equal">
      <formula>"2 pt"</formula>
    </cfRule>
    <cfRule type="cellIs" dxfId="427" priority="507" operator="equal">
      <formula>"1 pt"</formula>
    </cfRule>
  </conditionalFormatting>
  <conditionalFormatting sqref="M320:O320">
    <cfRule type="cellIs" dxfId="426" priority="497" operator="equal">
      <formula>"!"</formula>
    </cfRule>
  </conditionalFormatting>
  <conditionalFormatting sqref="Z320">
    <cfRule type="cellIs" dxfId="425" priority="496" operator="equal">
      <formula>1</formula>
    </cfRule>
  </conditionalFormatting>
  <conditionalFormatting sqref="T320 W320:Y320">
    <cfRule type="cellIs" dxfId="424" priority="495" operator="equal">
      <formula>"!"</formula>
    </cfRule>
  </conditionalFormatting>
  <conditionalFormatting sqref="U320">
    <cfRule type="cellIs" dxfId="423" priority="490" operator="equal">
      <formula>2</formula>
    </cfRule>
    <cfRule type="cellIs" dxfId="422" priority="491" operator="equal">
      <formula>1</formula>
    </cfRule>
  </conditionalFormatting>
  <conditionalFormatting sqref="I320">
    <cfRule type="cellIs" dxfId="421" priority="486" operator="equal">
      <formula>100</formula>
    </cfRule>
    <cfRule type="cellIs" dxfId="420" priority="487" operator="equal">
      <formula>50</formula>
    </cfRule>
    <cfRule type="cellIs" dxfId="419" priority="488" operator="equal">
      <formula>20</formula>
    </cfRule>
    <cfRule type="cellIs" dxfId="418" priority="489" operator="equal">
      <formula>6</formula>
    </cfRule>
  </conditionalFormatting>
  <conditionalFormatting sqref="J320:K320">
    <cfRule type="cellIs" dxfId="417" priority="482" operator="equal">
      <formula>50</formula>
    </cfRule>
    <cfRule type="cellIs" dxfId="416" priority="483" operator="equal">
      <formula>20</formula>
    </cfRule>
    <cfRule type="cellIs" dxfId="415" priority="484" operator="equal">
      <formula>6</formula>
    </cfRule>
    <cfRule type="cellIs" dxfId="414" priority="485" operator="equal">
      <formula>3</formula>
    </cfRule>
  </conditionalFormatting>
  <conditionalFormatting sqref="L320">
    <cfRule type="cellIs" dxfId="413" priority="478" operator="equal">
      <formula>"4 pt"</formula>
    </cfRule>
    <cfRule type="cellIs" dxfId="412" priority="479" operator="equal">
      <formula>"3 pt"</formula>
    </cfRule>
    <cfRule type="cellIs" dxfId="411" priority="480" operator="equal">
      <formula>"2 pt"</formula>
    </cfRule>
    <cfRule type="cellIs" dxfId="410" priority="481" operator="equal">
      <formula>"1 pt"</formula>
    </cfRule>
  </conditionalFormatting>
  <conditionalFormatting sqref="M172:O173">
    <cfRule type="cellIs" dxfId="409" priority="471" operator="equal">
      <formula>"!"</formula>
    </cfRule>
  </conditionalFormatting>
  <conditionalFormatting sqref="Z172:Z173">
    <cfRule type="cellIs" dxfId="408" priority="470" operator="equal">
      <formula>1</formula>
    </cfRule>
  </conditionalFormatting>
  <conditionalFormatting sqref="W172:Y173 T172:T173">
    <cfRule type="cellIs" dxfId="407" priority="469" operator="equal">
      <formula>"!"</formula>
    </cfRule>
  </conditionalFormatting>
  <conditionalFormatting sqref="U172:U173">
    <cfRule type="cellIs" dxfId="406" priority="464" operator="equal">
      <formula>2</formula>
    </cfRule>
    <cfRule type="cellIs" dxfId="405" priority="465" operator="equal">
      <formula>1</formula>
    </cfRule>
  </conditionalFormatting>
  <conditionalFormatting sqref="I172:I173">
    <cfRule type="cellIs" dxfId="404" priority="460" operator="equal">
      <formula>100</formula>
    </cfRule>
    <cfRule type="cellIs" dxfId="403" priority="461" operator="equal">
      <formula>50</formula>
    </cfRule>
    <cfRule type="cellIs" dxfId="402" priority="462" operator="equal">
      <formula>20</formula>
    </cfRule>
    <cfRule type="cellIs" dxfId="401" priority="463" operator="equal">
      <formula>6</formula>
    </cfRule>
  </conditionalFormatting>
  <conditionalFormatting sqref="J172:K173">
    <cfRule type="cellIs" dxfId="400" priority="456" operator="equal">
      <formula>50</formula>
    </cfRule>
    <cfRule type="cellIs" dxfId="399" priority="457" operator="equal">
      <formula>20</formula>
    </cfRule>
    <cfRule type="cellIs" dxfId="398" priority="458" operator="equal">
      <formula>6</formula>
    </cfRule>
    <cfRule type="cellIs" dxfId="397" priority="459" operator="equal">
      <formula>3</formula>
    </cfRule>
  </conditionalFormatting>
  <conditionalFormatting sqref="L172:L173">
    <cfRule type="cellIs" dxfId="396" priority="452" operator="equal">
      <formula>"4 pt"</formula>
    </cfRule>
    <cfRule type="cellIs" dxfId="395" priority="453" operator="equal">
      <formula>"3 pt"</formula>
    </cfRule>
    <cfRule type="cellIs" dxfId="394" priority="454" operator="equal">
      <formula>"2 pt"</formula>
    </cfRule>
    <cfRule type="cellIs" dxfId="393" priority="455" operator="equal">
      <formula>"1 pt"</formula>
    </cfRule>
  </conditionalFormatting>
  <conditionalFormatting sqref="M410:O410">
    <cfRule type="cellIs" dxfId="392" priority="445" operator="equal">
      <formula>"!"</formula>
    </cfRule>
  </conditionalFormatting>
  <conditionalFormatting sqref="Z410">
    <cfRule type="cellIs" dxfId="391" priority="444" operator="equal">
      <formula>1</formula>
    </cfRule>
  </conditionalFormatting>
  <conditionalFormatting sqref="T410 W410:Y410">
    <cfRule type="cellIs" dxfId="390" priority="443" operator="equal">
      <formula>"!"</formula>
    </cfRule>
  </conditionalFormatting>
  <conditionalFormatting sqref="U410">
    <cfRule type="cellIs" dxfId="389" priority="438" operator="equal">
      <formula>2</formula>
    </cfRule>
    <cfRule type="cellIs" dxfId="388" priority="439" operator="equal">
      <formula>1</formula>
    </cfRule>
  </conditionalFormatting>
  <conditionalFormatting sqref="I410">
    <cfRule type="cellIs" dxfId="387" priority="434" operator="equal">
      <formula>100</formula>
    </cfRule>
    <cfRule type="cellIs" dxfId="386" priority="435" operator="equal">
      <formula>50</formula>
    </cfRule>
    <cfRule type="cellIs" dxfId="385" priority="436" operator="equal">
      <formula>20</formula>
    </cfRule>
    <cfRule type="cellIs" dxfId="384" priority="437" operator="equal">
      <formula>6</formula>
    </cfRule>
  </conditionalFormatting>
  <conditionalFormatting sqref="J410:K410">
    <cfRule type="cellIs" dxfId="383" priority="430" operator="equal">
      <formula>50</formula>
    </cfRule>
    <cfRule type="cellIs" dxfId="382" priority="431" operator="equal">
      <formula>20</formula>
    </cfRule>
    <cfRule type="cellIs" dxfId="381" priority="432" operator="equal">
      <formula>6</formula>
    </cfRule>
    <cfRule type="cellIs" dxfId="380" priority="433" operator="equal">
      <formula>3</formula>
    </cfRule>
  </conditionalFormatting>
  <conditionalFormatting sqref="L410">
    <cfRule type="cellIs" dxfId="379" priority="426" operator="equal">
      <formula>"4 pt"</formula>
    </cfRule>
    <cfRule type="cellIs" dxfId="378" priority="427" operator="equal">
      <formula>"3 pt"</formula>
    </cfRule>
    <cfRule type="cellIs" dxfId="377" priority="428" operator="equal">
      <formula>"2 pt"</formula>
    </cfRule>
    <cfRule type="cellIs" dxfId="376" priority="429" operator="equal">
      <formula>"1 pt"</formula>
    </cfRule>
  </conditionalFormatting>
  <conditionalFormatting sqref="M466:O466">
    <cfRule type="cellIs" dxfId="375" priority="419" operator="equal">
      <formula>"!"</formula>
    </cfRule>
  </conditionalFormatting>
  <conditionalFormatting sqref="Z466">
    <cfRule type="cellIs" dxfId="374" priority="418" operator="equal">
      <formula>1</formula>
    </cfRule>
  </conditionalFormatting>
  <conditionalFormatting sqref="T466 W466:Y466">
    <cfRule type="cellIs" dxfId="373" priority="417" operator="equal">
      <formula>"!"</formula>
    </cfRule>
  </conditionalFormatting>
  <conditionalFormatting sqref="U466">
    <cfRule type="cellIs" dxfId="372" priority="412" operator="equal">
      <formula>2</formula>
    </cfRule>
    <cfRule type="cellIs" dxfId="371" priority="413" operator="equal">
      <formula>1</formula>
    </cfRule>
  </conditionalFormatting>
  <conditionalFormatting sqref="I466">
    <cfRule type="cellIs" dxfId="370" priority="408" operator="equal">
      <formula>100</formula>
    </cfRule>
    <cfRule type="cellIs" dxfId="369" priority="409" operator="equal">
      <formula>50</formula>
    </cfRule>
    <cfRule type="cellIs" dxfId="368" priority="410" operator="equal">
      <formula>20</formula>
    </cfRule>
    <cfRule type="cellIs" dxfId="367" priority="411" operator="equal">
      <formula>6</formula>
    </cfRule>
  </conditionalFormatting>
  <conditionalFormatting sqref="J466:K466">
    <cfRule type="cellIs" dxfId="366" priority="404" operator="equal">
      <formula>50</formula>
    </cfRule>
    <cfRule type="cellIs" dxfId="365" priority="405" operator="equal">
      <formula>20</formula>
    </cfRule>
    <cfRule type="cellIs" dxfId="364" priority="406" operator="equal">
      <formula>6</formula>
    </cfRule>
    <cfRule type="cellIs" dxfId="363" priority="407" operator="equal">
      <formula>3</formula>
    </cfRule>
  </conditionalFormatting>
  <conditionalFormatting sqref="L466">
    <cfRule type="cellIs" dxfId="362" priority="400" operator="equal">
      <formula>"4 pt"</formula>
    </cfRule>
    <cfRule type="cellIs" dxfId="361" priority="401" operator="equal">
      <formula>"3 pt"</formula>
    </cfRule>
    <cfRule type="cellIs" dxfId="360" priority="402" operator="equal">
      <formula>"2 pt"</formula>
    </cfRule>
    <cfRule type="cellIs" dxfId="359" priority="403" operator="equal">
      <formula>"1 pt"</formula>
    </cfRule>
  </conditionalFormatting>
  <conditionalFormatting sqref="M391:O391">
    <cfRule type="cellIs" dxfId="358" priority="390" operator="equal">
      <formula>"!"</formula>
    </cfRule>
  </conditionalFormatting>
  <conditionalFormatting sqref="Z391">
    <cfRule type="cellIs" dxfId="357" priority="389" operator="equal">
      <formula>1</formula>
    </cfRule>
  </conditionalFormatting>
  <conditionalFormatting sqref="W391:Y391 T391">
    <cfRule type="cellIs" dxfId="356" priority="388" operator="equal">
      <formula>"!"</formula>
    </cfRule>
  </conditionalFormatting>
  <conditionalFormatting sqref="U391">
    <cfRule type="cellIs" dxfId="355" priority="383" operator="equal">
      <formula>2</formula>
    </cfRule>
    <cfRule type="cellIs" dxfId="354" priority="384" operator="equal">
      <formula>1</formula>
    </cfRule>
  </conditionalFormatting>
  <conditionalFormatting sqref="I391">
    <cfRule type="cellIs" dxfId="353" priority="379" operator="equal">
      <formula>100</formula>
    </cfRule>
    <cfRule type="cellIs" dxfId="352" priority="380" operator="equal">
      <formula>50</formula>
    </cfRule>
    <cfRule type="cellIs" dxfId="351" priority="381" operator="equal">
      <formula>20</formula>
    </cfRule>
    <cfRule type="cellIs" dxfId="350" priority="382" operator="equal">
      <formula>6</formula>
    </cfRule>
  </conditionalFormatting>
  <conditionalFormatting sqref="J391:K391">
    <cfRule type="cellIs" dxfId="349" priority="375" operator="equal">
      <formula>50</formula>
    </cfRule>
    <cfRule type="cellIs" dxfId="348" priority="376" operator="equal">
      <formula>20</formula>
    </cfRule>
    <cfRule type="cellIs" dxfId="347" priority="377" operator="equal">
      <formula>6</formula>
    </cfRule>
    <cfRule type="cellIs" dxfId="346" priority="378" operator="equal">
      <formula>3</formula>
    </cfRule>
  </conditionalFormatting>
  <conditionalFormatting sqref="L391">
    <cfRule type="cellIs" dxfId="345" priority="371" operator="equal">
      <formula>"4 pt"</formula>
    </cfRule>
    <cfRule type="cellIs" dxfId="344" priority="372" operator="equal">
      <formula>"3 pt"</formula>
    </cfRule>
    <cfRule type="cellIs" dxfId="343" priority="373" operator="equal">
      <formula>"2 pt"</formula>
    </cfRule>
    <cfRule type="cellIs" dxfId="342" priority="374" operator="equal">
      <formula>"1 pt"</formula>
    </cfRule>
  </conditionalFormatting>
  <conditionalFormatting sqref="AA130:AL140 AA397:AL425 AA427:AL512 AA5:AL111 AA113:AL116 AA118:AL128 AA142:AL151 AA153:AL196 AA198:AL225 AA227:AL293 AA295:AL323 AA325:AL350 AA352:AL370 AA372:AL374 AA376:AL395">
    <cfRule type="cellIs" dxfId="341" priority="365" operator="equal">
      <formula>3</formula>
    </cfRule>
    <cfRule type="cellIs" dxfId="340" priority="366" operator="equal">
      <formula>2</formula>
    </cfRule>
    <cfRule type="cellIs" dxfId="339" priority="367" operator="equal">
      <formula>1</formula>
    </cfRule>
  </conditionalFormatting>
  <conditionalFormatting sqref="R130:S140 R397:S425 R427:S512 R5:S111 R113:S116 R118:S128 R142:S151 R153:S196 R198:S225 R227:S293 R295:S323 R325:S350 R352:S370 R372:S374 R376:S395">
    <cfRule type="cellIs" dxfId="338" priority="896" operator="greaterThan">
      <formula>1000</formula>
    </cfRule>
    <cfRule type="cellIs" dxfId="337" priority="897" operator="between">
      <formula>10</formula>
      <formula>1000</formula>
    </cfRule>
    <cfRule type="cellIs" dxfId="336" priority="898" operator="lessThan">
      <formula>10</formula>
    </cfRule>
  </conditionalFormatting>
  <conditionalFormatting sqref="M129:O129">
    <cfRule type="cellIs" dxfId="335" priority="364" operator="equal">
      <formula>"!"</formula>
    </cfRule>
  </conditionalFormatting>
  <conditionalFormatting sqref="Z129">
    <cfRule type="cellIs" dxfId="334" priority="363" operator="equal">
      <formula>1</formula>
    </cfRule>
  </conditionalFormatting>
  <conditionalFormatting sqref="W129:Y129 T129">
    <cfRule type="cellIs" dxfId="333" priority="362" operator="equal">
      <formula>"!"</formula>
    </cfRule>
  </conditionalFormatting>
  <conditionalFormatting sqref="U129">
    <cfRule type="cellIs" dxfId="332" priority="357" operator="equal">
      <formula>2</formula>
    </cfRule>
    <cfRule type="cellIs" dxfId="331" priority="358" operator="equal">
      <formula>1</formula>
    </cfRule>
  </conditionalFormatting>
  <conditionalFormatting sqref="I129">
    <cfRule type="cellIs" dxfId="330" priority="353" operator="equal">
      <formula>100</formula>
    </cfRule>
    <cfRule type="cellIs" dxfId="329" priority="354" operator="equal">
      <formula>50</formula>
    </cfRule>
    <cfRule type="cellIs" dxfId="328" priority="355" operator="equal">
      <formula>20</formula>
    </cfRule>
    <cfRule type="cellIs" dxfId="327" priority="356" operator="equal">
      <formula>6</formula>
    </cfRule>
  </conditionalFormatting>
  <conditionalFormatting sqref="J129:K129">
    <cfRule type="cellIs" dxfId="326" priority="349" operator="equal">
      <formula>50</formula>
    </cfRule>
    <cfRule type="cellIs" dxfId="325" priority="350" operator="equal">
      <formula>20</formula>
    </cfRule>
    <cfRule type="cellIs" dxfId="324" priority="351" operator="equal">
      <formula>6</formula>
    </cfRule>
    <cfRule type="cellIs" dxfId="323" priority="352" operator="equal">
      <formula>3</formula>
    </cfRule>
  </conditionalFormatting>
  <conditionalFormatting sqref="L129">
    <cfRule type="cellIs" dxfId="322" priority="345" operator="equal">
      <formula>"4 pt"</formula>
    </cfRule>
    <cfRule type="cellIs" dxfId="321" priority="346" operator="equal">
      <formula>"3 pt"</formula>
    </cfRule>
    <cfRule type="cellIs" dxfId="320" priority="347" operator="equal">
      <formula>"2 pt"</formula>
    </cfRule>
    <cfRule type="cellIs" dxfId="319" priority="348" operator="equal">
      <formula>"1 pt"</formula>
    </cfRule>
  </conditionalFormatting>
  <conditionalFormatting sqref="AA129:AL129">
    <cfRule type="cellIs" dxfId="318" priority="339" operator="equal">
      <formula>3</formula>
    </cfRule>
    <cfRule type="cellIs" dxfId="317" priority="340" operator="equal">
      <formula>2</formula>
    </cfRule>
    <cfRule type="cellIs" dxfId="316" priority="341" operator="equal">
      <formula>1</formula>
    </cfRule>
  </conditionalFormatting>
  <conditionalFormatting sqref="R129:S129">
    <cfRule type="cellIs" dxfId="315" priority="342" operator="greaterThan">
      <formula>1000</formula>
    </cfRule>
    <cfRule type="cellIs" dxfId="314" priority="343" operator="between">
      <formula>10</formula>
      <formula>1000</formula>
    </cfRule>
    <cfRule type="cellIs" dxfId="313" priority="344" operator="lessThan">
      <formula>10</formula>
    </cfRule>
  </conditionalFormatting>
  <conditionalFormatting sqref="M351:O351">
    <cfRule type="cellIs" dxfId="312" priority="338" operator="equal">
      <formula>"!"</formula>
    </cfRule>
  </conditionalFormatting>
  <conditionalFormatting sqref="Z351">
    <cfRule type="cellIs" dxfId="311" priority="337" operator="equal">
      <formula>1</formula>
    </cfRule>
  </conditionalFormatting>
  <conditionalFormatting sqref="T351 W351:Y351">
    <cfRule type="cellIs" dxfId="310" priority="336" operator="equal">
      <formula>"!"</formula>
    </cfRule>
  </conditionalFormatting>
  <conditionalFormatting sqref="U351">
    <cfRule type="cellIs" dxfId="309" priority="331" operator="equal">
      <formula>2</formula>
    </cfRule>
    <cfRule type="cellIs" dxfId="308" priority="332" operator="equal">
      <formula>1</formula>
    </cfRule>
  </conditionalFormatting>
  <conditionalFormatting sqref="I351">
    <cfRule type="cellIs" dxfId="307" priority="327" operator="equal">
      <formula>100</formula>
    </cfRule>
    <cfRule type="cellIs" dxfId="306" priority="328" operator="equal">
      <formula>50</formula>
    </cfRule>
    <cfRule type="cellIs" dxfId="305" priority="329" operator="equal">
      <formula>20</formula>
    </cfRule>
    <cfRule type="cellIs" dxfId="304" priority="330" operator="equal">
      <formula>6</formula>
    </cfRule>
  </conditionalFormatting>
  <conditionalFormatting sqref="J351:K351">
    <cfRule type="cellIs" dxfId="303" priority="323" operator="equal">
      <formula>50</formula>
    </cfRule>
    <cfRule type="cellIs" dxfId="302" priority="324" operator="equal">
      <formula>20</formula>
    </cfRule>
    <cfRule type="cellIs" dxfId="301" priority="325" operator="equal">
      <formula>6</formula>
    </cfRule>
    <cfRule type="cellIs" dxfId="300" priority="326" operator="equal">
      <formula>3</formula>
    </cfRule>
  </conditionalFormatting>
  <conditionalFormatting sqref="L351">
    <cfRule type="cellIs" dxfId="299" priority="319" operator="equal">
      <formula>"4 pt"</formula>
    </cfRule>
    <cfRule type="cellIs" dxfId="298" priority="320" operator="equal">
      <formula>"3 pt"</formula>
    </cfRule>
    <cfRule type="cellIs" dxfId="297" priority="321" operator="equal">
      <formula>"2 pt"</formula>
    </cfRule>
    <cfRule type="cellIs" dxfId="296" priority="322" operator="equal">
      <formula>"1 pt"</formula>
    </cfRule>
  </conditionalFormatting>
  <conditionalFormatting sqref="AA351:AL351">
    <cfRule type="cellIs" dxfId="295" priority="313" operator="equal">
      <formula>3</formula>
    </cfRule>
    <cfRule type="cellIs" dxfId="294" priority="314" operator="equal">
      <formula>2</formula>
    </cfRule>
    <cfRule type="cellIs" dxfId="293" priority="315" operator="equal">
      <formula>1</formula>
    </cfRule>
  </conditionalFormatting>
  <conditionalFormatting sqref="R351:S351">
    <cfRule type="cellIs" dxfId="292" priority="316" operator="greaterThan">
      <formula>1000</formula>
    </cfRule>
    <cfRule type="cellIs" dxfId="291" priority="317" operator="between">
      <formula>10</formula>
      <formula>1000</formula>
    </cfRule>
    <cfRule type="cellIs" dxfId="290" priority="318" operator="lessThan">
      <formula>10</formula>
    </cfRule>
  </conditionalFormatting>
  <conditionalFormatting sqref="M141:O141">
    <cfRule type="cellIs" dxfId="289" priority="312" operator="equal">
      <formula>"!"</formula>
    </cfRule>
  </conditionalFormatting>
  <conditionalFormatting sqref="Z141">
    <cfRule type="cellIs" dxfId="288" priority="311" operator="equal">
      <formula>1</formula>
    </cfRule>
  </conditionalFormatting>
  <conditionalFormatting sqref="W141:Y141 T141">
    <cfRule type="cellIs" dxfId="287" priority="310" operator="equal">
      <formula>"!"</formula>
    </cfRule>
  </conditionalFormatting>
  <conditionalFormatting sqref="U141">
    <cfRule type="cellIs" dxfId="286" priority="305" operator="equal">
      <formula>2</formula>
    </cfRule>
    <cfRule type="cellIs" dxfId="285" priority="306" operator="equal">
      <formula>1</formula>
    </cfRule>
  </conditionalFormatting>
  <conditionalFormatting sqref="I141">
    <cfRule type="cellIs" dxfId="284" priority="301" operator="equal">
      <formula>100</formula>
    </cfRule>
    <cfRule type="cellIs" dxfId="283" priority="302" operator="equal">
      <formula>50</formula>
    </cfRule>
    <cfRule type="cellIs" dxfId="282" priority="303" operator="equal">
      <formula>20</formula>
    </cfRule>
    <cfRule type="cellIs" dxfId="281" priority="304" operator="equal">
      <formula>6</formula>
    </cfRule>
  </conditionalFormatting>
  <conditionalFormatting sqref="J141:K141">
    <cfRule type="cellIs" dxfId="280" priority="297" operator="equal">
      <formula>50</formula>
    </cfRule>
    <cfRule type="cellIs" dxfId="279" priority="298" operator="equal">
      <formula>20</formula>
    </cfRule>
    <cfRule type="cellIs" dxfId="278" priority="299" operator="equal">
      <formula>6</formula>
    </cfRule>
    <cfRule type="cellIs" dxfId="277" priority="300" operator="equal">
      <formula>3</formula>
    </cfRule>
  </conditionalFormatting>
  <conditionalFormatting sqref="L141">
    <cfRule type="cellIs" dxfId="276" priority="293" operator="equal">
      <formula>"4 pt"</formula>
    </cfRule>
    <cfRule type="cellIs" dxfId="275" priority="294" operator="equal">
      <formula>"3 pt"</formula>
    </cfRule>
    <cfRule type="cellIs" dxfId="274" priority="295" operator="equal">
      <formula>"2 pt"</formula>
    </cfRule>
    <cfRule type="cellIs" dxfId="273" priority="296" operator="equal">
      <formula>"1 pt"</formula>
    </cfRule>
  </conditionalFormatting>
  <conditionalFormatting sqref="AA141:AL141">
    <cfRule type="cellIs" dxfId="272" priority="287" operator="equal">
      <formula>3</formula>
    </cfRule>
    <cfRule type="cellIs" dxfId="271" priority="288" operator="equal">
      <formula>2</formula>
    </cfRule>
    <cfRule type="cellIs" dxfId="270" priority="289" operator="equal">
      <formula>1</formula>
    </cfRule>
  </conditionalFormatting>
  <conditionalFormatting sqref="R141:S141">
    <cfRule type="cellIs" dxfId="269" priority="290" operator="greaterThan">
      <formula>1000</formula>
    </cfRule>
    <cfRule type="cellIs" dxfId="268" priority="291" operator="between">
      <formula>10</formula>
      <formula>1000</formula>
    </cfRule>
    <cfRule type="cellIs" dxfId="267" priority="292" operator="lessThan">
      <formula>10</formula>
    </cfRule>
  </conditionalFormatting>
  <conditionalFormatting sqref="M426:O426">
    <cfRule type="cellIs" dxfId="266" priority="286" operator="equal">
      <formula>"!"</formula>
    </cfRule>
  </conditionalFormatting>
  <conditionalFormatting sqref="Z426">
    <cfRule type="cellIs" dxfId="265" priority="285" operator="equal">
      <formula>1</formula>
    </cfRule>
  </conditionalFormatting>
  <conditionalFormatting sqref="W426:Y426 T426">
    <cfRule type="cellIs" dxfId="264" priority="284" operator="equal">
      <formula>"!"</formula>
    </cfRule>
  </conditionalFormatting>
  <conditionalFormatting sqref="U426">
    <cfRule type="cellIs" dxfId="263" priority="279" operator="equal">
      <formula>2</formula>
    </cfRule>
    <cfRule type="cellIs" dxfId="262" priority="280" operator="equal">
      <formula>1</formula>
    </cfRule>
  </conditionalFormatting>
  <conditionalFormatting sqref="I426">
    <cfRule type="cellIs" dxfId="261" priority="275" operator="equal">
      <formula>100</formula>
    </cfRule>
    <cfRule type="cellIs" dxfId="260" priority="276" operator="equal">
      <formula>50</formula>
    </cfRule>
    <cfRule type="cellIs" dxfId="259" priority="277" operator="equal">
      <formula>20</formula>
    </cfRule>
    <cfRule type="cellIs" dxfId="258" priority="278" operator="equal">
      <formula>6</formula>
    </cfRule>
  </conditionalFormatting>
  <conditionalFormatting sqref="J426:K426">
    <cfRule type="cellIs" dxfId="257" priority="271" operator="equal">
      <formula>50</formula>
    </cfRule>
    <cfRule type="cellIs" dxfId="256" priority="272" operator="equal">
      <formula>20</formula>
    </cfRule>
    <cfRule type="cellIs" dxfId="255" priority="273" operator="equal">
      <formula>6</formula>
    </cfRule>
    <cfRule type="cellIs" dxfId="254" priority="274" operator="equal">
      <formula>3</formula>
    </cfRule>
  </conditionalFormatting>
  <conditionalFormatting sqref="L426">
    <cfRule type="cellIs" dxfId="253" priority="267" operator="equal">
      <formula>"4 pt"</formula>
    </cfRule>
    <cfRule type="cellIs" dxfId="252" priority="268" operator="equal">
      <formula>"3 pt"</formula>
    </cfRule>
    <cfRule type="cellIs" dxfId="251" priority="269" operator="equal">
      <formula>"2 pt"</formula>
    </cfRule>
    <cfRule type="cellIs" dxfId="250" priority="270" operator="equal">
      <formula>"1 pt"</formula>
    </cfRule>
  </conditionalFormatting>
  <conditionalFormatting sqref="AA426:AL426">
    <cfRule type="cellIs" dxfId="249" priority="261" operator="equal">
      <formula>3</formula>
    </cfRule>
    <cfRule type="cellIs" dxfId="248" priority="262" operator="equal">
      <formula>2</formula>
    </cfRule>
    <cfRule type="cellIs" dxfId="247" priority="263" operator="equal">
      <formula>1</formula>
    </cfRule>
  </conditionalFormatting>
  <conditionalFormatting sqref="R426:S426">
    <cfRule type="cellIs" dxfId="246" priority="264" operator="greaterThan">
      <formula>1000</formula>
    </cfRule>
    <cfRule type="cellIs" dxfId="245" priority="265" operator="between">
      <formula>10</formula>
      <formula>1000</formula>
    </cfRule>
    <cfRule type="cellIs" dxfId="244" priority="266" operator="lessThan">
      <formula>10</formula>
    </cfRule>
  </conditionalFormatting>
  <conditionalFormatting sqref="M396:O396">
    <cfRule type="cellIs" dxfId="243" priority="260" operator="equal">
      <formula>"!"</formula>
    </cfRule>
  </conditionalFormatting>
  <conditionalFormatting sqref="Z396">
    <cfRule type="cellIs" dxfId="242" priority="259" operator="equal">
      <formula>1</formula>
    </cfRule>
  </conditionalFormatting>
  <conditionalFormatting sqref="W396:Y396 T396">
    <cfRule type="cellIs" dxfId="241" priority="258" operator="equal">
      <formula>"!"</formula>
    </cfRule>
  </conditionalFormatting>
  <conditionalFormatting sqref="U396">
    <cfRule type="cellIs" dxfId="240" priority="253" operator="equal">
      <formula>2</formula>
    </cfRule>
    <cfRule type="cellIs" dxfId="239" priority="254" operator="equal">
      <formula>1</formula>
    </cfRule>
  </conditionalFormatting>
  <conditionalFormatting sqref="I396">
    <cfRule type="cellIs" dxfId="238" priority="249" operator="equal">
      <formula>100</formula>
    </cfRule>
    <cfRule type="cellIs" dxfId="237" priority="250" operator="equal">
      <formula>50</formula>
    </cfRule>
    <cfRule type="cellIs" dxfId="236" priority="251" operator="equal">
      <formula>20</formula>
    </cfRule>
    <cfRule type="cellIs" dxfId="235" priority="252" operator="equal">
      <formula>6</formula>
    </cfRule>
  </conditionalFormatting>
  <conditionalFormatting sqref="J396:K396">
    <cfRule type="cellIs" dxfId="234" priority="245" operator="equal">
      <formula>50</formula>
    </cfRule>
    <cfRule type="cellIs" dxfId="233" priority="246" operator="equal">
      <formula>20</formula>
    </cfRule>
    <cfRule type="cellIs" dxfId="232" priority="247" operator="equal">
      <formula>6</formula>
    </cfRule>
    <cfRule type="cellIs" dxfId="231" priority="248" operator="equal">
      <formula>3</formula>
    </cfRule>
  </conditionalFormatting>
  <conditionalFormatting sqref="L396">
    <cfRule type="cellIs" dxfId="230" priority="241" operator="equal">
      <formula>"4 pt"</formula>
    </cfRule>
    <cfRule type="cellIs" dxfId="229" priority="242" operator="equal">
      <formula>"3 pt"</formula>
    </cfRule>
    <cfRule type="cellIs" dxfId="228" priority="243" operator="equal">
      <formula>"2 pt"</formula>
    </cfRule>
    <cfRule type="cellIs" dxfId="227" priority="244" operator="equal">
      <formula>"1 pt"</formula>
    </cfRule>
  </conditionalFormatting>
  <conditionalFormatting sqref="AA396:AL396">
    <cfRule type="cellIs" dxfId="226" priority="235" operator="equal">
      <formula>3</formula>
    </cfRule>
    <cfRule type="cellIs" dxfId="225" priority="236" operator="equal">
      <formula>2</formula>
    </cfRule>
    <cfRule type="cellIs" dxfId="224" priority="237" operator="equal">
      <formula>1</formula>
    </cfRule>
  </conditionalFormatting>
  <conditionalFormatting sqref="R396:S396">
    <cfRule type="cellIs" dxfId="223" priority="238" operator="greaterThan">
      <formula>1000</formula>
    </cfRule>
    <cfRule type="cellIs" dxfId="222" priority="239" operator="between">
      <formula>10</formula>
      <formula>1000</formula>
    </cfRule>
    <cfRule type="cellIs" dxfId="221" priority="240" operator="lessThan">
      <formula>10</formula>
    </cfRule>
  </conditionalFormatting>
  <conditionalFormatting sqref="M197:O197">
    <cfRule type="cellIs" dxfId="220" priority="234" operator="equal">
      <formula>"!"</formula>
    </cfRule>
  </conditionalFormatting>
  <conditionalFormatting sqref="Z197">
    <cfRule type="cellIs" dxfId="219" priority="233" operator="equal">
      <formula>1</formula>
    </cfRule>
  </conditionalFormatting>
  <conditionalFormatting sqref="W197:Y197 T197">
    <cfRule type="cellIs" dxfId="218" priority="232" operator="equal">
      <formula>"!"</formula>
    </cfRule>
  </conditionalFormatting>
  <conditionalFormatting sqref="U197">
    <cfRule type="cellIs" dxfId="217" priority="227" operator="equal">
      <formula>2</formula>
    </cfRule>
    <cfRule type="cellIs" dxfId="216" priority="228" operator="equal">
      <formula>1</formula>
    </cfRule>
  </conditionalFormatting>
  <conditionalFormatting sqref="I197">
    <cfRule type="cellIs" dxfId="215" priority="223" operator="equal">
      <formula>100</formula>
    </cfRule>
    <cfRule type="cellIs" dxfId="214" priority="224" operator="equal">
      <formula>50</formula>
    </cfRule>
    <cfRule type="cellIs" dxfId="213" priority="225" operator="equal">
      <formula>20</formula>
    </cfRule>
    <cfRule type="cellIs" dxfId="212" priority="226" operator="equal">
      <formula>6</formula>
    </cfRule>
  </conditionalFormatting>
  <conditionalFormatting sqref="J197:K197">
    <cfRule type="cellIs" dxfId="211" priority="219" operator="equal">
      <formula>50</formula>
    </cfRule>
    <cfRule type="cellIs" dxfId="210" priority="220" operator="equal">
      <formula>20</formula>
    </cfRule>
    <cfRule type="cellIs" dxfId="209" priority="221" operator="equal">
      <formula>6</formula>
    </cfRule>
    <cfRule type="cellIs" dxfId="208" priority="222" operator="equal">
      <formula>3</formula>
    </cfRule>
  </conditionalFormatting>
  <conditionalFormatting sqref="L197">
    <cfRule type="cellIs" dxfId="207" priority="215" operator="equal">
      <formula>"4 pt"</formula>
    </cfRule>
    <cfRule type="cellIs" dxfId="206" priority="216" operator="equal">
      <formula>"3 pt"</formula>
    </cfRule>
    <cfRule type="cellIs" dxfId="205" priority="217" operator="equal">
      <formula>"2 pt"</formula>
    </cfRule>
    <cfRule type="cellIs" dxfId="204" priority="218" operator="equal">
      <formula>"1 pt"</formula>
    </cfRule>
  </conditionalFormatting>
  <conditionalFormatting sqref="AA197:AL197">
    <cfRule type="cellIs" dxfId="203" priority="209" operator="equal">
      <formula>3</formula>
    </cfRule>
    <cfRule type="cellIs" dxfId="202" priority="210" operator="equal">
      <formula>2</formula>
    </cfRule>
    <cfRule type="cellIs" dxfId="201" priority="211" operator="equal">
      <formula>1</formula>
    </cfRule>
  </conditionalFormatting>
  <conditionalFormatting sqref="R197:S197">
    <cfRule type="cellIs" dxfId="200" priority="212" operator="greaterThan">
      <formula>1000</formula>
    </cfRule>
    <cfRule type="cellIs" dxfId="199" priority="213" operator="between">
      <formula>10</formula>
      <formula>1000</formula>
    </cfRule>
    <cfRule type="cellIs" dxfId="198" priority="214" operator="lessThan">
      <formula>10</formula>
    </cfRule>
  </conditionalFormatting>
  <conditionalFormatting sqref="M361:O361">
    <cfRule type="cellIs" dxfId="197" priority="208" operator="equal">
      <formula>"!"</formula>
    </cfRule>
  </conditionalFormatting>
  <conditionalFormatting sqref="M438:O438">
    <cfRule type="cellIs" dxfId="196" priority="207" operator="equal">
      <formula>"!"</formula>
    </cfRule>
  </conditionalFormatting>
  <conditionalFormatting sqref="M510:O510">
    <cfRule type="cellIs" dxfId="195" priority="202" operator="equal">
      <formula>"!"</formula>
    </cfRule>
  </conditionalFormatting>
  <conditionalFormatting sqref="T510 W510:Y510">
    <cfRule type="cellIs" dxfId="194" priority="201" operator="equal">
      <formula>"!"</formula>
    </cfRule>
  </conditionalFormatting>
  <conditionalFormatting sqref="Z510">
    <cfRule type="cellIs" dxfId="193" priority="200" operator="equal">
      <formula>1</formula>
    </cfRule>
  </conditionalFormatting>
  <conditionalFormatting sqref="U510">
    <cfRule type="cellIs" dxfId="192" priority="195" operator="equal">
      <formula>2</formula>
    </cfRule>
    <cfRule type="cellIs" dxfId="191" priority="196" operator="equal">
      <formula>1</formula>
    </cfRule>
  </conditionalFormatting>
  <conditionalFormatting sqref="M11:O11">
    <cfRule type="cellIs" dxfId="190" priority="194" operator="equal">
      <formula>"!"</formula>
    </cfRule>
  </conditionalFormatting>
  <conditionalFormatting sqref="Z11">
    <cfRule type="cellIs" dxfId="189" priority="193" operator="equal">
      <formula>1</formula>
    </cfRule>
  </conditionalFormatting>
  <conditionalFormatting sqref="T11 W11:Y11">
    <cfRule type="cellIs" dxfId="188" priority="192" operator="equal">
      <formula>"!"</formula>
    </cfRule>
  </conditionalFormatting>
  <conditionalFormatting sqref="U11">
    <cfRule type="cellIs" dxfId="187" priority="187" operator="equal">
      <formula>2</formula>
    </cfRule>
    <cfRule type="cellIs" dxfId="186" priority="188" operator="equal">
      <formula>1</formula>
    </cfRule>
  </conditionalFormatting>
  <conditionalFormatting sqref="M299:O299">
    <cfRule type="cellIs" dxfId="185" priority="186" operator="equal">
      <formula>"!"</formula>
    </cfRule>
  </conditionalFormatting>
  <conditionalFormatting sqref="M102 O102">
    <cfRule type="cellIs" dxfId="184" priority="185" operator="equal">
      <formula>"!"</formula>
    </cfRule>
  </conditionalFormatting>
  <conditionalFormatting sqref="I112">
    <cfRule type="cellIs" dxfId="183" priority="181" operator="equal">
      <formula>100</formula>
    </cfRule>
    <cfRule type="cellIs" dxfId="182" priority="182" operator="equal">
      <formula>50</formula>
    </cfRule>
    <cfRule type="cellIs" dxfId="181" priority="183" operator="equal">
      <formula>20</formula>
    </cfRule>
    <cfRule type="cellIs" dxfId="180" priority="184" operator="equal">
      <formula>6</formula>
    </cfRule>
  </conditionalFormatting>
  <conditionalFormatting sqref="L112">
    <cfRule type="cellIs" dxfId="179" priority="177" operator="equal">
      <formula>"4 pt"</formula>
    </cfRule>
    <cfRule type="cellIs" dxfId="178" priority="178" operator="equal">
      <formula>"3 pt"</formula>
    </cfRule>
    <cfRule type="cellIs" dxfId="177" priority="179" operator="equal">
      <formula>"2 pt"</formula>
    </cfRule>
    <cfRule type="cellIs" dxfId="176" priority="180" operator="equal">
      <formula>"1 pt"</formula>
    </cfRule>
  </conditionalFormatting>
  <conditionalFormatting sqref="AA112:AL112">
    <cfRule type="cellIs" dxfId="175" priority="171" operator="equal">
      <formula>3</formula>
    </cfRule>
    <cfRule type="cellIs" dxfId="174" priority="172" operator="equal">
      <formula>2</formula>
    </cfRule>
    <cfRule type="cellIs" dxfId="173" priority="173" operator="equal">
      <formula>1</formula>
    </cfRule>
  </conditionalFormatting>
  <conditionalFormatting sqref="R112:S112">
    <cfRule type="cellIs" dxfId="172" priority="174" operator="greaterThan">
      <formula>1000</formula>
    </cfRule>
    <cfRule type="cellIs" dxfId="171" priority="175" operator="between">
      <formula>10</formula>
      <formula>1000</formula>
    </cfRule>
    <cfRule type="cellIs" dxfId="170" priority="176" operator="lessThan">
      <formula>10</formula>
    </cfRule>
  </conditionalFormatting>
  <conditionalFormatting sqref="M112:O112">
    <cfRule type="cellIs" dxfId="169" priority="170" operator="equal">
      <formula>"!"</formula>
    </cfRule>
  </conditionalFormatting>
  <conditionalFormatting sqref="Z112">
    <cfRule type="cellIs" dxfId="168" priority="169" operator="equal">
      <formula>1</formula>
    </cfRule>
  </conditionalFormatting>
  <conditionalFormatting sqref="T112 W112:Y112">
    <cfRule type="cellIs" dxfId="167" priority="168" operator="equal">
      <formula>"!"</formula>
    </cfRule>
  </conditionalFormatting>
  <conditionalFormatting sqref="U112">
    <cfRule type="cellIs" dxfId="166" priority="166" operator="equal">
      <formula>2</formula>
    </cfRule>
    <cfRule type="cellIs" dxfId="165" priority="167" operator="equal">
      <formula>1</formula>
    </cfRule>
  </conditionalFormatting>
  <conditionalFormatting sqref="J112:K112">
    <cfRule type="cellIs" dxfId="164" priority="162" operator="equal">
      <formula>50</formula>
    </cfRule>
    <cfRule type="cellIs" dxfId="163" priority="163" operator="equal">
      <formula>20</formula>
    </cfRule>
    <cfRule type="cellIs" dxfId="162" priority="164" operator="equal">
      <formula>6</formula>
    </cfRule>
    <cfRule type="cellIs" dxfId="161" priority="165" operator="equal">
      <formula>3</formula>
    </cfRule>
  </conditionalFormatting>
  <conditionalFormatting sqref="M117:O117">
    <cfRule type="cellIs" dxfId="160" priority="161" operator="equal">
      <formula>"!"</formula>
    </cfRule>
  </conditionalFormatting>
  <conditionalFormatting sqref="Z117">
    <cfRule type="cellIs" dxfId="159" priority="160" operator="equal">
      <formula>1</formula>
    </cfRule>
  </conditionalFormatting>
  <conditionalFormatting sqref="W117:Y117 T117">
    <cfRule type="cellIs" dxfId="158" priority="159" operator="equal">
      <formula>"!"</formula>
    </cfRule>
  </conditionalFormatting>
  <conditionalFormatting sqref="U117">
    <cfRule type="cellIs" dxfId="157" priority="157" operator="equal">
      <formula>2</formula>
    </cfRule>
    <cfRule type="cellIs" dxfId="156" priority="158" operator="equal">
      <formula>1</formula>
    </cfRule>
  </conditionalFormatting>
  <conditionalFormatting sqref="I117">
    <cfRule type="cellIs" dxfId="155" priority="153" operator="equal">
      <formula>100</formula>
    </cfRule>
    <cfRule type="cellIs" dxfId="154" priority="154" operator="equal">
      <formula>50</formula>
    </cfRule>
    <cfRule type="cellIs" dxfId="153" priority="155" operator="equal">
      <formula>20</formula>
    </cfRule>
    <cfRule type="cellIs" dxfId="152" priority="156" operator="equal">
      <formula>6</formula>
    </cfRule>
  </conditionalFormatting>
  <conditionalFormatting sqref="J117:K117">
    <cfRule type="cellIs" dxfId="151" priority="149" operator="equal">
      <formula>50</formula>
    </cfRule>
    <cfRule type="cellIs" dxfId="150" priority="150" operator="equal">
      <formula>20</formula>
    </cfRule>
    <cfRule type="cellIs" dxfId="149" priority="151" operator="equal">
      <formula>6</formula>
    </cfRule>
    <cfRule type="cellIs" dxfId="148" priority="152" operator="equal">
      <formula>3</formula>
    </cfRule>
  </conditionalFormatting>
  <conditionalFormatting sqref="L117">
    <cfRule type="cellIs" dxfId="147" priority="145" operator="equal">
      <formula>"4 pt"</formula>
    </cfRule>
    <cfRule type="cellIs" dxfId="146" priority="146" operator="equal">
      <formula>"3 pt"</formula>
    </cfRule>
    <cfRule type="cellIs" dxfId="145" priority="147" operator="equal">
      <formula>"2 pt"</formula>
    </cfRule>
    <cfRule type="cellIs" dxfId="144" priority="148" operator="equal">
      <formula>"1 pt"</formula>
    </cfRule>
  </conditionalFormatting>
  <conditionalFormatting sqref="AA117:AL117">
    <cfRule type="cellIs" dxfId="143" priority="139" operator="equal">
      <formula>3</formula>
    </cfRule>
    <cfRule type="cellIs" dxfId="142" priority="140" operator="equal">
      <formula>2</formula>
    </cfRule>
    <cfRule type="cellIs" dxfId="141" priority="141" operator="equal">
      <formula>1</formula>
    </cfRule>
  </conditionalFormatting>
  <conditionalFormatting sqref="R117:S117">
    <cfRule type="cellIs" dxfId="140" priority="142" operator="greaterThan">
      <formula>1000</formula>
    </cfRule>
    <cfRule type="cellIs" dxfId="139" priority="143" operator="between">
      <formula>10</formula>
      <formula>1000</formula>
    </cfRule>
    <cfRule type="cellIs" dxfId="138" priority="144" operator="lessThan">
      <formula>10</formula>
    </cfRule>
  </conditionalFormatting>
  <conditionalFormatting sqref="M152:O152">
    <cfRule type="cellIs" dxfId="137" priority="138" operator="equal">
      <formula>"!"</formula>
    </cfRule>
  </conditionalFormatting>
  <conditionalFormatting sqref="Z152">
    <cfRule type="cellIs" dxfId="136" priority="137" operator="equal">
      <formula>1</formula>
    </cfRule>
  </conditionalFormatting>
  <conditionalFormatting sqref="T152 W152:Y152">
    <cfRule type="cellIs" dxfId="135" priority="136" operator="equal">
      <formula>"!"</formula>
    </cfRule>
  </conditionalFormatting>
  <conditionalFormatting sqref="U152">
    <cfRule type="cellIs" dxfId="134" priority="134" operator="equal">
      <formula>2</formula>
    </cfRule>
    <cfRule type="cellIs" dxfId="133" priority="135" operator="equal">
      <formula>1</formula>
    </cfRule>
  </conditionalFormatting>
  <conditionalFormatting sqref="I152">
    <cfRule type="cellIs" dxfId="132" priority="130" operator="equal">
      <formula>100</formula>
    </cfRule>
    <cfRule type="cellIs" dxfId="131" priority="131" operator="equal">
      <formula>50</formula>
    </cfRule>
    <cfRule type="cellIs" dxfId="130" priority="132" operator="equal">
      <formula>20</formula>
    </cfRule>
    <cfRule type="cellIs" dxfId="129" priority="133" operator="equal">
      <formula>6</formula>
    </cfRule>
  </conditionalFormatting>
  <conditionalFormatting sqref="J152:K152">
    <cfRule type="cellIs" dxfId="128" priority="126" operator="equal">
      <formula>50</formula>
    </cfRule>
    <cfRule type="cellIs" dxfId="127" priority="127" operator="equal">
      <formula>20</formula>
    </cfRule>
    <cfRule type="cellIs" dxfId="126" priority="128" operator="equal">
      <formula>6</formula>
    </cfRule>
    <cfRule type="cellIs" dxfId="125" priority="129" operator="equal">
      <formula>3</formula>
    </cfRule>
  </conditionalFormatting>
  <conditionalFormatting sqref="L152">
    <cfRule type="cellIs" dxfId="124" priority="122" operator="equal">
      <formula>"4 pt"</formula>
    </cfRule>
    <cfRule type="cellIs" dxfId="123" priority="123" operator="equal">
      <formula>"3 pt"</formula>
    </cfRule>
    <cfRule type="cellIs" dxfId="122" priority="124" operator="equal">
      <formula>"2 pt"</formula>
    </cfRule>
    <cfRule type="cellIs" dxfId="121" priority="125" operator="equal">
      <formula>"1 pt"</formula>
    </cfRule>
  </conditionalFormatting>
  <conditionalFormatting sqref="AA152:AL152">
    <cfRule type="cellIs" dxfId="120" priority="116" operator="equal">
      <formula>3</formula>
    </cfRule>
    <cfRule type="cellIs" dxfId="119" priority="117" operator="equal">
      <formula>2</formula>
    </cfRule>
    <cfRule type="cellIs" dxfId="118" priority="118" operator="equal">
      <formula>1</formula>
    </cfRule>
  </conditionalFormatting>
  <conditionalFormatting sqref="R152:S152">
    <cfRule type="cellIs" dxfId="117" priority="119" operator="greaterThan">
      <formula>1000</formula>
    </cfRule>
    <cfRule type="cellIs" dxfId="116" priority="120" operator="between">
      <formula>10</formula>
      <formula>1000</formula>
    </cfRule>
    <cfRule type="cellIs" dxfId="115" priority="121" operator="lessThan">
      <formula>10</formula>
    </cfRule>
  </conditionalFormatting>
  <conditionalFormatting sqref="I226">
    <cfRule type="cellIs" dxfId="114" priority="112" operator="equal">
      <formula>100</formula>
    </cfRule>
    <cfRule type="cellIs" dxfId="113" priority="113" operator="equal">
      <formula>50</formula>
    </cfRule>
    <cfRule type="cellIs" dxfId="112" priority="114" operator="equal">
      <formula>20</formula>
    </cfRule>
    <cfRule type="cellIs" dxfId="111" priority="115" operator="equal">
      <formula>6</formula>
    </cfRule>
  </conditionalFormatting>
  <conditionalFormatting sqref="J226:K226">
    <cfRule type="cellIs" dxfId="110" priority="108" operator="equal">
      <formula>50</formula>
    </cfRule>
    <cfRule type="cellIs" dxfId="109" priority="109" operator="equal">
      <formula>20</formula>
    </cfRule>
    <cfRule type="cellIs" dxfId="108" priority="110" operator="equal">
      <formula>6</formula>
    </cfRule>
    <cfRule type="cellIs" dxfId="107" priority="111" operator="equal">
      <formula>3</formula>
    </cfRule>
  </conditionalFormatting>
  <conditionalFormatting sqref="L226">
    <cfRule type="cellIs" dxfId="106" priority="104" operator="equal">
      <formula>"4 pt"</formula>
    </cfRule>
    <cfRule type="cellIs" dxfId="105" priority="105" operator="equal">
      <formula>"3 pt"</formula>
    </cfRule>
    <cfRule type="cellIs" dxfId="104" priority="106" operator="equal">
      <formula>"2 pt"</formula>
    </cfRule>
    <cfRule type="cellIs" dxfId="103" priority="107" operator="equal">
      <formula>"1 pt"</formula>
    </cfRule>
  </conditionalFormatting>
  <conditionalFormatting sqref="AA226:AL226">
    <cfRule type="cellIs" dxfId="102" priority="98" operator="equal">
      <formula>3</formula>
    </cfRule>
    <cfRule type="cellIs" dxfId="101" priority="99" operator="equal">
      <formula>2</formula>
    </cfRule>
    <cfRule type="cellIs" dxfId="100" priority="100" operator="equal">
      <formula>1</formula>
    </cfRule>
  </conditionalFormatting>
  <conditionalFormatting sqref="R226:S226">
    <cfRule type="cellIs" dxfId="99" priority="101" operator="greaterThan">
      <formula>1000</formula>
    </cfRule>
    <cfRule type="cellIs" dxfId="98" priority="102" operator="between">
      <formula>10</formula>
      <formula>1000</formula>
    </cfRule>
    <cfRule type="cellIs" dxfId="97" priority="103" operator="lessThan">
      <formula>10</formula>
    </cfRule>
  </conditionalFormatting>
  <conditionalFormatting sqref="M226:O226">
    <cfRule type="cellIs" dxfId="96" priority="97" operator="equal">
      <formula>"!"</formula>
    </cfRule>
  </conditionalFormatting>
  <conditionalFormatting sqref="Z226">
    <cfRule type="cellIs" dxfId="95" priority="96" operator="equal">
      <formula>1</formula>
    </cfRule>
  </conditionalFormatting>
  <conditionalFormatting sqref="W226:Y226 T226">
    <cfRule type="cellIs" dxfId="94" priority="95" operator="equal">
      <formula>"!"</formula>
    </cfRule>
  </conditionalFormatting>
  <conditionalFormatting sqref="U226">
    <cfRule type="cellIs" dxfId="93" priority="93" operator="equal">
      <formula>2</formula>
    </cfRule>
    <cfRule type="cellIs" dxfId="92" priority="94" operator="equal">
      <formula>1</formula>
    </cfRule>
  </conditionalFormatting>
  <conditionalFormatting sqref="M294:O294">
    <cfRule type="cellIs" dxfId="91" priority="92" operator="equal">
      <formula>"!"</formula>
    </cfRule>
  </conditionalFormatting>
  <conditionalFormatting sqref="Z294">
    <cfRule type="cellIs" dxfId="90" priority="91" operator="equal">
      <formula>1</formula>
    </cfRule>
  </conditionalFormatting>
  <conditionalFormatting sqref="W294:Y294 T294">
    <cfRule type="cellIs" dxfId="89" priority="90" operator="equal">
      <formula>"!"</formula>
    </cfRule>
  </conditionalFormatting>
  <conditionalFormatting sqref="U294">
    <cfRule type="cellIs" dxfId="88" priority="88" operator="equal">
      <formula>2</formula>
    </cfRule>
    <cfRule type="cellIs" dxfId="87" priority="89" operator="equal">
      <formula>1</formula>
    </cfRule>
  </conditionalFormatting>
  <conditionalFormatting sqref="I294">
    <cfRule type="cellIs" dxfId="86" priority="84" operator="equal">
      <formula>100</formula>
    </cfRule>
    <cfRule type="cellIs" dxfId="85" priority="85" operator="equal">
      <formula>50</formula>
    </cfRule>
    <cfRule type="cellIs" dxfId="84" priority="86" operator="equal">
      <formula>20</formula>
    </cfRule>
    <cfRule type="cellIs" dxfId="83" priority="87" operator="equal">
      <formula>6</formula>
    </cfRule>
  </conditionalFormatting>
  <conditionalFormatting sqref="J294:K294">
    <cfRule type="cellIs" dxfId="82" priority="80" operator="equal">
      <formula>50</formula>
    </cfRule>
    <cfRule type="cellIs" dxfId="81" priority="81" operator="equal">
      <formula>20</formula>
    </cfRule>
    <cfRule type="cellIs" dxfId="80" priority="82" operator="equal">
      <formula>6</formula>
    </cfRule>
    <cfRule type="cellIs" dxfId="79" priority="83" operator="equal">
      <formula>3</formula>
    </cfRule>
  </conditionalFormatting>
  <conditionalFormatting sqref="L294">
    <cfRule type="cellIs" dxfId="78" priority="76" operator="equal">
      <formula>"4 pt"</formula>
    </cfRule>
    <cfRule type="cellIs" dxfId="77" priority="77" operator="equal">
      <formula>"3 pt"</formula>
    </cfRule>
    <cfRule type="cellIs" dxfId="76" priority="78" operator="equal">
      <formula>"2 pt"</formula>
    </cfRule>
    <cfRule type="cellIs" dxfId="75" priority="79" operator="equal">
      <formula>"1 pt"</formula>
    </cfRule>
  </conditionalFormatting>
  <conditionalFormatting sqref="AA294:AL294">
    <cfRule type="cellIs" dxfId="74" priority="70" operator="equal">
      <formula>3</formula>
    </cfRule>
    <cfRule type="cellIs" dxfId="73" priority="71" operator="equal">
      <formula>2</formula>
    </cfRule>
    <cfRule type="cellIs" dxfId="72" priority="72" operator="equal">
      <formula>1</formula>
    </cfRule>
  </conditionalFormatting>
  <conditionalFormatting sqref="R294:S294">
    <cfRule type="cellIs" dxfId="71" priority="73" operator="greaterThan">
      <formula>1000</formula>
    </cfRule>
    <cfRule type="cellIs" dxfId="70" priority="74" operator="between">
      <formula>10</formula>
      <formula>1000</formula>
    </cfRule>
    <cfRule type="cellIs" dxfId="69" priority="75" operator="lessThan">
      <formula>10</formula>
    </cfRule>
  </conditionalFormatting>
  <conditionalFormatting sqref="M324:O324">
    <cfRule type="cellIs" dxfId="68" priority="69" operator="equal">
      <formula>"!"</formula>
    </cfRule>
  </conditionalFormatting>
  <conditionalFormatting sqref="Z324">
    <cfRule type="cellIs" dxfId="67" priority="68" operator="equal">
      <formula>1</formula>
    </cfRule>
  </conditionalFormatting>
  <conditionalFormatting sqref="W324:Y324 T324">
    <cfRule type="cellIs" dxfId="66" priority="67" operator="equal">
      <formula>"!"</formula>
    </cfRule>
  </conditionalFormatting>
  <conditionalFormatting sqref="U324">
    <cfRule type="cellIs" dxfId="65" priority="65" operator="equal">
      <formula>2</formula>
    </cfRule>
    <cfRule type="cellIs" dxfId="64" priority="66" operator="equal">
      <formula>1</formula>
    </cfRule>
  </conditionalFormatting>
  <conditionalFormatting sqref="I324">
    <cfRule type="cellIs" dxfId="63" priority="61" operator="equal">
      <formula>100</formula>
    </cfRule>
    <cfRule type="cellIs" dxfId="62" priority="62" operator="equal">
      <formula>50</formula>
    </cfRule>
    <cfRule type="cellIs" dxfId="61" priority="63" operator="equal">
      <formula>20</formula>
    </cfRule>
    <cfRule type="cellIs" dxfId="60" priority="64" operator="equal">
      <formula>6</formula>
    </cfRule>
  </conditionalFormatting>
  <conditionalFormatting sqref="J324:K324">
    <cfRule type="cellIs" dxfId="59" priority="57" operator="equal">
      <formula>50</formula>
    </cfRule>
    <cfRule type="cellIs" dxfId="58" priority="58" operator="equal">
      <formula>20</formula>
    </cfRule>
    <cfRule type="cellIs" dxfId="57" priority="59" operator="equal">
      <formula>6</formula>
    </cfRule>
    <cfRule type="cellIs" dxfId="56" priority="60" operator="equal">
      <formula>3</formula>
    </cfRule>
  </conditionalFormatting>
  <conditionalFormatting sqref="L324">
    <cfRule type="cellIs" dxfId="55" priority="53" operator="equal">
      <formula>"4 pt"</formula>
    </cfRule>
    <cfRule type="cellIs" dxfId="54" priority="54" operator="equal">
      <formula>"3 pt"</formula>
    </cfRule>
    <cfRule type="cellIs" dxfId="53" priority="55" operator="equal">
      <formula>"2 pt"</formula>
    </cfRule>
    <cfRule type="cellIs" dxfId="52" priority="56" operator="equal">
      <formula>"1 pt"</formula>
    </cfRule>
  </conditionalFormatting>
  <conditionalFormatting sqref="AA324:AL324">
    <cfRule type="cellIs" dxfId="51" priority="47" operator="equal">
      <formula>3</formula>
    </cfRule>
    <cfRule type="cellIs" dxfId="50" priority="48" operator="equal">
      <formula>2</formula>
    </cfRule>
    <cfRule type="cellIs" dxfId="49" priority="49" operator="equal">
      <formula>1</formula>
    </cfRule>
  </conditionalFormatting>
  <conditionalFormatting sqref="R324:S324">
    <cfRule type="cellIs" dxfId="48" priority="50" operator="greaterThan">
      <formula>1000</formula>
    </cfRule>
    <cfRule type="cellIs" dxfId="47" priority="51" operator="between">
      <formula>10</formula>
      <formula>1000</formula>
    </cfRule>
    <cfRule type="cellIs" dxfId="46" priority="52" operator="lessThan">
      <formula>10</formula>
    </cfRule>
  </conditionalFormatting>
  <conditionalFormatting sqref="I371">
    <cfRule type="cellIs" dxfId="45" priority="43" operator="equal">
      <formula>100</formula>
    </cfRule>
    <cfRule type="cellIs" dxfId="44" priority="44" operator="equal">
      <formula>50</formula>
    </cfRule>
    <cfRule type="cellIs" dxfId="43" priority="45" operator="equal">
      <formula>20</formula>
    </cfRule>
    <cfRule type="cellIs" dxfId="42" priority="46" operator="equal">
      <formula>6</formula>
    </cfRule>
  </conditionalFormatting>
  <conditionalFormatting sqref="J371:K371">
    <cfRule type="cellIs" dxfId="41" priority="39" operator="equal">
      <formula>50</formula>
    </cfRule>
    <cfRule type="cellIs" dxfId="40" priority="40" operator="equal">
      <formula>20</formula>
    </cfRule>
    <cfRule type="cellIs" dxfId="39" priority="41" operator="equal">
      <formula>6</formula>
    </cfRule>
    <cfRule type="cellIs" dxfId="38" priority="42" operator="equal">
      <formula>3</formula>
    </cfRule>
  </conditionalFormatting>
  <conditionalFormatting sqref="L371">
    <cfRule type="cellIs" dxfId="37" priority="35" operator="equal">
      <formula>"4 pt"</formula>
    </cfRule>
    <cfRule type="cellIs" dxfId="36" priority="36" operator="equal">
      <formula>"3 pt"</formula>
    </cfRule>
    <cfRule type="cellIs" dxfId="35" priority="37" operator="equal">
      <formula>"2 pt"</formula>
    </cfRule>
    <cfRule type="cellIs" dxfId="34" priority="38" operator="equal">
      <formula>"1 pt"</formula>
    </cfRule>
  </conditionalFormatting>
  <conditionalFormatting sqref="AA371:AL371">
    <cfRule type="cellIs" dxfId="33" priority="29" operator="equal">
      <formula>3</formula>
    </cfRule>
    <cfRule type="cellIs" dxfId="32" priority="30" operator="equal">
      <formula>2</formula>
    </cfRule>
    <cfRule type="cellIs" dxfId="31" priority="31" operator="equal">
      <formula>1</formula>
    </cfRule>
  </conditionalFormatting>
  <conditionalFormatting sqref="R371:S371">
    <cfRule type="cellIs" dxfId="30" priority="32" operator="greaterThan">
      <formula>1000</formula>
    </cfRule>
    <cfRule type="cellIs" dxfId="29" priority="33" operator="between">
      <formula>10</formula>
      <formula>1000</formula>
    </cfRule>
    <cfRule type="cellIs" dxfId="28" priority="34" operator="lessThan">
      <formula>10</formula>
    </cfRule>
  </conditionalFormatting>
  <conditionalFormatting sqref="M371:O371">
    <cfRule type="cellIs" dxfId="27" priority="28" operator="equal">
      <formula>"!"</formula>
    </cfRule>
  </conditionalFormatting>
  <conditionalFormatting sqref="T371 W371:Y371">
    <cfRule type="cellIs" dxfId="26" priority="27" operator="equal">
      <formula>"!"</formula>
    </cfRule>
  </conditionalFormatting>
  <conditionalFormatting sqref="Z371">
    <cfRule type="cellIs" dxfId="25" priority="26" operator="equal">
      <formula>1</formula>
    </cfRule>
  </conditionalFormatting>
  <conditionalFormatting sqref="U371">
    <cfRule type="cellIs" dxfId="24" priority="24" operator="equal">
      <formula>2</formula>
    </cfRule>
    <cfRule type="cellIs" dxfId="23" priority="25" operator="equal">
      <formula>1</formula>
    </cfRule>
  </conditionalFormatting>
  <conditionalFormatting sqref="M375:O375">
    <cfRule type="cellIs" dxfId="22" priority="23" operator="equal">
      <formula>"!"</formula>
    </cfRule>
  </conditionalFormatting>
  <conditionalFormatting sqref="Z375">
    <cfRule type="cellIs" dxfId="21" priority="22" operator="equal">
      <formula>1</formula>
    </cfRule>
  </conditionalFormatting>
  <conditionalFormatting sqref="T375 W375:Y375">
    <cfRule type="cellIs" dxfId="20" priority="21" operator="equal">
      <formula>"!"</formula>
    </cfRule>
  </conditionalFormatting>
  <conditionalFormatting sqref="U375"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I375">
    <cfRule type="cellIs" dxfId="17" priority="15" operator="equal">
      <formula>100</formula>
    </cfRule>
    <cfRule type="cellIs" dxfId="16" priority="16" operator="equal">
      <formula>50</formula>
    </cfRule>
    <cfRule type="cellIs" dxfId="15" priority="17" operator="equal">
      <formula>20</formula>
    </cfRule>
    <cfRule type="cellIs" dxfId="14" priority="18" operator="equal">
      <formula>6</formula>
    </cfRule>
  </conditionalFormatting>
  <conditionalFormatting sqref="J375:K375">
    <cfRule type="cellIs" dxfId="13" priority="11" operator="equal">
      <formula>50</formula>
    </cfRule>
    <cfRule type="cellIs" dxfId="12" priority="12" operator="equal">
      <formula>20</formula>
    </cfRule>
    <cfRule type="cellIs" dxfId="11" priority="13" operator="equal">
      <formula>6</formula>
    </cfRule>
    <cfRule type="cellIs" dxfId="10" priority="14" operator="equal">
      <formula>3</formula>
    </cfRule>
  </conditionalFormatting>
  <conditionalFormatting sqref="L375">
    <cfRule type="cellIs" dxfId="9" priority="7" operator="equal">
      <formula>"4 pt"</formula>
    </cfRule>
    <cfRule type="cellIs" dxfId="8" priority="8" operator="equal">
      <formula>"3 pt"</formula>
    </cfRule>
    <cfRule type="cellIs" dxfId="7" priority="9" operator="equal">
      <formula>"2 pt"</formula>
    </cfRule>
    <cfRule type="cellIs" dxfId="6" priority="10" operator="equal">
      <formula>"1 pt"</formula>
    </cfRule>
  </conditionalFormatting>
  <conditionalFormatting sqref="AA375:AL375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conditionalFormatting sqref="R375:S375">
    <cfRule type="cellIs" dxfId="2" priority="4" operator="greaterThan">
      <formula>1000</formula>
    </cfRule>
    <cfRule type="cellIs" dxfId="1" priority="5" operator="between">
      <formula>10</formula>
      <formula>1000</formula>
    </cfRule>
    <cfRule type="cellIs" dxfId="0" priority="6" operator="lessThan">
      <formula>10</formula>
    </cfRule>
  </conditionalFormatting>
  <pageMargins left="0.25" right="0.25" top="0.75" bottom="0.75" header="0.3" footer="0.3"/>
  <pageSetup paperSize="8" scale="1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Description</vt:lpstr>
      <vt:lpstr>Liste</vt:lpstr>
      <vt:lpstr>Risque parcelle</vt:lpstr>
      <vt:lpstr>Produit</vt:lpstr>
      <vt:lpstr>Fongicides</vt:lpstr>
      <vt:lpstr>Herbicides</vt:lpstr>
      <vt:lpstr>I+M+R</vt:lpstr>
      <vt:lpstr>Textes</vt:lpstr>
      <vt:lpstr>Total</vt:lpstr>
      <vt:lpstr>Scores</vt:lpstr>
      <vt:lpstr>Fongicides!Impression_des_titres</vt:lpstr>
      <vt:lpstr>Herbicides!Impression_des_titres</vt:lpstr>
      <vt:lpstr>'I+M+R'!Impression_des_titres</vt:lpstr>
      <vt:lpstr>Total!Impression_des_titres</vt:lpstr>
      <vt:lpstr>'Risque parcelle'!Zone_d_impression</vt:lpstr>
    </vt:vector>
  </TitlesOfParts>
  <Company>Etat de Vaud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Zimmermann</dc:creator>
  <cp:lastModifiedBy>Andre Zimmermann</cp:lastModifiedBy>
  <cp:revision/>
  <cp:lastPrinted>2023-05-10T09:36:59Z</cp:lastPrinted>
  <dcterms:created xsi:type="dcterms:W3CDTF">2017-12-08T07:04:28Z</dcterms:created>
  <dcterms:modified xsi:type="dcterms:W3CDTF">2024-03-28T14:25:55Z</dcterms:modified>
</cp:coreProperties>
</file>