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2_30_OCDC\12_Cercle_Climat\14_Documentation\Concept et stratégie\organisation_bilan_carbone\livrables_techniques\doc_martin\"/>
    </mc:Choice>
  </mc:AlternateContent>
  <xr:revisionPtr revIDLastSave="0" documentId="13_ncr:1_{267E47AA-3C1A-4633-B6C3-5B1A9649DEA2}" xr6:coauthVersionLast="47" xr6:coauthVersionMax="47" xr10:uidLastSave="{00000000-0000-0000-0000-000000000000}"/>
  <workbookProtection workbookAlgorithmName="SHA-512" workbookHashValue="XU1BX61A+tposEN57q4YXhpKRj8SXJuBVQ9CV2hVtyid5E69yIa/nJAHvVW8NhXGkNDf5r3ogNQdQPEVyOJKMQ==" workbookSaltValue="g1IOf28qY/rasQ/11hSZYw==" workbookSpinCount="100000" lockStructure="1"/>
  <bookViews>
    <workbookView xWindow="-110" yWindow="-110" windowWidth="19420" windowHeight="10300" xr2:uid="{00000000-000D-0000-FFFF-FFFF00000000}"/>
  </bookViews>
  <sheets>
    <sheet name="Bilan carbone ACV 2023" sheetId="4" r:id="rId1"/>
    <sheet name="Evolution 2019-2023" sheetId="28" state="hidden" r:id="rId2"/>
    <sheet name="Chaleur du bâtiment - Emission" sheetId="10" r:id="rId3"/>
    <sheet name="Chaleur du bâtiment - Calcul" sheetId="1" state="hidden" r:id="rId4"/>
    <sheet name="Electricité - Emissions " sheetId="12" r:id="rId5"/>
    <sheet name="Electricité - Calcul" sheetId="11" state="hidden" r:id="rId6"/>
    <sheet name="Mobilité pro.- Emissions" sheetId="13" r:id="rId7"/>
    <sheet name="Mobilité pro. - Calcul" sheetId="14" state="hidden" r:id="rId8"/>
    <sheet name="Mobilité pendulaire - Emissions" sheetId="25" r:id="rId9"/>
    <sheet name="Mobilité pendulaire - Calcul" sheetId="24" state="hidden" r:id="rId10"/>
    <sheet name="Agriculture - Emissions" sheetId="5" r:id="rId11"/>
    <sheet name="Agriculture - Calcul" sheetId="6" state="hidden" r:id="rId12"/>
    <sheet name="Construction - Emission" sheetId="20" r:id="rId13"/>
    <sheet name="Construction - Calcul" sheetId="27" state="hidden" r:id="rId14"/>
    <sheet name="Alimentation - Emission" sheetId="3" r:id="rId15"/>
    <sheet name="Alimentation - Calcul" sheetId="15" state="hidden" r:id="rId16"/>
    <sheet name="Achat de véhicule - Emissions" sheetId="16" r:id="rId17"/>
    <sheet name="Achat de véhicule - Calcul" sheetId="17" state="hidden" r:id="rId18"/>
    <sheet name="Matériel infor.- Emission" sheetId="19" r:id="rId19"/>
    <sheet name="Matériel infor. - Calcul" sheetId="26" state="hidden" r:id="rId20"/>
    <sheet name="Achats courants - Emissions " sheetId="18" r:id="rId21"/>
    <sheet name="Achat courant - Calcul" sheetId="23" state="hidden" r:id="rId22"/>
    <sheet name="Déchet - émissions" sheetId="21" r:id="rId23"/>
    <sheet name="Déchets - Calcul" sheetId="22" state="hidden" r:id="rId24"/>
    <sheet name="Facteur émissions" sheetId="7" r:id="rId25"/>
    <sheet name="Constante" sheetId="9" state="hidden" r:id="rId26"/>
    <sheet name="PRG100" sheetId="8" state="hidden" r:id="rId27"/>
  </sheets>
  <externalReferences>
    <externalReference r:id="rId28"/>
    <externalReference r:id="rId29"/>
  </externalReferences>
  <definedNames>
    <definedName name="CH4_PRG">[1]PRG100!$D$7</definedName>
    <definedName name="eff_voiture_2019_2023">'Mobilité pendulaire - Calcul'!$J$40</definedName>
    <definedName name="EPT_2019">Constante!$C$5</definedName>
    <definedName name="EPT_2023">Constante!$C$6</definedName>
    <definedName name="N2O_PRG">[1]PRG100!$D$8</definedName>
    <definedName name="Pop_CH_1990">[1]Constantes!$C$8</definedName>
    <definedName name="POP_CH_2015">[1]Constantes!$D$8</definedName>
    <definedName name="POP_CH_2019">[1]Constantes!$E$8</definedName>
    <definedName name="POP_VD_1990">[1]Constantes!$C$7</definedName>
    <definedName name="POP_VD_2015">[1]Constantes!$D$7</definedName>
    <definedName name="POP_VD_2019">[1]Constantes!$E$7</definedName>
    <definedName name="POP_VD_2023">[1]Constantes!$F$7</definedName>
    <definedName name="PRG_CH4">'PRG100'!$E$7</definedName>
    <definedName name="PRG_N2O">'PRG100'!$E$8</definedName>
    <definedName name="range_feuilles">[2]!feuilles[Feuille]</definedName>
    <definedName name="range_type_modif_mineure">[2]!type_modif_mineure[Type de modification]</definedName>
    <definedName name="TJ_to_kWh">'[1]Transport - Calcul 2'!$H$9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" l="1"/>
  <c r="H28" i="5"/>
  <c r="G15" i="5"/>
  <c r="J15" i="5"/>
  <c r="D34" i="11"/>
  <c r="D18" i="1"/>
  <c r="E18" i="1"/>
  <c r="F18" i="1"/>
  <c r="C18" i="1"/>
  <c r="R18" i="19"/>
  <c r="U10" i="19"/>
  <c r="T10" i="19"/>
  <c r="S10" i="19"/>
  <c r="Q10" i="19"/>
  <c r="P10" i="19"/>
  <c r="O10" i="19"/>
  <c r="N10" i="19"/>
  <c r="M10" i="19"/>
  <c r="L10" i="19"/>
  <c r="K10" i="19"/>
  <c r="I10" i="19"/>
  <c r="H10" i="19"/>
  <c r="G10" i="19"/>
  <c r="R9" i="19"/>
  <c r="U20" i="19" l="1"/>
  <c r="T20" i="19"/>
  <c r="S20" i="19"/>
  <c r="Q20" i="19"/>
  <c r="P20" i="19"/>
  <c r="O20" i="19"/>
  <c r="N20" i="19"/>
  <c r="M20" i="19"/>
  <c r="L20" i="19"/>
  <c r="K20" i="19"/>
  <c r="J20" i="19"/>
  <c r="I20" i="19"/>
  <c r="H20" i="19"/>
  <c r="G20" i="19"/>
  <c r="N11" i="19"/>
  <c r="M11" i="19"/>
  <c r="L11" i="19"/>
  <c r="K11" i="19"/>
  <c r="N19" i="16"/>
  <c r="M19" i="16"/>
  <c r="L19" i="16"/>
  <c r="K19" i="16"/>
  <c r="J19" i="16"/>
  <c r="I19" i="16"/>
  <c r="H19" i="16"/>
  <c r="G19" i="16"/>
  <c r="R19" i="16"/>
  <c r="Q19" i="16"/>
  <c r="P19" i="16"/>
  <c r="O19" i="16"/>
  <c r="V19" i="16"/>
  <c r="U19" i="16"/>
  <c r="T19" i="16"/>
  <c r="S19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R22" i="3"/>
  <c r="Q22" i="3"/>
  <c r="P22" i="3"/>
  <c r="O22" i="3"/>
  <c r="N22" i="3"/>
  <c r="M22" i="3"/>
  <c r="L22" i="3"/>
  <c r="K22" i="3"/>
  <c r="R12" i="3"/>
  <c r="Q12" i="3"/>
  <c r="P12" i="3"/>
  <c r="O12" i="3"/>
  <c r="N12" i="3"/>
  <c r="M12" i="3"/>
  <c r="L12" i="3"/>
  <c r="K12" i="3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V16" i="5"/>
  <c r="U16" i="5"/>
  <c r="T16" i="5"/>
  <c r="S16" i="5"/>
  <c r="R16" i="5"/>
  <c r="Q16" i="5"/>
  <c r="P16" i="5"/>
  <c r="O16" i="5"/>
  <c r="N16" i="5"/>
  <c r="M16" i="5"/>
  <c r="L16" i="5"/>
  <c r="K16" i="5"/>
  <c r="D47" i="11"/>
  <c r="D46" i="11"/>
  <c r="I9" i="11" l="1"/>
  <c r="H9" i="11"/>
  <c r="F22" i="1"/>
  <c r="E22" i="1"/>
  <c r="D22" i="1"/>
  <c r="C22" i="1"/>
  <c r="V29" i="20" l="1"/>
  <c r="V45" i="25"/>
  <c r="J31" i="13"/>
  <c r="V31" i="13"/>
  <c r="O17" i="7" l="1"/>
  <c r="C118" i="6"/>
  <c r="D27" i="22" l="1"/>
  <c r="S15" i="13" l="1"/>
  <c r="D35" i="7" l="1"/>
  <c r="L35" i="7"/>
  <c r="S35" i="7"/>
  <c r="D32" i="7"/>
  <c r="L32" i="7"/>
  <c r="S32" i="7"/>
  <c r="D33" i="7"/>
  <c r="L33" i="7"/>
  <c r="S33" i="7"/>
  <c r="D29" i="7"/>
  <c r="L29" i="7"/>
  <c r="S29" i="7"/>
  <c r="D30" i="7"/>
  <c r="L30" i="7"/>
  <c r="S30" i="7"/>
  <c r="P32" i="7" l="1"/>
  <c r="P35" i="7"/>
  <c r="P30" i="7"/>
  <c r="P29" i="7"/>
  <c r="P33" i="7"/>
  <c r="I17" i="26" l="1"/>
  <c r="J19" i="15"/>
  <c r="J20" i="15"/>
  <c r="J21" i="15"/>
  <c r="K21" i="15"/>
  <c r="K20" i="15"/>
  <c r="K19" i="15"/>
  <c r="F28" i="15"/>
  <c r="F27" i="15"/>
  <c r="F26" i="15"/>
  <c r="E12" i="15"/>
  <c r="G12" i="15"/>
  <c r="F19" i="15"/>
  <c r="G11" i="15"/>
  <c r="G10" i="15"/>
  <c r="D16" i="15"/>
  <c r="E16" i="15" s="1"/>
  <c r="H42" i="26" l="1"/>
  <c r="E42" i="26"/>
  <c r="D63" i="26"/>
  <c r="D64" i="26" s="1"/>
  <c r="E64" i="26" s="1"/>
  <c r="D60" i="26"/>
  <c r="E60" i="26" s="1"/>
  <c r="D61" i="26"/>
  <c r="E61" i="26" s="1"/>
  <c r="H41" i="26"/>
  <c r="D62" i="26" s="1"/>
  <c r="E62" i="26" s="1"/>
  <c r="E41" i="26"/>
  <c r="E17" i="24"/>
  <c r="D17" i="24"/>
  <c r="J11" i="18"/>
  <c r="G20" i="4" s="1"/>
  <c r="J15" i="13"/>
  <c r="G12" i="4" s="1"/>
  <c r="H10" i="26"/>
  <c r="H13" i="26"/>
  <c r="H14" i="26"/>
  <c r="H15" i="26"/>
  <c r="H16" i="26"/>
  <c r="H17" i="26"/>
  <c r="E18" i="26"/>
  <c r="H18" i="26"/>
  <c r="V9" i="19" s="1"/>
  <c r="E19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E35" i="26"/>
  <c r="H35" i="26" s="1"/>
  <c r="H36" i="26"/>
  <c r="H37" i="26"/>
  <c r="H38" i="26"/>
  <c r="H39" i="26"/>
  <c r="H40" i="26"/>
  <c r="O23" i="7"/>
  <c r="R12" i="13" s="1"/>
  <c r="O24" i="7"/>
  <c r="R13" i="13" s="1"/>
  <c r="V14" i="13"/>
  <c r="R14" i="13" s="1"/>
  <c r="R10" i="25"/>
  <c r="V10" i="25" s="1"/>
  <c r="R11" i="25"/>
  <c r="V11" i="25" s="1"/>
  <c r="R19" i="25"/>
  <c r="V19" i="25" s="1"/>
  <c r="R15" i="25"/>
  <c r="V15" i="25" s="1"/>
  <c r="R16" i="25"/>
  <c r="V16" i="25" s="1"/>
  <c r="L18" i="7"/>
  <c r="P18" i="7" s="1"/>
  <c r="G50" i="6"/>
  <c r="F16" i="27"/>
  <c r="T19" i="6"/>
  <c r="AB19" i="6"/>
  <c r="U19" i="6"/>
  <c r="AC19" i="6"/>
  <c r="V19" i="6"/>
  <c r="AD19" i="6"/>
  <c r="W19" i="6"/>
  <c r="AE19" i="6"/>
  <c r="T20" i="6"/>
  <c r="AB20" i="6"/>
  <c r="U20" i="6"/>
  <c r="AC20" i="6"/>
  <c r="V20" i="6"/>
  <c r="AD20" i="6"/>
  <c r="W20" i="6"/>
  <c r="AE20" i="6"/>
  <c r="T21" i="6"/>
  <c r="AB21" i="6"/>
  <c r="U21" i="6"/>
  <c r="AC21" i="6"/>
  <c r="V21" i="6"/>
  <c r="AD21" i="6"/>
  <c r="W21" i="6"/>
  <c r="AE21" i="6"/>
  <c r="T22" i="6"/>
  <c r="AB22" i="6"/>
  <c r="U22" i="6"/>
  <c r="AC22" i="6"/>
  <c r="V22" i="6"/>
  <c r="AD22" i="6"/>
  <c r="W22" i="6"/>
  <c r="AE22" i="6"/>
  <c r="T23" i="6"/>
  <c r="AB23" i="6"/>
  <c r="U23" i="6"/>
  <c r="AC23" i="6"/>
  <c r="V23" i="6"/>
  <c r="AD23" i="6"/>
  <c r="W23" i="6"/>
  <c r="AE23" i="6"/>
  <c r="T24" i="6"/>
  <c r="AB24" i="6"/>
  <c r="U24" i="6"/>
  <c r="AC24" i="6"/>
  <c r="V24" i="6"/>
  <c r="AD24" i="6"/>
  <c r="W24" i="6"/>
  <c r="AE24" i="6"/>
  <c r="T25" i="6"/>
  <c r="AB25" i="6"/>
  <c r="U25" i="6"/>
  <c r="AC25" i="6"/>
  <c r="V25" i="6"/>
  <c r="AD25" i="6"/>
  <c r="W25" i="6"/>
  <c r="AE25" i="6"/>
  <c r="T26" i="6"/>
  <c r="AB26" i="6"/>
  <c r="U26" i="6"/>
  <c r="AC26" i="6"/>
  <c r="V26" i="6"/>
  <c r="AD26" i="6"/>
  <c r="W26" i="6"/>
  <c r="AE26" i="6"/>
  <c r="H10" i="5"/>
  <c r="T29" i="6"/>
  <c r="AB29" i="6"/>
  <c r="U29" i="6"/>
  <c r="AC29" i="6"/>
  <c r="V29" i="6"/>
  <c r="AD29" i="6"/>
  <c r="T30" i="6"/>
  <c r="AB30" i="6"/>
  <c r="U30" i="6"/>
  <c r="AC30" i="6"/>
  <c r="V30" i="6"/>
  <c r="AD30" i="6"/>
  <c r="T31" i="6"/>
  <c r="AB31" i="6"/>
  <c r="U31" i="6"/>
  <c r="AC31" i="6"/>
  <c r="V31" i="6"/>
  <c r="AD31" i="6"/>
  <c r="T32" i="6"/>
  <c r="AB32" i="6"/>
  <c r="U32" i="6"/>
  <c r="AC32" i="6"/>
  <c r="V32" i="6"/>
  <c r="AD32" i="6"/>
  <c r="T33" i="6"/>
  <c r="AB33" i="6"/>
  <c r="U33" i="6"/>
  <c r="AC33" i="6"/>
  <c r="V33" i="6"/>
  <c r="AD33" i="6"/>
  <c r="T34" i="6"/>
  <c r="AB34" i="6"/>
  <c r="U34" i="6"/>
  <c r="AC34" i="6"/>
  <c r="V34" i="6"/>
  <c r="AD34" i="6"/>
  <c r="T35" i="6"/>
  <c r="AB35" i="6"/>
  <c r="U35" i="6"/>
  <c r="AC35" i="6"/>
  <c r="V35" i="6"/>
  <c r="AD35" i="6"/>
  <c r="T36" i="6"/>
  <c r="AB36" i="6"/>
  <c r="U36" i="6"/>
  <c r="AC36" i="6"/>
  <c r="V36" i="6"/>
  <c r="AD36" i="6"/>
  <c r="I10" i="5"/>
  <c r="J10" i="5"/>
  <c r="V10" i="5"/>
  <c r="S28" i="4"/>
  <c r="T39" i="6"/>
  <c r="AB39" i="6"/>
  <c r="U39" i="6"/>
  <c r="AC39" i="6"/>
  <c r="V39" i="6"/>
  <c r="AD39" i="6"/>
  <c r="W39" i="6"/>
  <c r="AE39" i="6"/>
  <c r="T40" i="6"/>
  <c r="AB40" i="6"/>
  <c r="U40" i="6"/>
  <c r="AC40" i="6"/>
  <c r="V40" i="6"/>
  <c r="AD40" i="6"/>
  <c r="W40" i="6"/>
  <c r="AE40" i="6"/>
  <c r="I11" i="5"/>
  <c r="U10" i="5"/>
  <c r="R28" i="4"/>
  <c r="U11" i="5"/>
  <c r="R29" i="4"/>
  <c r="T10" i="5"/>
  <c r="Q28" i="4"/>
  <c r="Q29" i="4"/>
  <c r="P28" i="4"/>
  <c r="G28" i="4"/>
  <c r="F29" i="4"/>
  <c r="F28" i="4"/>
  <c r="E28" i="4"/>
  <c r="E29" i="4"/>
  <c r="D28" i="4"/>
  <c r="C30" i="4"/>
  <c r="C28" i="4"/>
  <c r="C29" i="4"/>
  <c r="C27" i="4"/>
  <c r="O13" i="13"/>
  <c r="P24" i="7"/>
  <c r="P23" i="7"/>
  <c r="S12" i="13" s="1"/>
  <c r="G26" i="7"/>
  <c r="O26" i="7" s="1"/>
  <c r="L26" i="7" s="1"/>
  <c r="O25" i="7"/>
  <c r="U22" i="18"/>
  <c r="U23" i="18" s="1"/>
  <c r="T22" i="18"/>
  <c r="T23" i="18" s="1"/>
  <c r="Q22" i="18"/>
  <c r="Q23" i="18" s="1"/>
  <c r="P22" i="18"/>
  <c r="P23" i="18" s="1"/>
  <c r="O22" i="18"/>
  <c r="O23" i="18" s="1"/>
  <c r="N22" i="18"/>
  <c r="N23" i="18" s="1"/>
  <c r="M22" i="18"/>
  <c r="M23" i="18" s="1"/>
  <c r="L22" i="18"/>
  <c r="L23" i="18" s="1"/>
  <c r="K22" i="18"/>
  <c r="K23" i="18" s="1"/>
  <c r="J22" i="18"/>
  <c r="J23" i="18" s="1"/>
  <c r="I22" i="18"/>
  <c r="I23" i="18" s="1"/>
  <c r="H22" i="18"/>
  <c r="H23" i="18" s="1"/>
  <c r="G22" i="18"/>
  <c r="G23" i="18" s="1"/>
  <c r="V21" i="18"/>
  <c r="R21" i="18"/>
  <c r="R10" i="18"/>
  <c r="H11" i="18"/>
  <c r="E20" i="4" s="1"/>
  <c r="I11" i="18"/>
  <c r="I12" i="18" s="1"/>
  <c r="K11" i="18"/>
  <c r="H20" i="4" s="1"/>
  <c r="L11" i="18"/>
  <c r="L12" i="18" s="1"/>
  <c r="M11" i="18"/>
  <c r="M12" i="18" s="1"/>
  <c r="N11" i="18"/>
  <c r="K20" i="4" s="1"/>
  <c r="O11" i="18"/>
  <c r="L20" i="4" s="1"/>
  <c r="P11" i="18"/>
  <c r="M20" i="4" s="1"/>
  <c r="Q11" i="18"/>
  <c r="N20" i="4" s="1"/>
  <c r="T11" i="18"/>
  <c r="T12" i="18" s="1"/>
  <c r="U11" i="18"/>
  <c r="R20" i="4" s="1"/>
  <c r="G11" i="18"/>
  <c r="D20" i="4" s="1"/>
  <c r="E22" i="18"/>
  <c r="E11" i="18"/>
  <c r="P42" i="7"/>
  <c r="S22" i="18" s="1"/>
  <c r="S23" i="18" s="1"/>
  <c r="O42" i="7"/>
  <c r="R11" i="18" s="1"/>
  <c r="R12" i="18" s="1"/>
  <c r="S42" i="7"/>
  <c r="V11" i="18" s="1"/>
  <c r="S20" i="4" s="1"/>
  <c r="C16" i="14"/>
  <c r="D16" i="14"/>
  <c r="D15" i="14"/>
  <c r="C15" i="14"/>
  <c r="C12" i="14"/>
  <c r="D12" i="14"/>
  <c r="D11" i="14"/>
  <c r="C11" i="14"/>
  <c r="E30" i="4"/>
  <c r="F30" i="4"/>
  <c r="H30" i="4"/>
  <c r="I30" i="4"/>
  <c r="J30" i="4"/>
  <c r="K30" i="4"/>
  <c r="L30" i="4"/>
  <c r="M30" i="4"/>
  <c r="N30" i="4"/>
  <c r="O30" i="4"/>
  <c r="P30" i="4"/>
  <c r="Q30" i="4"/>
  <c r="R30" i="4"/>
  <c r="U27" i="5"/>
  <c r="T27" i="5"/>
  <c r="U14" i="5"/>
  <c r="T14" i="5"/>
  <c r="R28" i="5"/>
  <c r="Q28" i="5"/>
  <c r="P28" i="5"/>
  <c r="O28" i="5"/>
  <c r="R15" i="5"/>
  <c r="Q15" i="5"/>
  <c r="P15" i="5"/>
  <c r="O15" i="5"/>
  <c r="D118" i="6"/>
  <c r="D113" i="6"/>
  <c r="C113" i="6"/>
  <c r="C114" i="6"/>
  <c r="C120" i="6"/>
  <c r="F35" i="23"/>
  <c r="F33" i="23"/>
  <c r="F32" i="23"/>
  <c r="F29" i="23"/>
  <c r="F30" i="23"/>
  <c r="F38" i="23"/>
  <c r="F28" i="23"/>
  <c r="G27" i="5"/>
  <c r="J27" i="5"/>
  <c r="V27" i="5"/>
  <c r="D114" i="6"/>
  <c r="D120" i="6"/>
  <c r="G14" i="5"/>
  <c r="D30" i="4"/>
  <c r="J14" i="5"/>
  <c r="G30" i="4"/>
  <c r="V14" i="5"/>
  <c r="S30" i="4"/>
  <c r="D18" i="19"/>
  <c r="D17" i="19"/>
  <c r="C17" i="19"/>
  <c r="G6" i="9"/>
  <c r="G10" i="9"/>
  <c r="C12" i="9"/>
  <c r="C6" i="4"/>
  <c r="C11" i="24"/>
  <c r="C8" i="24"/>
  <c r="H11" i="24"/>
  <c r="H7" i="24"/>
  <c r="G11" i="24"/>
  <c r="H8" i="24"/>
  <c r="C7" i="24"/>
  <c r="J21" i="24"/>
  <c r="J19" i="24"/>
  <c r="F17" i="24"/>
  <c r="G17" i="24"/>
  <c r="E10" i="25"/>
  <c r="D18" i="24"/>
  <c r="E18" i="24"/>
  <c r="F18" i="24"/>
  <c r="G18" i="24"/>
  <c r="E11" i="25"/>
  <c r="D19" i="24"/>
  <c r="E19" i="24"/>
  <c r="F19" i="24"/>
  <c r="G19" i="24"/>
  <c r="E12" i="25"/>
  <c r="D21" i="24"/>
  <c r="E21" i="24"/>
  <c r="F21" i="24"/>
  <c r="G21" i="24"/>
  <c r="E14" i="25"/>
  <c r="D22" i="24"/>
  <c r="E22" i="24"/>
  <c r="F22" i="24"/>
  <c r="G22" i="24"/>
  <c r="E15" i="25"/>
  <c r="V12" i="5"/>
  <c r="P22" i="4"/>
  <c r="P24" i="4"/>
  <c r="P32" i="4"/>
  <c r="P33" i="4"/>
  <c r="N27" i="4"/>
  <c r="N29" i="4"/>
  <c r="N19" i="4"/>
  <c r="N23" i="4"/>
  <c r="Q10" i="25"/>
  <c r="U10" i="25" s="1"/>
  <c r="Q11" i="25"/>
  <c r="U11" i="25" s="1"/>
  <c r="Q12" i="25"/>
  <c r="U12" i="25" s="1"/>
  <c r="Q14" i="25"/>
  <c r="U14" i="25" s="1"/>
  <c r="Q15" i="25"/>
  <c r="U15" i="25" s="1"/>
  <c r="H18" i="11"/>
  <c r="H17" i="11"/>
  <c r="H14" i="11"/>
  <c r="H12" i="11"/>
  <c r="H10" i="11"/>
  <c r="H19" i="11" s="1"/>
  <c r="H11" i="11"/>
  <c r="H15" i="11"/>
  <c r="H16" i="11"/>
  <c r="I18" i="11"/>
  <c r="I17" i="11"/>
  <c r="I15" i="11"/>
  <c r="I14" i="11"/>
  <c r="I12" i="11"/>
  <c r="I11" i="11"/>
  <c r="I10" i="11"/>
  <c r="G20" i="11"/>
  <c r="G21" i="11"/>
  <c r="G22" i="11"/>
  <c r="J71" i="1"/>
  <c r="J72" i="1"/>
  <c r="G19" i="11"/>
  <c r="K10" i="1"/>
  <c r="I21" i="11" s="1"/>
  <c r="K64" i="1"/>
  <c r="J64" i="1" s="1"/>
  <c r="K9" i="1"/>
  <c r="K13" i="1" s="1"/>
  <c r="D8" i="24"/>
  <c r="D7" i="24"/>
  <c r="J36" i="24"/>
  <c r="F44" i="24"/>
  <c r="G44" i="24"/>
  <c r="E38" i="25"/>
  <c r="F45" i="24"/>
  <c r="G45" i="24"/>
  <c r="E39" i="25"/>
  <c r="F46" i="24"/>
  <c r="G46" i="24"/>
  <c r="E40" i="25"/>
  <c r="F47" i="24"/>
  <c r="G47" i="24"/>
  <c r="E41" i="25"/>
  <c r="F40" i="24"/>
  <c r="G40" i="24"/>
  <c r="E34" i="25"/>
  <c r="F41" i="24"/>
  <c r="G41" i="24"/>
  <c r="E35" i="25"/>
  <c r="F42" i="24"/>
  <c r="G42" i="24"/>
  <c r="E36" i="25"/>
  <c r="F36" i="24"/>
  <c r="G36" i="24"/>
  <c r="E30" i="25"/>
  <c r="F37" i="24"/>
  <c r="G37" i="24"/>
  <c r="E31" i="25"/>
  <c r="F38" i="24"/>
  <c r="G38" i="24"/>
  <c r="E32" i="25"/>
  <c r="P38" i="25"/>
  <c r="T38" i="25" s="1"/>
  <c r="P39" i="25"/>
  <c r="T39" i="25" s="1"/>
  <c r="P40" i="25"/>
  <c r="T40" i="25" s="1"/>
  <c r="P41" i="25"/>
  <c r="T41" i="25" s="1"/>
  <c r="P34" i="25"/>
  <c r="T34" i="25" s="1"/>
  <c r="P35" i="25"/>
  <c r="T35" i="25" s="1"/>
  <c r="P36" i="25"/>
  <c r="T36" i="25" s="1"/>
  <c r="P30" i="25"/>
  <c r="T30" i="25" s="1"/>
  <c r="P31" i="25"/>
  <c r="T31" i="25" s="1"/>
  <c r="P32" i="25"/>
  <c r="T32" i="25" s="1"/>
  <c r="Q38" i="25"/>
  <c r="U38" i="25" s="1"/>
  <c r="Q39" i="25"/>
  <c r="U39" i="25" s="1"/>
  <c r="Q40" i="25"/>
  <c r="U40" i="25" s="1"/>
  <c r="Q41" i="25"/>
  <c r="U41" i="25" s="1"/>
  <c r="Q34" i="25"/>
  <c r="U34" i="25" s="1"/>
  <c r="Q35" i="25"/>
  <c r="U35" i="25" s="1"/>
  <c r="Q36" i="25"/>
  <c r="U36" i="25" s="1"/>
  <c r="Q30" i="25"/>
  <c r="U30" i="25" s="1"/>
  <c r="Q31" i="25"/>
  <c r="U31" i="25" s="1"/>
  <c r="Q32" i="25"/>
  <c r="U32" i="25" s="1"/>
  <c r="R39" i="25"/>
  <c r="V39" i="25" s="1"/>
  <c r="D28" i="27"/>
  <c r="D29" i="27"/>
  <c r="O12" i="20"/>
  <c r="R12" i="20"/>
  <c r="V12" i="20"/>
  <c r="S24" i="4"/>
  <c r="S22" i="4"/>
  <c r="K65" i="1"/>
  <c r="J65" i="1" s="1"/>
  <c r="K66" i="1"/>
  <c r="K67" i="1"/>
  <c r="K68" i="1"/>
  <c r="J68" i="1" s="1"/>
  <c r="K69" i="1"/>
  <c r="J69" i="1" s="1"/>
  <c r="K70" i="1"/>
  <c r="K71" i="1"/>
  <c r="K72" i="1"/>
  <c r="K73" i="1"/>
  <c r="J73" i="1" s="1"/>
  <c r="K29" i="1"/>
  <c r="K30" i="1"/>
  <c r="K32" i="1"/>
  <c r="K35" i="1"/>
  <c r="K37" i="1"/>
  <c r="K38" i="1"/>
  <c r="K36" i="1"/>
  <c r="J99" i="1"/>
  <c r="K99" i="1"/>
  <c r="I13" i="11"/>
  <c r="I16" i="11"/>
  <c r="D8" i="22"/>
  <c r="E9" i="21" s="1"/>
  <c r="E10" i="21" s="1"/>
  <c r="D25" i="22"/>
  <c r="O24" i="4"/>
  <c r="O22" i="4"/>
  <c r="O27" i="4"/>
  <c r="K6" i="4"/>
  <c r="K14" i="4"/>
  <c r="K15" i="4"/>
  <c r="K16" i="4"/>
  <c r="K32" i="4"/>
  <c r="K33" i="4"/>
  <c r="G19" i="4"/>
  <c r="G22" i="4"/>
  <c r="G11" i="4"/>
  <c r="G14" i="4"/>
  <c r="G17" i="4"/>
  <c r="G15" i="4"/>
  <c r="G16" i="4"/>
  <c r="G32" i="4"/>
  <c r="G33" i="4"/>
  <c r="P10" i="25"/>
  <c r="P11" i="25"/>
  <c r="T11" i="25" s="1"/>
  <c r="P12" i="25"/>
  <c r="T12" i="25" s="1"/>
  <c r="P14" i="25"/>
  <c r="P15" i="25"/>
  <c r="E14" i="4"/>
  <c r="E15" i="4"/>
  <c r="E16" i="4"/>
  <c r="F14" i="4"/>
  <c r="F15" i="4"/>
  <c r="F16" i="4"/>
  <c r="H14" i="4"/>
  <c r="H15" i="4"/>
  <c r="H16" i="4"/>
  <c r="I14" i="4"/>
  <c r="I15" i="4"/>
  <c r="I16" i="4"/>
  <c r="J14" i="4"/>
  <c r="J15" i="4"/>
  <c r="J16" i="4"/>
  <c r="D14" i="4"/>
  <c r="D15" i="4"/>
  <c r="D16" i="4"/>
  <c r="K42" i="25"/>
  <c r="F25" i="24"/>
  <c r="D25" i="24"/>
  <c r="E25" i="24"/>
  <c r="G25" i="24"/>
  <c r="E18" i="25"/>
  <c r="F26" i="24"/>
  <c r="D26" i="24"/>
  <c r="E26" i="24"/>
  <c r="G26" i="24"/>
  <c r="E19" i="25"/>
  <c r="F27" i="24"/>
  <c r="D27" i="24"/>
  <c r="E27" i="24"/>
  <c r="G27" i="24"/>
  <c r="E20" i="25"/>
  <c r="F28" i="24"/>
  <c r="D28" i="24"/>
  <c r="E28" i="24"/>
  <c r="G28" i="24"/>
  <c r="E21" i="25"/>
  <c r="F23" i="24"/>
  <c r="D23" i="24"/>
  <c r="E23" i="24"/>
  <c r="G23" i="24"/>
  <c r="E16" i="25"/>
  <c r="P18" i="25"/>
  <c r="P19" i="25"/>
  <c r="T19" i="25" s="1"/>
  <c r="P20" i="25"/>
  <c r="T20" i="25" s="1"/>
  <c r="P21" i="25"/>
  <c r="T21" i="25" s="1"/>
  <c r="Q18" i="25"/>
  <c r="U18" i="25" s="1"/>
  <c r="Q19" i="25"/>
  <c r="U19" i="25" s="1"/>
  <c r="Q20" i="25"/>
  <c r="U20" i="25" s="1"/>
  <c r="Q21" i="25"/>
  <c r="U21" i="25" s="1"/>
  <c r="P16" i="25"/>
  <c r="T16" i="25" s="1"/>
  <c r="Q16" i="25"/>
  <c r="U16" i="25" s="1"/>
  <c r="H23" i="25"/>
  <c r="I23" i="25"/>
  <c r="J23" i="25"/>
  <c r="K23" i="25"/>
  <c r="L23" i="25"/>
  <c r="M23" i="25"/>
  <c r="N23" i="25"/>
  <c r="G23" i="25"/>
  <c r="C9" i="24"/>
  <c r="D31" i="25"/>
  <c r="D32" i="25"/>
  <c r="D34" i="25"/>
  <c r="D35" i="25"/>
  <c r="D36" i="25"/>
  <c r="D38" i="25"/>
  <c r="D39" i="25"/>
  <c r="D40" i="25"/>
  <c r="D41" i="25"/>
  <c r="D11" i="25"/>
  <c r="D12" i="25"/>
  <c r="D14" i="25"/>
  <c r="D15" i="25"/>
  <c r="D16" i="25"/>
  <c r="D18" i="25"/>
  <c r="D19" i="25"/>
  <c r="D20" i="25"/>
  <c r="D21" i="25"/>
  <c r="J38" i="24"/>
  <c r="D37" i="24"/>
  <c r="E37" i="24"/>
  <c r="D38" i="24"/>
  <c r="E38" i="24"/>
  <c r="D40" i="24"/>
  <c r="E40" i="24"/>
  <c r="D41" i="24"/>
  <c r="E41" i="24"/>
  <c r="D42" i="24"/>
  <c r="E42" i="24"/>
  <c r="D44" i="24"/>
  <c r="E44" i="24"/>
  <c r="D45" i="24"/>
  <c r="E45" i="24"/>
  <c r="D46" i="24"/>
  <c r="E46" i="24"/>
  <c r="D47" i="24"/>
  <c r="E47" i="24"/>
  <c r="D36" i="24"/>
  <c r="E36" i="24"/>
  <c r="C46" i="14"/>
  <c r="J67" i="1"/>
  <c r="J70" i="1"/>
  <c r="J38" i="1"/>
  <c r="J29" i="1"/>
  <c r="J30" i="1"/>
  <c r="J32" i="1"/>
  <c r="J35" i="1"/>
  <c r="J37" i="1"/>
  <c r="J36" i="1"/>
  <c r="D19" i="4"/>
  <c r="D22" i="4"/>
  <c r="D11" i="4"/>
  <c r="D27" i="4"/>
  <c r="D32" i="4"/>
  <c r="D33" i="4"/>
  <c r="E19" i="4"/>
  <c r="E22" i="4"/>
  <c r="E32" i="4"/>
  <c r="E33" i="4"/>
  <c r="F19" i="4"/>
  <c r="F22" i="4"/>
  <c r="F27" i="4"/>
  <c r="F32" i="4"/>
  <c r="F33" i="4"/>
  <c r="I10" i="26"/>
  <c r="I11" i="26"/>
  <c r="I12" i="26"/>
  <c r="I13" i="26"/>
  <c r="I14" i="26"/>
  <c r="I15" i="26"/>
  <c r="I16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6" i="26"/>
  <c r="I37" i="26"/>
  <c r="I38" i="26"/>
  <c r="I39" i="26"/>
  <c r="I40" i="26"/>
  <c r="I41" i="26"/>
  <c r="I42" i="26"/>
  <c r="I43" i="26"/>
  <c r="M19" i="4"/>
  <c r="M23" i="4"/>
  <c r="M24" i="4"/>
  <c r="E13" i="20"/>
  <c r="P13" i="20"/>
  <c r="M25" i="4" s="1"/>
  <c r="P10" i="16"/>
  <c r="M22" i="4"/>
  <c r="P11" i="19"/>
  <c r="M27" i="4"/>
  <c r="M29" i="4"/>
  <c r="R9" i="16"/>
  <c r="R10" i="16"/>
  <c r="L24" i="4"/>
  <c r="O9" i="16"/>
  <c r="O10" i="16"/>
  <c r="L22" i="4"/>
  <c r="L27" i="4"/>
  <c r="L29" i="4"/>
  <c r="L32" i="4"/>
  <c r="L33" i="4"/>
  <c r="J9" i="16"/>
  <c r="J10" i="16"/>
  <c r="J10" i="19"/>
  <c r="J11" i="19" s="1"/>
  <c r="J11" i="20"/>
  <c r="V9" i="16"/>
  <c r="V10" i="16"/>
  <c r="G10" i="16"/>
  <c r="G11" i="19"/>
  <c r="D21" i="4"/>
  <c r="H10" i="16"/>
  <c r="H11" i="19"/>
  <c r="I10" i="16"/>
  <c r="I11" i="19"/>
  <c r="H6" i="4"/>
  <c r="H32" i="4"/>
  <c r="H33" i="4"/>
  <c r="I6" i="4"/>
  <c r="I32" i="4"/>
  <c r="I33" i="4"/>
  <c r="J6" i="4"/>
  <c r="J32" i="4"/>
  <c r="J33" i="4"/>
  <c r="S12" i="20"/>
  <c r="S9" i="16"/>
  <c r="S10" i="16"/>
  <c r="T11" i="20"/>
  <c r="Q23" i="4"/>
  <c r="T12" i="20"/>
  <c r="Q24" i="4"/>
  <c r="T13" i="20"/>
  <c r="T14" i="20" s="1"/>
  <c r="T9" i="16"/>
  <c r="T10" i="16"/>
  <c r="Q22" i="4"/>
  <c r="T11" i="19"/>
  <c r="Q19" i="4"/>
  <c r="U11" i="20"/>
  <c r="R23" i="4"/>
  <c r="U12" i="20"/>
  <c r="R24" i="4"/>
  <c r="U13" i="20"/>
  <c r="R25" i="4" s="1"/>
  <c r="U9" i="16"/>
  <c r="U10" i="16"/>
  <c r="R22" i="4"/>
  <c r="U11" i="19"/>
  <c r="R19" i="4"/>
  <c r="C58" i="14"/>
  <c r="C56" i="14"/>
  <c r="C62" i="14"/>
  <c r="E27" i="13"/>
  <c r="C57" i="14"/>
  <c r="C39" i="14"/>
  <c r="D39" i="14"/>
  <c r="C40" i="14"/>
  <c r="D40" i="14"/>
  <c r="D38" i="14"/>
  <c r="C38" i="14"/>
  <c r="C8" i="23"/>
  <c r="C9" i="23"/>
  <c r="R9" i="18"/>
  <c r="C14" i="23"/>
  <c r="C15" i="23"/>
  <c r="R8" i="18"/>
  <c r="V8" i="18"/>
  <c r="K40" i="1"/>
  <c r="J40" i="1"/>
  <c r="V20" i="12"/>
  <c r="C29" i="11"/>
  <c r="C30" i="11"/>
  <c r="C46" i="11"/>
  <c r="D45" i="11"/>
  <c r="E9" i="12" s="1"/>
  <c r="C45" i="11"/>
  <c r="D30" i="11"/>
  <c r="C18" i="11"/>
  <c r="C14" i="11"/>
  <c r="C17" i="11"/>
  <c r="C15" i="11"/>
  <c r="C12" i="11"/>
  <c r="C10" i="11"/>
  <c r="C9" i="11"/>
  <c r="E24" i="20"/>
  <c r="J22" i="20"/>
  <c r="C28" i="27"/>
  <c r="C29" i="27"/>
  <c r="O23" i="20"/>
  <c r="R23" i="20"/>
  <c r="V23" i="20"/>
  <c r="E22" i="20"/>
  <c r="E11" i="20"/>
  <c r="C13" i="27"/>
  <c r="P39" i="7"/>
  <c r="O39" i="7"/>
  <c r="O40" i="7"/>
  <c r="O41" i="7"/>
  <c r="F20" i="15"/>
  <c r="F21" i="15"/>
  <c r="G39" i="7"/>
  <c r="R39" i="7"/>
  <c r="Q39" i="7"/>
  <c r="D9" i="3"/>
  <c r="D19" i="3" s="1"/>
  <c r="D10" i="3"/>
  <c r="D20" i="3" s="1"/>
  <c r="D8" i="3"/>
  <c r="D18" i="3" s="1"/>
  <c r="E21" i="15"/>
  <c r="D12" i="15"/>
  <c r="D11" i="15"/>
  <c r="E11" i="15"/>
  <c r="C12" i="15"/>
  <c r="E10" i="15"/>
  <c r="V97" i="6"/>
  <c r="AD97" i="6"/>
  <c r="U97" i="6"/>
  <c r="AC97" i="6"/>
  <c r="V104" i="6"/>
  <c r="AD104" i="6"/>
  <c r="V96" i="6"/>
  <c r="AD96" i="6"/>
  <c r="V87" i="6"/>
  <c r="AD87" i="6"/>
  <c r="V88" i="6"/>
  <c r="AD88" i="6"/>
  <c r="V89" i="6"/>
  <c r="AD89" i="6"/>
  <c r="V90" i="6"/>
  <c r="AD90" i="6"/>
  <c r="V91" i="6"/>
  <c r="AD91" i="6"/>
  <c r="V92" i="6"/>
  <c r="AD92" i="6"/>
  <c r="V93" i="6"/>
  <c r="AD93" i="6"/>
  <c r="V86" i="6"/>
  <c r="AD86" i="6"/>
  <c r="V77" i="6"/>
  <c r="AD77" i="6"/>
  <c r="V78" i="6"/>
  <c r="AD78" i="6"/>
  <c r="V79" i="6"/>
  <c r="AD79" i="6"/>
  <c r="V80" i="6"/>
  <c r="AD80" i="6"/>
  <c r="V81" i="6"/>
  <c r="AD81" i="6"/>
  <c r="V82" i="6"/>
  <c r="AD82" i="6"/>
  <c r="V83" i="6"/>
  <c r="AD83" i="6"/>
  <c r="V76" i="6"/>
  <c r="AD76" i="6"/>
  <c r="AE47" i="6"/>
  <c r="W47" i="6"/>
  <c r="W30" i="6"/>
  <c r="AE30" i="6"/>
  <c r="W31" i="6"/>
  <c r="AE31" i="6"/>
  <c r="W32" i="6"/>
  <c r="AE32" i="6"/>
  <c r="W33" i="6"/>
  <c r="AE33" i="6"/>
  <c r="W34" i="6"/>
  <c r="AE34" i="6"/>
  <c r="W35" i="6"/>
  <c r="AE35" i="6"/>
  <c r="W36" i="6"/>
  <c r="AE36" i="6"/>
  <c r="W29" i="6"/>
  <c r="AE29" i="6"/>
  <c r="C46" i="27"/>
  <c r="U24" i="20"/>
  <c r="U25" i="20" s="1"/>
  <c r="T24" i="20"/>
  <c r="T25" i="20" s="1"/>
  <c r="P24" i="20"/>
  <c r="P25" i="20" s="1"/>
  <c r="N24" i="20"/>
  <c r="M24" i="20"/>
  <c r="L24" i="20"/>
  <c r="K24" i="20"/>
  <c r="J24" i="20"/>
  <c r="J25" i="20" s="1"/>
  <c r="I24" i="20"/>
  <c r="I25" i="20" s="1"/>
  <c r="H24" i="20"/>
  <c r="H25" i="20" s="1"/>
  <c r="G24" i="20"/>
  <c r="G25" i="20" s="1"/>
  <c r="H13" i="20"/>
  <c r="H14" i="20" s="1"/>
  <c r="I13" i="20"/>
  <c r="I14" i="20" s="1"/>
  <c r="J13" i="20"/>
  <c r="J14" i="20" s="1"/>
  <c r="K13" i="20"/>
  <c r="L13" i="20"/>
  <c r="M13" i="20"/>
  <c r="N13" i="20"/>
  <c r="G13" i="20"/>
  <c r="G14" i="20" s="1"/>
  <c r="U23" i="20"/>
  <c r="T23" i="20"/>
  <c r="S23" i="20"/>
  <c r="U22" i="20"/>
  <c r="T22" i="20"/>
  <c r="D25" i="7"/>
  <c r="N16" i="24"/>
  <c r="E29" i="26"/>
  <c r="E75" i="26"/>
  <c r="D74" i="26"/>
  <c r="E74" i="26"/>
  <c r="D73" i="26"/>
  <c r="E73" i="26"/>
  <c r="E76" i="26" s="1"/>
  <c r="S34" i="7"/>
  <c r="R12" i="25" s="1"/>
  <c r="V12" i="25" s="1"/>
  <c r="L34" i="7"/>
  <c r="D34" i="7"/>
  <c r="O39" i="25"/>
  <c r="S39" i="25" s="1"/>
  <c r="S31" i="7"/>
  <c r="R20" i="25" s="1"/>
  <c r="V20" i="25" s="1"/>
  <c r="L31" i="7"/>
  <c r="D31" i="7"/>
  <c r="S28" i="7"/>
  <c r="V15" i="13" s="1"/>
  <c r="R15" i="13" s="1"/>
  <c r="O12" i="4" s="1"/>
  <c r="L28" i="7"/>
  <c r="D28" i="7"/>
  <c r="G27" i="13" s="1"/>
  <c r="S27" i="7"/>
  <c r="R14" i="25" s="1"/>
  <c r="V14" i="25" s="1"/>
  <c r="L27" i="7"/>
  <c r="D27" i="7"/>
  <c r="R35" i="25"/>
  <c r="V35" i="25" s="1"/>
  <c r="L25" i="7"/>
  <c r="D30" i="25"/>
  <c r="D10" i="25"/>
  <c r="L19" i="6"/>
  <c r="M19" i="6"/>
  <c r="N19" i="6"/>
  <c r="N29" i="6"/>
  <c r="L20" i="6"/>
  <c r="M20" i="6"/>
  <c r="N20" i="6"/>
  <c r="L21" i="6"/>
  <c r="M21" i="6"/>
  <c r="N21" i="6"/>
  <c r="L22" i="6"/>
  <c r="M22" i="6"/>
  <c r="N22" i="6"/>
  <c r="L23" i="6"/>
  <c r="M23" i="6"/>
  <c r="N23" i="6"/>
  <c r="L24" i="6"/>
  <c r="M24" i="6"/>
  <c r="N24" i="6"/>
  <c r="L25" i="6"/>
  <c r="M25" i="6"/>
  <c r="N25" i="6"/>
  <c r="L26" i="6"/>
  <c r="L36" i="6"/>
  <c r="M26" i="6"/>
  <c r="M36" i="6"/>
  <c r="N26" i="6"/>
  <c r="N36" i="6"/>
  <c r="L29" i="6"/>
  <c r="L30" i="6"/>
  <c r="N30" i="6"/>
  <c r="M31" i="6"/>
  <c r="N31" i="6"/>
  <c r="L32" i="6"/>
  <c r="M32" i="6"/>
  <c r="N32" i="6"/>
  <c r="L33" i="6"/>
  <c r="M33" i="6"/>
  <c r="N33" i="6"/>
  <c r="L34" i="6"/>
  <c r="L35" i="6"/>
  <c r="M35" i="6"/>
  <c r="L43" i="6"/>
  <c r="T47" i="6"/>
  <c r="AB47" i="6"/>
  <c r="M43" i="6"/>
  <c r="N43" i="6"/>
  <c r="L39" i="6"/>
  <c r="M39" i="6"/>
  <c r="N39" i="6"/>
  <c r="E13" i="13"/>
  <c r="D7" i="14"/>
  <c r="E12" i="13"/>
  <c r="E25" i="13"/>
  <c r="C7" i="14"/>
  <c r="E24" i="13"/>
  <c r="K22" i="25"/>
  <c r="U19" i="21"/>
  <c r="S19" i="21"/>
  <c r="C8" i="22"/>
  <c r="E18" i="21" s="1"/>
  <c r="E19" i="21" s="1"/>
  <c r="S18" i="21"/>
  <c r="S20" i="21"/>
  <c r="O20" i="21"/>
  <c r="N20" i="21"/>
  <c r="M20" i="21"/>
  <c r="L20" i="21"/>
  <c r="K20" i="21"/>
  <c r="J20" i="21"/>
  <c r="I20" i="21"/>
  <c r="H20" i="21"/>
  <c r="G20" i="21"/>
  <c r="H11" i="21"/>
  <c r="I11" i="21"/>
  <c r="J11" i="21"/>
  <c r="K11" i="21"/>
  <c r="L11" i="21"/>
  <c r="M11" i="21"/>
  <c r="N11" i="21"/>
  <c r="O11" i="21"/>
  <c r="S11" i="21"/>
  <c r="G11" i="21"/>
  <c r="U10" i="21"/>
  <c r="S10" i="21"/>
  <c r="S9" i="21"/>
  <c r="G9" i="21"/>
  <c r="D18" i="22"/>
  <c r="C18" i="22"/>
  <c r="C12" i="22"/>
  <c r="D12" i="22"/>
  <c r="D28" i="22"/>
  <c r="D29" i="22" s="1"/>
  <c r="P10" i="21" s="1"/>
  <c r="C25" i="22"/>
  <c r="C9" i="22"/>
  <c r="D9" i="22" s="1"/>
  <c r="I21" i="14"/>
  <c r="C13" i="17"/>
  <c r="P17" i="7"/>
  <c r="U20" i="12"/>
  <c r="T20" i="12"/>
  <c r="S20" i="12"/>
  <c r="S10" i="12"/>
  <c r="T10" i="12"/>
  <c r="U10" i="12"/>
  <c r="V10" i="12"/>
  <c r="O16" i="7"/>
  <c r="E19" i="12"/>
  <c r="M19" i="12"/>
  <c r="K19" i="12"/>
  <c r="L19" i="12"/>
  <c r="N19" i="12"/>
  <c r="H16" i="7"/>
  <c r="Q17" i="7"/>
  <c r="R17" i="7"/>
  <c r="C52" i="17"/>
  <c r="D50" i="17"/>
  <c r="C8" i="17"/>
  <c r="C7" i="17"/>
  <c r="F19" i="17"/>
  <c r="C7" i="4"/>
  <c r="D23" i="17"/>
  <c r="F41" i="17"/>
  <c r="F32" i="17"/>
  <c r="F29" i="17"/>
  <c r="F28" i="17"/>
  <c r="F20" i="17"/>
  <c r="F21" i="17"/>
  <c r="Q11" i="19"/>
  <c r="P41" i="7"/>
  <c r="S41" i="7" s="1"/>
  <c r="P40" i="7"/>
  <c r="S40" i="7" s="1"/>
  <c r="D49" i="17"/>
  <c r="Q18" i="16"/>
  <c r="P18" i="16"/>
  <c r="U17" i="16"/>
  <c r="J17" i="16"/>
  <c r="Q10" i="16"/>
  <c r="C41" i="17"/>
  <c r="E49" i="17"/>
  <c r="E50" i="17"/>
  <c r="D48" i="17"/>
  <c r="E48" i="17"/>
  <c r="D47" i="17"/>
  <c r="E47" i="17"/>
  <c r="D46" i="17"/>
  <c r="E46" i="17"/>
  <c r="E23" i="17"/>
  <c r="D40" i="17"/>
  <c r="E40" i="17"/>
  <c r="D39" i="17"/>
  <c r="E39" i="17"/>
  <c r="D38" i="17"/>
  <c r="D37" i="17"/>
  <c r="D36" i="17"/>
  <c r="E36" i="17"/>
  <c r="D35" i="17"/>
  <c r="E35" i="17"/>
  <c r="D34" i="17"/>
  <c r="E34" i="17"/>
  <c r="D33" i="17"/>
  <c r="E33" i="17"/>
  <c r="D32" i="17"/>
  <c r="E32" i="17"/>
  <c r="D31" i="17"/>
  <c r="E31" i="17"/>
  <c r="D30" i="17"/>
  <c r="E30" i="17"/>
  <c r="D29" i="17"/>
  <c r="E29" i="17"/>
  <c r="D28" i="17"/>
  <c r="E28" i="17"/>
  <c r="D27" i="17"/>
  <c r="E27" i="17"/>
  <c r="D26" i="17"/>
  <c r="E26" i="17"/>
  <c r="D25" i="17"/>
  <c r="E25" i="17"/>
  <c r="D24" i="17"/>
  <c r="E24" i="17"/>
  <c r="D22" i="17"/>
  <c r="E22" i="17"/>
  <c r="D21" i="17"/>
  <c r="E21" i="17"/>
  <c r="D20" i="17"/>
  <c r="E20" i="17"/>
  <c r="D19" i="17"/>
  <c r="E19" i="17"/>
  <c r="C12" i="17"/>
  <c r="E38" i="17"/>
  <c r="E52" i="17"/>
  <c r="O17" i="16"/>
  <c r="R17" i="16"/>
  <c r="R18" i="16"/>
  <c r="S11" i="19"/>
  <c r="G40" i="7"/>
  <c r="H18" i="16"/>
  <c r="G18" i="16"/>
  <c r="T17" i="16"/>
  <c r="T18" i="16"/>
  <c r="U18" i="16"/>
  <c r="I18" i="16"/>
  <c r="E37" i="17"/>
  <c r="E41" i="17"/>
  <c r="S17" i="16"/>
  <c r="S18" i="16"/>
  <c r="O18" i="16"/>
  <c r="J18" i="16"/>
  <c r="V17" i="16"/>
  <c r="V18" i="16"/>
  <c r="E20" i="12"/>
  <c r="E10" i="12"/>
  <c r="D10" i="12"/>
  <c r="D20" i="12"/>
  <c r="D11" i="12"/>
  <c r="D21" i="12"/>
  <c r="D9" i="12"/>
  <c r="D19" i="12"/>
  <c r="H19" i="12"/>
  <c r="C19" i="12"/>
  <c r="W14" i="10"/>
  <c r="D9" i="10"/>
  <c r="D25" i="10"/>
  <c r="D11" i="10"/>
  <c r="D27" i="10"/>
  <c r="D12" i="10"/>
  <c r="D28" i="10"/>
  <c r="D13" i="10"/>
  <c r="D29" i="10"/>
  <c r="D14" i="10"/>
  <c r="D30" i="10"/>
  <c r="D15" i="10"/>
  <c r="D31" i="10"/>
  <c r="D16" i="10"/>
  <c r="D32" i="10"/>
  <c r="D8" i="10"/>
  <c r="D24" i="10"/>
  <c r="C27" i="10"/>
  <c r="C24" i="10"/>
  <c r="R23" i="7"/>
  <c r="U24" i="13" s="1"/>
  <c r="Q23" i="7"/>
  <c r="T24" i="13" s="1"/>
  <c r="P16" i="7"/>
  <c r="D16" i="7"/>
  <c r="P15" i="7"/>
  <c r="O15" i="7"/>
  <c r="L15" i="7" s="1"/>
  <c r="D15" i="7"/>
  <c r="P14" i="7"/>
  <c r="O14" i="7"/>
  <c r="L14" i="7" s="1"/>
  <c r="D14" i="7"/>
  <c r="G19" i="12" s="1"/>
  <c r="P13" i="7"/>
  <c r="O13" i="7"/>
  <c r="D13" i="7"/>
  <c r="P12" i="7"/>
  <c r="O12" i="7"/>
  <c r="L12" i="7" s="1"/>
  <c r="D12" i="7"/>
  <c r="P11" i="7"/>
  <c r="O11" i="7"/>
  <c r="D11" i="7"/>
  <c r="P10" i="7"/>
  <c r="O10" i="7"/>
  <c r="L10" i="7" s="1"/>
  <c r="D10" i="7"/>
  <c r="P9" i="7"/>
  <c r="O9" i="7"/>
  <c r="L9" i="7" s="1"/>
  <c r="D9" i="7"/>
  <c r="P8" i="7"/>
  <c r="O8" i="7"/>
  <c r="D8" i="7"/>
  <c r="P7" i="7"/>
  <c r="O7" i="7"/>
  <c r="D7" i="7"/>
  <c r="C59" i="1"/>
  <c r="D59" i="1"/>
  <c r="J19" i="12"/>
  <c r="I19" i="12"/>
  <c r="P19" i="12"/>
  <c r="G23" i="7"/>
  <c r="J12" i="13" s="1"/>
  <c r="G24" i="7"/>
  <c r="J13" i="13" s="1"/>
  <c r="K11" i="1"/>
  <c r="K66" i="6"/>
  <c r="K68" i="6"/>
  <c r="K69" i="6"/>
  <c r="K70" i="6"/>
  <c r="K73" i="6"/>
  <c r="K80" i="6"/>
  <c r="S80" i="6"/>
  <c r="AA80" i="6"/>
  <c r="K81" i="6"/>
  <c r="K91" i="6"/>
  <c r="K82" i="6"/>
  <c r="S82" i="6"/>
  <c r="AA82" i="6"/>
  <c r="S97" i="6"/>
  <c r="AA97" i="6"/>
  <c r="S104" i="6"/>
  <c r="AA104" i="6"/>
  <c r="T76" i="6"/>
  <c r="AB76" i="6"/>
  <c r="T78" i="6"/>
  <c r="AB78" i="6"/>
  <c r="T79" i="6"/>
  <c r="AB79" i="6"/>
  <c r="T80" i="6"/>
  <c r="AB80" i="6"/>
  <c r="T82" i="6"/>
  <c r="AB82" i="6"/>
  <c r="T83" i="6"/>
  <c r="AB83" i="6"/>
  <c r="L86" i="6"/>
  <c r="L87" i="6"/>
  <c r="L88" i="6"/>
  <c r="T88" i="6"/>
  <c r="AB88" i="6"/>
  <c r="L89" i="6"/>
  <c r="L90" i="6"/>
  <c r="T90" i="6"/>
  <c r="AB90" i="6"/>
  <c r="L91" i="6"/>
  <c r="L92" i="6"/>
  <c r="T92" i="6"/>
  <c r="AB92" i="6"/>
  <c r="L93" i="6"/>
  <c r="L96" i="6"/>
  <c r="T97" i="6"/>
  <c r="AB97" i="6"/>
  <c r="G57" i="6"/>
  <c r="G61" i="6"/>
  <c r="M66" i="6"/>
  <c r="M96" i="6"/>
  <c r="U96" i="6"/>
  <c r="AC96" i="6"/>
  <c r="M70" i="6"/>
  <c r="M79" i="6"/>
  <c r="M89" i="6"/>
  <c r="M81" i="6"/>
  <c r="M91" i="6"/>
  <c r="M82" i="6"/>
  <c r="M92" i="6"/>
  <c r="M83" i="6"/>
  <c r="M93" i="6"/>
  <c r="U104" i="6"/>
  <c r="AC104" i="6"/>
  <c r="L44" i="6"/>
  <c r="M44" i="6"/>
  <c r="N44" i="6"/>
  <c r="L47" i="6"/>
  <c r="M47" i="6"/>
  <c r="N47" i="6"/>
  <c r="J26" i="5"/>
  <c r="V26" i="5" s="1"/>
  <c r="V28" i="5" s="1"/>
  <c r="S23" i="5"/>
  <c r="T24" i="5"/>
  <c r="T25" i="5"/>
  <c r="U25" i="5"/>
  <c r="S26" i="5"/>
  <c r="T26" i="5"/>
  <c r="U26" i="5"/>
  <c r="U28" i="5" s="1"/>
  <c r="U22" i="5"/>
  <c r="S22" i="5"/>
  <c r="E10" i="5"/>
  <c r="E12" i="5"/>
  <c r="H61" i="6"/>
  <c r="D61" i="6"/>
  <c r="C61" i="6"/>
  <c r="T11" i="5"/>
  <c r="T12" i="5"/>
  <c r="U9" i="5"/>
  <c r="R27" i="4"/>
  <c r="U12" i="5"/>
  <c r="S10" i="5"/>
  <c r="S9" i="5"/>
  <c r="P27" i="4"/>
  <c r="R11" i="5"/>
  <c r="J13" i="5"/>
  <c r="V13" i="5"/>
  <c r="V15" i="5" s="1"/>
  <c r="T13" i="5"/>
  <c r="U13" i="5"/>
  <c r="S13" i="5"/>
  <c r="E11" i="5"/>
  <c r="V25" i="5"/>
  <c r="Q24" i="20"/>
  <c r="Q25" i="20" s="1"/>
  <c r="Q13" i="20"/>
  <c r="N25" i="4" s="1"/>
  <c r="E19" i="15"/>
  <c r="E26" i="15" s="1"/>
  <c r="D26" i="15" s="1"/>
  <c r="E18" i="3" s="1"/>
  <c r="E28" i="15"/>
  <c r="E20" i="15"/>
  <c r="I17" i="4"/>
  <c r="F17" i="4"/>
  <c r="K17" i="4"/>
  <c r="O10" i="25"/>
  <c r="S10" i="25" s="1"/>
  <c r="O11" i="25"/>
  <c r="O31" i="25"/>
  <c r="S31" i="25" s="1"/>
  <c r="O19" i="25"/>
  <c r="S19" i="25" s="1"/>
  <c r="O30" i="25"/>
  <c r="S30" i="25" s="1"/>
  <c r="R31" i="25"/>
  <c r="V31" i="25" s="1"/>
  <c r="R30" i="25"/>
  <c r="V30" i="25" s="1"/>
  <c r="O36" i="25"/>
  <c r="S36" i="25" s="1"/>
  <c r="O35" i="25"/>
  <c r="S35" i="25" s="1"/>
  <c r="R36" i="25"/>
  <c r="V36" i="25" s="1"/>
  <c r="E17" i="4"/>
  <c r="H17" i="4"/>
  <c r="J17" i="4"/>
  <c r="D17" i="4"/>
  <c r="T15" i="25"/>
  <c r="Q19" i="12"/>
  <c r="P13" i="13"/>
  <c r="H13" i="13"/>
  <c r="M13" i="13"/>
  <c r="E26" i="13"/>
  <c r="E14" i="13"/>
  <c r="L14" i="13"/>
  <c r="I11" i="4" s="1"/>
  <c r="S24" i="13"/>
  <c r="K24" i="13"/>
  <c r="I24" i="13"/>
  <c r="R24" i="13"/>
  <c r="P24" i="13"/>
  <c r="H24" i="13"/>
  <c r="O24" i="13"/>
  <c r="G24" i="13"/>
  <c r="N24" i="13"/>
  <c r="Q24" i="13"/>
  <c r="M24" i="13"/>
  <c r="L24" i="13"/>
  <c r="K12" i="13"/>
  <c r="M12" i="13"/>
  <c r="H12" i="13"/>
  <c r="T12" i="13"/>
  <c r="G12" i="13"/>
  <c r="Q12" i="13"/>
  <c r="P12" i="13"/>
  <c r="N12" i="13"/>
  <c r="I12" i="13"/>
  <c r="L12" i="13"/>
  <c r="O12" i="13"/>
  <c r="G25" i="13"/>
  <c r="U25" i="13"/>
  <c r="M25" i="13"/>
  <c r="K25" i="13"/>
  <c r="T25" i="13"/>
  <c r="L25" i="13"/>
  <c r="I25" i="13"/>
  <c r="Q25" i="13"/>
  <c r="H25" i="13"/>
  <c r="P25" i="13"/>
  <c r="N25" i="13"/>
  <c r="V26" i="13"/>
  <c r="R26" i="13" s="1"/>
  <c r="P26" i="13"/>
  <c r="M26" i="13"/>
  <c r="S26" i="13"/>
  <c r="O26" i="13" s="1"/>
  <c r="N26" i="13"/>
  <c r="L26" i="13"/>
  <c r="K26" i="13"/>
  <c r="I26" i="13"/>
  <c r="T26" i="13"/>
  <c r="H26" i="13"/>
  <c r="U26" i="13"/>
  <c r="Q26" i="13"/>
  <c r="M27" i="13"/>
  <c r="L27" i="13"/>
  <c r="T27" i="13"/>
  <c r="J27" i="13"/>
  <c r="I27" i="13"/>
  <c r="Q27" i="13"/>
  <c r="H27" i="13"/>
  <c r="K27" i="13"/>
  <c r="P27" i="13"/>
  <c r="U27" i="13"/>
  <c r="N27" i="13"/>
  <c r="K13" i="13"/>
  <c r="N13" i="13"/>
  <c r="I13" i="13"/>
  <c r="Q13" i="13"/>
  <c r="D62" i="14"/>
  <c r="E15" i="13"/>
  <c r="G13" i="13"/>
  <c r="U13" i="13"/>
  <c r="T13" i="13"/>
  <c r="L13" i="13"/>
  <c r="U93" i="6"/>
  <c r="AC93" i="6"/>
  <c r="T93" i="6"/>
  <c r="AB93" i="6"/>
  <c r="K79" i="6"/>
  <c r="K89" i="6"/>
  <c r="S89" i="6"/>
  <c r="AA89" i="6"/>
  <c r="M34" i="6"/>
  <c r="S81" i="6"/>
  <c r="AA81" i="6"/>
  <c r="V47" i="6"/>
  <c r="AD47" i="6"/>
  <c r="T81" i="6"/>
  <c r="AB81" i="6"/>
  <c r="K83" i="6"/>
  <c r="S83" i="6"/>
  <c r="AA83" i="6"/>
  <c r="M29" i="6"/>
  <c r="T86" i="6"/>
  <c r="AB86" i="6"/>
  <c r="U79" i="6"/>
  <c r="AC79" i="6"/>
  <c r="O29" i="4"/>
  <c r="O31" i="4"/>
  <c r="N31" i="4"/>
  <c r="M31" i="4"/>
  <c r="L31" i="4"/>
  <c r="K93" i="6"/>
  <c r="S93" i="6"/>
  <c r="AA93" i="6"/>
  <c r="U47" i="6"/>
  <c r="AC47" i="6"/>
  <c r="AF47" i="6"/>
  <c r="T104" i="6"/>
  <c r="AB104" i="6"/>
  <c r="AE104" i="6"/>
  <c r="T77" i="6"/>
  <c r="AB77" i="6"/>
  <c r="K92" i="6"/>
  <c r="S92" i="6"/>
  <c r="AA92" i="6"/>
  <c r="G65" i="6"/>
  <c r="M76" i="6"/>
  <c r="M86" i="6"/>
  <c r="U86" i="6"/>
  <c r="AC86" i="6"/>
  <c r="S91" i="6"/>
  <c r="AA91" i="6"/>
  <c r="U83" i="6"/>
  <c r="AC83" i="6"/>
  <c r="U81" i="6"/>
  <c r="AC81" i="6"/>
  <c r="U82" i="6"/>
  <c r="AC82" i="6"/>
  <c r="M68" i="6"/>
  <c r="M78" i="6"/>
  <c r="M88" i="6"/>
  <c r="K90" i="6"/>
  <c r="S90" i="6"/>
  <c r="AA90" i="6"/>
  <c r="T96" i="6"/>
  <c r="AB96" i="6"/>
  <c r="N34" i="6"/>
  <c r="T89" i="6"/>
  <c r="AB89" i="6"/>
  <c r="M30" i="6"/>
  <c r="U88" i="6"/>
  <c r="AC88" i="6"/>
  <c r="U78" i="6"/>
  <c r="AC78" i="6"/>
  <c r="K78" i="6"/>
  <c r="K88" i="6"/>
  <c r="U89" i="6"/>
  <c r="AC89" i="6"/>
  <c r="M80" i="6"/>
  <c r="M90" i="6"/>
  <c r="U90" i="6"/>
  <c r="AC90" i="6"/>
  <c r="M67" i="6"/>
  <c r="K67" i="6"/>
  <c r="N35" i="6"/>
  <c r="L31" i="6"/>
  <c r="K96" i="6"/>
  <c r="S96" i="6"/>
  <c r="AA96" i="6"/>
  <c r="K76" i="6"/>
  <c r="C17" i="23"/>
  <c r="C20" i="23"/>
  <c r="C22" i="23"/>
  <c r="R20" i="18"/>
  <c r="V20" i="18"/>
  <c r="V9" i="18"/>
  <c r="V10" i="18"/>
  <c r="O11" i="19"/>
  <c r="E27" i="15"/>
  <c r="U14" i="13"/>
  <c r="R11" i="4" s="1"/>
  <c r="K14" i="13"/>
  <c r="H14" i="13"/>
  <c r="E11" i="4" s="1"/>
  <c r="Q14" i="13"/>
  <c r="N11" i="4" s="1"/>
  <c r="T14" i="13"/>
  <c r="Q11" i="4" s="1"/>
  <c r="P14" i="13"/>
  <c r="M11" i="4" s="1"/>
  <c r="N14" i="13"/>
  <c r="K11" i="4" s="1"/>
  <c r="I14" i="13"/>
  <c r="F11" i="4" s="1"/>
  <c r="M14" i="13"/>
  <c r="J11" i="4" s="1"/>
  <c r="L15" i="13"/>
  <c r="I12" i="4" s="1"/>
  <c r="T15" i="13"/>
  <c r="Q12" i="4" s="1"/>
  <c r="U15" i="13"/>
  <c r="R12" i="4" s="1"/>
  <c r="H15" i="13"/>
  <c r="E12" i="4" s="1"/>
  <c r="N15" i="13"/>
  <c r="K12" i="4" s="1"/>
  <c r="P15" i="13"/>
  <c r="M12" i="4" s="1"/>
  <c r="I15" i="13"/>
  <c r="F12" i="4" s="1"/>
  <c r="Q15" i="13"/>
  <c r="N12" i="4" s="1"/>
  <c r="K15" i="13"/>
  <c r="H12" i="4" s="1"/>
  <c r="M15" i="13"/>
  <c r="J12" i="4" s="1"/>
  <c r="U80" i="6"/>
  <c r="AC80" i="6"/>
  <c r="T91" i="6"/>
  <c r="AB91" i="6"/>
  <c r="S79" i="6"/>
  <c r="AA79" i="6"/>
  <c r="S78" i="6"/>
  <c r="AA78" i="6"/>
  <c r="U91" i="6"/>
  <c r="AC91" i="6"/>
  <c r="AF26" i="6"/>
  <c r="T87" i="6"/>
  <c r="AB87" i="6"/>
  <c r="U76" i="6"/>
  <c r="AC76" i="6"/>
  <c r="U92" i="6"/>
  <c r="AC92" i="6"/>
  <c r="M77" i="6"/>
  <c r="AE97" i="6"/>
  <c r="I24" i="5"/>
  <c r="U24" i="5"/>
  <c r="K77" i="6"/>
  <c r="AF40" i="6"/>
  <c r="K86" i="6"/>
  <c r="S86" i="6"/>
  <c r="AA86" i="6"/>
  <c r="S76" i="6"/>
  <c r="AA76" i="6"/>
  <c r="S88" i="6"/>
  <c r="AA88" i="6"/>
  <c r="C21" i="23"/>
  <c r="R19" i="18"/>
  <c r="V19" i="18"/>
  <c r="S19" i="4"/>
  <c r="P19" i="4"/>
  <c r="O19" i="4"/>
  <c r="S11" i="4"/>
  <c r="M87" i="6"/>
  <c r="U87" i="6"/>
  <c r="AC87" i="6"/>
  <c r="U77" i="6"/>
  <c r="AC77" i="6"/>
  <c r="S77" i="6"/>
  <c r="AA77" i="6"/>
  <c r="H23" i="5"/>
  <c r="K87" i="6"/>
  <c r="S87" i="6"/>
  <c r="AA87" i="6"/>
  <c r="I23" i="5"/>
  <c r="I28" i="5"/>
  <c r="I15" i="5"/>
  <c r="I16" i="5" s="1"/>
  <c r="AF36" i="6"/>
  <c r="L19" i="4"/>
  <c r="AE93" i="6"/>
  <c r="U23" i="5"/>
  <c r="T23" i="5"/>
  <c r="J23" i="5"/>
  <c r="V23" i="5"/>
  <c r="AE83" i="6"/>
  <c r="U15" i="5"/>
  <c r="F31" i="4"/>
  <c r="R31" i="4"/>
  <c r="O25" i="13"/>
  <c r="R25" i="13"/>
  <c r="S24" i="7"/>
  <c r="V25" i="13" s="1"/>
  <c r="S25" i="13"/>
  <c r="T9" i="6"/>
  <c r="AB9" i="6"/>
  <c r="U9" i="6"/>
  <c r="AC9" i="6"/>
  <c r="V9" i="6"/>
  <c r="AD9" i="6"/>
  <c r="W9" i="6"/>
  <c r="AE9" i="6"/>
  <c r="T10" i="6"/>
  <c r="AB10" i="6"/>
  <c r="U10" i="6"/>
  <c r="AC10" i="6"/>
  <c r="V10" i="6"/>
  <c r="AD10" i="6"/>
  <c r="W10" i="6"/>
  <c r="AE10" i="6"/>
  <c r="T11" i="6"/>
  <c r="AB11" i="6"/>
  <c r="U11" i="6"/>
  <c r="AC11" i="6"/>
  <c r="V11" i="6"/>
  <c r="AD11" i="6"/>
  <c r="W11" i="6"/>
  <c r="AE11" i="6"/>
  <c r="T12" i="6"/>
  <c r="AB12" i="6"/>
  <c r="U12" i="6"/>
  <c r="AC12" i="6"/>
  <c r="V12" i="6"/>
  <c r="AD12" i="6"/>
  <c r="W12" i="6"/>
  <c r="AE12" i="6"/>
  <c r="T13" i="6"/>
  <c r="AB13" i="6"/>
  <c r="U13" i="6"/>
  <c r="AC13" i="6"/>
  <c r="V13" i="6"/>
  <c r="AD13" i="6"/>
  <c r="W13" i="6"/>
  <c r="AE13" i="6"/>
  <c r="T14" i="6"/>
  <c r="AB14" i="6"/>
  <c r="U14" i="6"/>
  <c r="AC14" i="6"/>
  <c r="V14" i="6"/>
  <c r="AD14" i="6"/>
  <c r="W14" i="6"/>
  <c r="AE14" i="6"/>
  <c r="T15" i="6"/>
  <c r="AB15" i="6"/>
  <c r="U15" i="6"/>
  <c r="AC15" i="6"/>
  <c r="V15" i="6"/>
  <c r="AD15" i="6"/>
  <c r="W15" i="6"/>
  <c r="AE15" i="6"/>
  <c r="T16" i="6"/>
  <c r="AB16" i="6"/>
  <c r="U16" i="6"/>
  <c r="AC16" i="6"/>
  <c r="V16" i="6"/>
  <c r="AD16" i="6"/>
  <c r="W16" i="6"/>
  <c r="AE16" i="6"/>
  <c r="H9" i="5"/>
  <c r="J9" i="5"/>
  <c r="V9" i="5"/>
  <c r="S27" i="4"/>
  <c r="G27" i="4"/>
  <c r="S66" i="6"/>
  <c r="AA66" i="6"/>
  <c r="T66" i="6"/>
  <c r="AB66" i="6"/>
  <c r="U66" i="6"/>
  <c r="AC66" i="6"/>
  <c r="V66" i="6"/>
  <c r="AD66" i="6"/>
  <c r="S67" i="6"/>
  <c r="AA67" i="6"/>
  <c r="T67" i="6"/>
  <c r="AB67" i="6"/>
  <c r="U67" i="6"/>
  <c r="AC67" i="6"/>
  <c r="V67" i="6"/>
  <c r="AD67" i="6"/>
  <c r="S68" i="6"/>
  <c r="AA68" i="6"/>
  <c r="T68" i="6"/>
  <c r="AB68" i="6"/>
  <c r="U68" i="6"/>
  <c r="AC68" i="6"/>
  <c r="V68" i="6"/>
  <c r="AD68" i="6"/>
  <c r="S69" i="6"/>
  <c r="AA69" i="6"/>
  <c r="T69" i="6"/>
  <c r="AB69" i="6"/>
  <c r="U69" i="6"/>
  <c r="AC69" i="6"/>
  <c r="V69" i="6"/>
  <c r="AD69" i="6"/>
  <c r="S70" i="6"/>
  <c r="AA70" i="6"/>
  <c r="T70" i="6"/>
  <c r="AB70" i="6"/>
  <c r="U70" i="6"/>
  <c r="AC70" i="6"/>
  <c r="V70" i="6"/>
  <c r="AD70" i="6"/>
  <c r="S71" i="6"/>
  <c r="AA71" i="6"/>
  <c r="T71" i="6"/>
  <c r="AB71" i="6"/>
  <c r="U71" i="6"/>
  <c r="AC71" i="6"/>
  <c r="V71" i="6"/>
  <c r="AD71" i="6"/>
  <c r="S72" i="6"/>
  <c r="AA72" i="6"/>
  <c r="T72" i="6"/>
  <c r="AB72" i="6"/>
  <c r="U72" i="6"/>
  <c r="AC72" i="6"/>
  <c r="V72" i="6"/>
  <c r="AD72" i="6"/>
  <c r="S73" i="6"/>
  <c r="AA73" i="6"/>
  <c r="T73" i="6"/>
  <c r="AB73" i="6"/>
  <c r="U73" i="6"/>
  <c r="AC73" i="6"/>
  <c r="V73" i="6"/>
  <c r="AD73" i="6"/>
  <c r="H22" i="5"/>
  <c r="J22" i="5"/>
  <c r="V22" i="5"/>
  <c r="T22" i="5"/>
  <c r="T28" i="5"/>
  <c r="T9" i="5"/>
  <c r="Q27" i="4"/>
  <c r="Q31" i="4"/>
  <c r="E27" i="4"/>
  <c r="E31" i="4"/>
  <c r="AE73" i="6"/>
  <c r="H15" i="5"/>
  <c r="H16" i="5" s="1"/>
  <c r="T15" i="5"/>
  <c r="AF16" i="6"/>
  <c r="T43" i="6"/>
  <c r="AB43" i="6"/>
  <c r="T44" i="6"/>
  <c r="AB44" i="6"/>
  <c r="AA50" i="6"/>
  <c r="U43" i="6"/>
  <c r="AC43" i="6"/>
  <c r="U44" i="6"/>
  <c r="AC44" i="6"/>
  <c r="AB50" i="6"/>
  <c r="V43" i="6"/>
  <c r="AD43" i="6"/>
  <c r="V44" i="6"/>
  <c r="AD44" i="6"/>
  <c r="AC50" i="6"/>
  <c r="W43" i="6"/>
  <c r="AE43" i="6"/>
  <c r="W44" i="6"/>
  <c r="AE44" i="6"/>
  <c r="AD50" i="6"/>
  <c r="AE50" i="6"/>
  <c r="S100" i="6"/>
  <c r="AA100" i="6"/>
  <c r="S101" i="6"/>
  <c r="AA101" i="6"/>
  <c r="AA107" i="6"/>
  <c r="T100" i="6"/>
  <c r="AB100" i="6"/>
  <c r="T101" i="6"/>
  <c r="AB101" i="6"/>
  <c r="AB107" i="6"/>
  <c r="U100" i="6"/>
  <c r="AC100" i="6"/>
  <c r="U101" i="6"/>
  <c r="AC101" i="6"/>
  <c r="AC107" i="6"/>
  <c r="V100" i="6"/>
  <c r="AD100" i="6"/>
  <c r="V101" i="6"/>
  <c r="AD101" i="6"/>
  <c r="AD107" i="6"/>
  <c r="AE107" i="6"/>
  <c r="AA110" i="6"/>
  <c r="G11" i="5"/>
  <c r="J11" i="5"/>
  <c r="J16" i="5"/>
  <c r="G24" i="5"/>
  <c r="J24" i="5"/>
  <c r="V24" i="5"/>
  <c r="J28" i="5"/>
  <c r="V11" i="5"/>
  <c r="G29" i="4"/>
  <c r="G31" i="4"/>
  <c r="D42" i="4"/>
  <c r="S29" i="4"/>
  <c r="S31" i="4"/>
  <c r="S11" i="5"/>
  <c r="P29" i="4"/>
  <c r="P31" i="4"/>
  <c r="D29" i="4"/>
  <c r="D31" i="4"/>
  <c r="S15" i="5"/>
  <c r="AF44" i="6"/>
  <c r="S24" i="5"/>
  <c r="S28" i="5"/>
  <c r="G16" i="5"/>
  <c r="AE101" i="6"/>
  <c r="H22" i="11" l="1"/>
  <c r="K75" i="1"/>
  <c r="J75" i="1" s="1"/>
  <c r="H21" i="11"/>
  <c r="K76" i="1"/>
  <c r="J76" i="1" s="1"/>
  <c r="I19" i="11"/>
  <c r="K74" i="1"/>
  <c r="N21" i="4"/>
  <c r="R21" i="4"/>
  <c r="F21" i="4"/>
  <c r="Q21" i="4"/>
  <c r="E21" i="4"/>
  <c r="G21" i="4"/>
  <c r="M21" i="4"/>
  <c r="V33" i="5"/>
  <c r="J66" i="1"/>
  <c r="J74" i="1" s="1"/>
  <c r="K77" i="1"/>
  <c r="I20" i="11"/>
  <c r="H20" i="11"/>
  <c r="C29" i="22"/>
  <c r="P19" i="21" s="1"/>
  <c r="C13" i="22"/>
  <c r="C14" i="22" s="1"/>
  <c r="C19" i="22" s="1"/>
  <c r="Q18" i="21" s="1"/>
  <c r="R10" i="21"/>
  <c r="V10" i="21" s="1"/>
  <c r="T10" i="21"/>
  <c r="T19" i="21"/>
  <c r="R19" i="21"/>
  <c r="V19" i="21" s="1"/>
  <c r="D13" i="22"/>
  <c r="D14" i="22" s="1"/>
  <c r="R9" i="21"/>
  <c r="V9" i="21" s="1"/>
  <c r="D19" i="22"/>
  <c r="Q9" i="21" s="1"/>
  <c r="P9" i="21" s="1"/>
  <c r="P11" i="21" s="1"/>
  <c r="M32" i="4" s="1"/>
  <c r="M33" i="4" s="1"/>
  <c r="R18" i="21"/>
  <c r="V27" i="13"/>
  <c r="R27" i="13" s="1"/>
  <c r="S11" i="18"/>
  <c r="P20" i="4" s="1"/>
  <c r="L16" i="7"/>
  <c r="J24" i="13"/>
  <c r="O13" i="20"/>
  <c r="U14" i="20"/>
  <c r="P14" i="20"/>
  <c r="P25" i="7"/>
  <c r="O15" i="25" s="1"/>
  <c r="S15" i="25" s="1"/>
  <c r="J12" i="18"/>
  <c r="P42" i="25"/>
  <c r="O24" i="20"/>
  <c r="P28" i="7"/>
  <c r="O38" i="25" s="1"/>
  <c r="S38" i="25" s="1"/>
  <c r="L8" i="7"/>
  <c r="R19" i="12"/>
  <c r="V19" i="12" s="1"/>
  <c r="R22" i="18"/>
  <c r="R23" i="18" s="1"/>
  <c r="J25" i="13"/>
  <c r="L13" i="7"/>
  <c r="V22" i="18"/>
  <c r="V23" i="18" s="1"/>
  <c r="L7" i="7"/>
  <c r="P31" i="7"/>
  <c r="O21" i="25" s="1"/>
  <c r="S21" i="25" s="1"/>
  <c r="P34" i="7"/>
  <c r="O32" i="25" s="1"/>
  <c r="S32" i="25" s="1"/>
  <c r="S33" i="25" s="1"/>
  <c r="P27" i="7"/>
  <c r="O34" i="25" s="1"/>
  <c r="S34" i="25" s="1"/>
  <c r="S37" i="25" s="1"/>
  <c r="S23" i="7"/>
  <c r="V12" i="13" s="1"/>
  <c r="R38" i="25"/>
  <c r="V38" i="25" s="1"/>
  <c r="U12" i="13"/>
  <c r="R10" i="4" s="1"/>
  <c r="R13" i="4" s="1"/>
  <c r="R32" i="25"/>
  <c r="V32" i="25" s="1"/>
  <c r="V33" i="25" s="1"/>
  <c r="Q14" i="20"/>
  <c r="R34" i="25"/>
  <c r="V34" i="25" s="1"/>
  <c r="V37" i="25" s="1"/>
  <c r="S18" i="7"/>
  <c r="D11" i="27" s="1"/>
  <c r="S13" i="20"/>
  <c r="P25" i="4" s="1"/>
  <c r="S24" i="20"/>
  <c r="G10" i="4"/>
  <c r="D41" i="4" s="1"/>
  <c r="R18" i="25"/>
  <c r="V18" i="25" s="1"/>
  <c r="P33" i="25"/>
  <c r="Q10" i="4"/>
  <c r="Q13" i="4" s="1"/>
  <c r="S39" i="7"/>
  <c r="L14" i="15" s="1"/>
  <c r="G15" i="13"/>
  <c r="D12" i="4" s="1"/>
  <c r="J28" i="13"/>
  <c r="R41" i="25"/>
  <c r="V41" i="25" s="1"/>
  <c r="R40" i="25"/>
  <c r="V40" i="25" s="1"/>
  <c r="R21" i="25"/>
  <c r="V21" i="25" s="1"/>
  <c r="L9" i="12"/>
  <c r="G9" i="12"/>
  <c r="Q9" i="12"/>
  <c r="K9" i="12"/>
  <c r="M9" i="12"/>
  <c r="J9" i="12"/>
  <c r="H9" i="12"/>
  <c r="I9" i="12"/>
  <c r="N9" i="12"/>
  <c r="R9" i="12"/>
  <c r="P9" i="12"/>
  <c r="O9" i="12"/>
  <c r="I18" i="26"/>
  <c r="V18" i="19" s="1"/>
  <c r="D20" i="15"/>
  <c r="E9" i="3" s="1"/>
  <c r="R9" i="3" s="1"/>
  <c r="D21" i="15"/>
  <c r="E10" i="3" s="1"/>
  <c r="H10" i="3" s="1"/>
  <c r="D19" i="15"/>
  <c r="E8" i="3" s="1"/>
  <c r="P8" i="3" s="1"/>
  <c r="S12" i="4"/>
  <c r="O18" i="7"/>
  <c r="L11" i="7"/>
  <c r="F10" i="4"/>
  <c r="F13" i="4" s="1"/>
  <c r="M10" i="4"/>
  <c r="M13" i="4" s="1"/>
  <c r="P28" i="13"/>
  <c r="N12" i="18"/>
  <c r="K28" i="13"/>
  <c r="N10" i="4"/>
  <c r="N13" i="4" s="1"/>
  <c r="Q17" i="25"/>
  <c r="N16" i="4" s="1"/>
  <c r="I20" i="4"/>
  <c r="J20" i="4"/>
  <c r="H10" i="4"/>
  <c r="P12" i="18"/>
  <c r="Q16" i="13"/>
  <c r="H28" i="13"/>
  <c r="G28" i="13"/>
  <c r="D10" i="4"/>
  <c r="M16" i="13"/>
  <c r="Q42" i="25"/>
  <c r="K16" i="13"/>
  <c r="L28" i="13"/>
  <c r="P22" i="25"/>
  <c r="M15" i="4" s="1"/>
  <c r="I16" i="13"/>
  <c r="N16" i="13"/>
  <c r="I28" i="13"/>
  <c r="M28" i="13"/>
  <c r="I10" i="4"/>
  <c r="I13" i="4" s="1"/>
  <c r="E10" i="4"/>
  <c r="E13" i="4" s="1"/>
  <c r="N28" i="13"/>
  <c r="P16" i="13"/>
  <c r="Q13" i="25"/>
  <c r="N14" i="4" s="1"/>
  <c r="G12" i="18"/>
  <c r="Q20" i="4"/>
  <c r="J16" i="13"/>
  <c r="U19" i="12"/>
  <c r="P13" i="25"/>
  <c r="M14" i="4" s="1"/>
  <c r="Q37" i="25"/>
  <c r="K10" i="4"/>
  <c r="K13" i="4" s="1"/>
  <c r="P17" i="25"/>
  <c r="M16" i="4" s="1"/>
  <c r="T33" i="25"/>
  <c r="N26" i="4"/>
  <c r="Q28" i="13"/>
  <c r="U13" i="25"/>
  <c r="R14" i="4" s="1"/>
  <c r="Q22" i="25"/>
  <c r="T18" i="25"/>
  <c r="T22" i="25" s="1"/>
  <c r="H12" i="18"/>
  <c r="F20" i="4"/>
  <c r="T37" i="25"/>
  <c r="Q25" i="4"/>
  <c r="Q33" i="25"/>
  <c r="P37" i="25"/>
  <c r="T42" i="25"/>
  <c r="U17" i="25"/>
  <c r="R16" i="4" s="1"/>
  <c r="U22" i="25"/>
  <c r="U33" i="25"/>
  <c r="U42" i="25"/>
  <c r="U37" i="25"/>
  <c r="H11" i="4"/>
  <c r="T19" i="12"/>
  <c r="T14" i="25"/>
  <c r="T17" i="25" s="1"/>
  <c r="Q16" i="4" s="1"/>
  <c r="T10" i="25"/>
  <c r="T13" i="25" s="1"/>
  <c r="Q14" i="4" s="1"/>
  <c r="V13" i="13"/>
  <c r="Q12" i="18"/>
  <c r="K12" i="18"/>
  <c r="L16" i="13"/>
  <c r="J10" i="4"/>
  <c r="J13" i="4" s="1"/>
  <c r="U12" i="18"/>
  <c r="H16" i="13"/>
  <c r="O10" i="4"/>
  <c r="S13" i="13"/>
  <c r="P10" i="4" s="1"/>
  <c r="R13" i="25"/>
  <c r="O14" i="4" s="1"/>
  <c r="R17" i="25"/>
  <c r="O16" i="4" s="1"/>
  <c r="O19" i="12"/>
  <c r="S19" i="12" s="1"/>
  <c r="V13" i="25"/>
  <c r="S14" i="4" s="1"/>
  <c r="V17" i="25"/>
  <c r="S16" i="4" s="1"/>
  <c r="S12" i="18"/>
  <c r="O11" i="4"/>
  <c r="R16" i="13"/>
  <c r="S11" i="25"/>
  <c r="V12" i="18"/>
  <c r="O14" i="13"/>
  <c r="L11" i="4" s="1"/>
  <c r="R28" i="13"/>
  <c r="L10" i="4"/>
  <c r="L25" i="4"/>
  <c r="O12" i="18"/>
  <c r="O20" i="4"/>
  <c r="H44" i="26"/>
  <c r="I35" i="26"/>
  <c r="E63" i="26"/>
  <c r="E65" i="26" s="1"/>
  <c r="O9" i="3"/>
  <c r="P9" i="3"/>
  <c r="Q9" i="3"/>
  <c r="D28" i="15"/>
  <c r="E20" i="3" s="1"/>
  <c r="P20" i="3" s="1"/>
  <c r="P21" i="3" s="1"/>
  <c r="D27" i="15"/>
  <c r="E19" i="3" s="1"/>
  <c r="O19" i="3" s="1"/>
  <c r="J10" i="3"/>
  <c r="T8" i="3"/>
  <c r="R8" i="3"/>
  <c r="G8" i="3"/>
  <c r="G18" i="3"/>
  <c r="O18" i="3"/>
  <c r="Q18" i="3"/>
  <c r="R18" i="3"/>
  <c r="P18" i="3"/>
  <c r="T18" i="3"/>
  <c r="U18" i="3"/>
  <c r="S18" i="3"/>
  <c r="J18" i="3"/>
  <c r="H18" i="3"/>
  <c r="I18" i="3"/>
  <c r="H9" i="3"/>
  <c r="J9" i="3"/>
  <c r="I9" i="3"/>
  <c r="G9" i="3"/>
  <c r="J77" i="1" l="1"/>
  <c r="C73" i="1" s="1"/>
  <c r="C89" i="1" s="1"/>
  <c r="C104" i="1" s="1"/>
  <c r="E32" i="10" s="1"/>
  <c r="I22" i="11"/>
  <c r="D24" i="11"/>
  <c r="E11" i="12" s="1"/>
  <c r="M11" i="12" s="1"/>
  <c r="M12" i="12" s="1"/>
  <c r="D64" i="1"/>
  <c r="D69" i="1"/>
  <c r="D85" i="1" s="1"/>
  <c r="D101" i="1" s="1"/>
  <c r="E13" i="10" s="1"/>
  <c r="D73" i="1"/>
  <c r="D89" i="1" s="1"/>
  <c r="D70" i="1"/>
  <c r="D86" i="1" s="1"/>
  <c r="D102" i="1" s="1"/>
  <c r="E14" i="10" s="1"/>
  <c r="D66" i="1"/>
  <c r="D82" i="1" s="1"/>
  <c r="D99" i="1" s="1"/>
  <c r="E11" i="10" s="1"/>
  <c r="O11" i="10" s="1"/>
  <c r="D71" i="1"/>
  <c r="D87" i="1" s="1"/>
  <c r="D74" i="1"/>
  <c r="D90" i="1" s="1"/>
  <c r="D68" i="1"/>
  <c r="D84" i="1" s="1"/>
  <c r="D100" i="1" s="1"/>
  <c r="E12" i="10" s="1"/>
  <c r="D67" i="1"/>
  <c r="D83" i="1" s="1"/>
  <c r="D72" i="1"/>
  <c r="D88" i="1" s="1"/>
  <c r="D103" i="1" s="1"/>
  <c r="E15" i="10" s="1"/>
  <c r="D65" i="1"/>
  <c r="D81" i="1" s="1"/>
  <c r="D98" i="1" s="1"/>
  <c r="E9" i="10" s="1"/>
  <c r="O9" i="10"/>
  <c r="C24" i="11"/>
  <c r="C34" i="11" s="1"/>
  <c r="C47" i="11" s="1"/>
  <c r="E21" i="12" s="1"/>
  <c r="Q21" i="12" s="1"/>
  <c r="Q22" i="12" s="1"/>
  <c r="Q23" i="12" s="1"/>
  <c r="C69" i="1"/>
  <c r="C85" i="1" s="1"/>
  <c r="C101" i="1" s="1"/>
  <c r="E29" i="10" s="1"/>
  <c r="C65" i="1"/>
  <c r="C81" i="1" s="1"/>
  <c r="C98" i="1" s="1"/>
  <c r="E25" i="10" s="1"/>
  <c r="C66" i="1"/>
  <c r="C82" i="1" s="1"/>
  <c r="C64" i="1"/>
  <c r="C67" i="1"/>
  <c r="C83" i="1" s="1"/>
  <c r="C99" i="1" s="1"/>
  <c r="E27" i="10" s="1"/>
  <c r="C71" i="1"/>
  <c r="C87" i="1" s="1"/>
  <c r="C72" i="1"/>
  <c r="C88" i="1" s="1"/>
  <c r="C103" i="1" s="1"/>
  <c r="E31" i="10" s="1"/>
  <c r="Q31" i="10" s="1"/>
  <c r="G21" i="12"/>
  <c r="G22" i="12" s="1"/>
  <c r="G23" i="12" s="1"/>
  <c r="L11" i="12"/>
  <c r="L12" i="12" s="1"/>
  <c r="N11" i="12"/>
  <c r="N12" i="12" s="1"/>
  <c r="N31" i="10"/>
  <c r="L31" i="10"/>
  <c r="I31" i="10"/>
  <c r="K31" i="10"/>
  <c r="M31" i="10"/>
  <c r="H31" i="10"/>
  <c r="P31" i="10"/>
  <c r="J31" i="10"/>
  <c r="G31" i="10"/>
  <c r="R31" i="10"/>
  <c r="J29" i="10"/>
  <c r="K29" i="10"/>
  <c r="N29" i="10"/>
  <c r="P29" i="10"/>
  <c r="I29" i="10"/>
  <c r="Q29" i="10"/>
  <c r="M29" i="10"/>
  <c r="H29" i="10"/>
  <c r="L29" i="10"/>
  <c r="C80" i="1"/>
  <c r="Q25" i="10"/>
  <c r="M25" i="10"/>
  <c r="J25" i="10"/>
  <c r="L25" i="10"/>
  <c r="N25" i="10"/>
  <c r="P25" i="10"/>
  <c r="I25" i="10"/>
  <c r="K25" i="10"/>
  <c r="H25" i="10"/>
  <c r="P11" i="12"/>
  <c r="P12" i="12" s="1"/>
  <c r="J11" i="12"/>
  <c r="J12" i="12" s="1"/>
  <c r="G11" i="12"/>
  <c r="H11" i="12"/>
  <c r="H12" i="12" s="1"/>
  <c r="K11" i="12"/>
  <c r="K12" i="12" s="1"/>
  <c r="R11" i="12"/>
  <c r="R12" i="12" s="1"/>
  <c r="U9" i="21"/>
  <c r="U11" i="21" s="1"/>
  <c r="R32" i="4" s="1"/>
  <c r="R33" i="4" s="1"/>
  <c r="T9" i="21"/>
  <c r="T11" i="21" s="1"/>
  <c r="Q32" i="4" s="1"/>
  <c r="Q33" i="4" s="1"/>
  <c r="V11" i="21"/>
  <c r="S32" i="4" s="1"/>
  <c r="S33" i="4" s="1"/>
  <c r="R11" i="21"/>
  <c r="O32" i="4" s="1"/>
  <c r="O33" i="4" s="1"/>
  <c r="Q11" i="21"/>
  <c r="N32" i="4" s="1"/>
  <c r="N33" i="4" s="1"/>
  <c r="U18" i="21"/>
  <c r="U20" i="21" s="1"/>
  <c r="Q20" i="21"/>
  <c r="P18" i="21"/>
  <c r="V18" i="21"/>
  <c r="V20" i="21" s="1"/>
  <c r="R20" i="21"/>
  <c r="V13" i="20"/>
  <c r="S25" i="4" s="1"/>
  <c r="V24" i="20"/>
  <c r="V8" i="3"/>
  <c r="R37" i="25"/>
  <c r="O18" i="25"/>
  <c r="S18" i="25" s="1"/>
  <c r="P12" i="4"/>
  <c r="V42" i="25"/>
  <c r="O41" i="25"/>
  <c r="S41" i="25" s="1"/>
  <c r="S27" i="13"/>
  <c r="O27" i="13" s="1"/>
  <c r="O28" i="13" s="1"/>
  <c r="S28" i="13" s="1"/>
  <c r="V22" i="25"/>
  <c r="V23" i="25" s="1"/>
  <c r="S14" i="13"/>
  <c r="P11" i="4" s="1"/>
  <c r="P13" i="4" s="1"/>
  <c r="O25" i="10"/>
  <c r="O12" i="25"/>
  <c r="O16" i="25"/>
  <c r="S16" i="25" s="1"/>
  <c r="P43" i="25"/>
  <c r="D12" i="27"/>
  <c r="D13" i="27" s="1"/>
  <c r="O11" i="20" s="1"/>
  <c r="R22" i="25"/>
  <c r="O15" i="4" s="1"/>
  <c r="O17" i="4" s="1"/>
  <c r="D13" i="4"/>
  <c r="L17" i="7"/>
  <c r="R14" i="10"/>
  <c r="R33" i="25"/>
  <c r="O33" i="25"/>
  <c r="S10" i="4"/>
  <c r="S13" i="4" s="1"/>
  <c r="G13" i="4"/>
  <c r="G16" i="13"/>
  <c r="O14" i="25"/>
  <c r="S14" i="25" s="1"/>
  <c r="R42" i="25"/>
  <c r="O37" i="25"/>
  <c r="O20" i="25"/>
  <c r="S20" i="25" s="1"/>
  <c r="O15" i="10"/>
  <c r="O31" i="10"/>
  <c r="V24" i="13"/>
  <c r="O40" i="25"/>
  <c r="P23" i="25"/>
  <c r="S9" i="12"/>
  <c r="V18" i="3"/>
  <c r="T28" i="13"/>
  <c r="U9" i="12"/>
  <c r="V9" i="12"/>
  <c r="T9" i="12"/>
  <c r="R19" i="3"/>
  <c r="I19" i="3"/>
  <c r="G10" i="3"/>
  <c r="G11" i="3" s="1"/>
  <c r="S9" i="3"/>
  <c r="P19" i="3"/>
  <c r="H19" i="3"/>
  <c r="Q19" i="3"/>
  <c r="J19" i="3"/>
  <c r="G19" i="3"/>
  <c r="S19" i="3" s="1"/>
  <c r="P10" i="3"/>
  <c r="P11" i="3" s="1"/>
  <c r="M18" i="4" s="1"/>
  <c r="M26" i="4" s="1"/>
  <c r="O10" i="3"/>
  <c r="Q10" i="3"/>
  <c r="Q11" i="3" s="1"/>
  <c r="R10" i="3"/>
  <c r="V10" i="3" s="1"/>
  <c r="I10" i="3"/>
  <c r="J8" i="3"/>
  <c r="Q8" i="3"/>
  <c r="I8" i="3"/>
  <c r="H8" i="3"/>
  <c r="U8" i="3"/>
  <c r="S8" i="3"/>
  <c r="O8" i="3"/>
  <c r="O29" i="10"/>
  <c r="O13" i="10"/>
  <c r="R24" i="20"/>
  <c r="R13" i="20"/>
  <c r="O25" i="4" s="1"/>
  <c r="H17" i="7"/>
  <c r="O14" i="10"/>
  <c r="H13" i="4"/>
  <c r="Q43" i="25"/>
  <c r="U16" i="13"/>
  <c r="M17" i="4"/>
  <c r="U28" i="13"/>
  <c r="Q23" i="25"/>
  <c r="N15" i="4"/>
  <c r="N17" i="4" s="1"/>
  <c r="T43" i="25"/>
  <c r="V16" i="13"/>
  <c r="V28" i="13"/>
  <c r="O13" i="4"/>
  <c r="T23" i="25"/>
  <c r="Q15" i="4"/>
  <c r="Q17" i="4" s="1"/>
  <c r="U23" i="25"/>
  <c r="R15" i="4"/>
  <c r="R17" i="4" s="1"/>
  <c r="T16" i="13"/>
  <c r="U43" i="25"/>
  <c r="V43" i="25"/>
  <c r="S15" i="4"/>
  <c r="S17" i="4" s="1"/>
  <c r="R8" i="19"/>
  <c r="R10" i="19" s="1"/>
  <c r="R17" i="19"/>
  <c r="I44" i="26"/>
  <c r="Q20" i="3"/>
  <c r="Q21" i="3" s="1"/>
  <c r="J20" i="3"/>
  <c r="J21" i="3" s="1"/>
  <c r="J22" i="3" s="1"/>
  <c r="H20" i="3"/>
  <c r="H21" i="3" s="1"/>
  <c r="H22" i="3" s="1"/>
  <c r="R20" i="3"/>
  <c r="U9" i="3"/>
  <c r="I20" i="3"/>
  <c r="I21" i="3" s="1"/>
  <c r="I22" i="3" s="1"/>
  <c r="G20" i="3"/>
  <c r="G21" i="3" s="1"/>
  <c r="G22" i="3" s="1"/>
  <c r="O20" i="3"/>
  <c r="O21" i="3" s="1"/>
  <c r="T9" i="3"/>
  <c r="H11" i="3"/>
  <c r="J11" i="3"/>
  <c r="V9" i="3"/>
  <c r="J8" i="4" l="1"/>
  <c r="M13" i="12"/>
  <c r="I8" i="4"/>
  <c r="L13" i="12"/>
  <c r="H8" i="4"/>
  <c r="K13" i="12"/>
  <c r="E8" i="4"/>
  <c r="H13" i="12"/>
  <c r="G8" i="4"/>
  <c r="J13" i="12"/>
  <c r="O8" i="4"/>
  <c r="R13" i="12"/>
  <c r="I11" i="12"/>
  <c r="Q11" i="12"/>
  <c r="Q12" i="12" s="1"/>
  <c r="K8" i="4"/>
  <c r="D40" i="4" s="1"/>
  <c r="N13" i="12"/>
  <c r="M8" i="4"/>
  <c r="P13" i="12"/>
  <c r="F27" i="12"/>
  <c r="O11" i="12"/>
  <c r="O12" i="12" s="1"/>
  <c r="R27" i="10"/>
  <c r="J27" i="10"/>
  <c r="L27" i="10"/>
  <c r="K27" i="10"/>
  <c r="O27" i="10"/>
  <c r="Q27" i="10"/>
  <c r="H27" i="10"/>
  <c r="I27" i="10"/>
  <c r="U27" i="10" s="1"/>
  <c r="P27" i="10"/>
  <c r="P21" i="12"/>
  <c r="P22" i="12" s="1"/>
  <c r="P23" i="12" s="1"/>
  <c r="L21" i="12"/>
  <c r="L22" i="12" s="1"/>
  <c r="L23" i="12" s="1"/>
  <c r="C74" i="1"/>
  <c r="C90" i="1" s="1"/>
  <c r="N21" i="12"/>
  <c r="N22" i="12" s="1"/>
  <c r="N23" i="12" s="1"/>
  <c r="C70" i="1"/>
  <c r="C86" i="1" s="1"/>
  <c r="C102" i="1" s="1"/>
  <c r="E30" i="10" s="1"/>
  <c r="M21" i="12"/>
  <c r="M22" i="12" s="1"/>
  <c r="M23" i="12" s="1"/>
  <c r="R21" i="12"/>
  <c r="R22" i="12" s="1"/>
  <c r="R23" i="12" s="1"/>
  <c r="O30" i="10"/>
  <c r="J21" i="12"/>
  <c r="J22" i="12" s="1"/>
  <c r="J23" i="12" s="1"/>
  <c r="C68" i="1"/>
  <c r="C84" i="1" s="1"/>
  <c r="C100" i="1" s="1"/>
  <c r="E28" i="10" s="1"/>
  <c r="P28" i="10" s="1"/>
  <c r="E27" i="12"/>
  <c r="H21" i="12"/>
  <c r="H22" i="12" s="1"/>
  <c r="H23" i="12" s="1"/>
  <c r="G29" i="10"/>
  <c r="R29" i="10"/>
  <c r="V29" i="10" s="1"/>
  <c r="G28" i="10"/>
  <c r="N11" i="10"/>
  <c r="Q11" i="10"/>
  <c r="H11" i="10"/>
  <c r="M11" i="10"/>
  <c r="G11" i="10"/>
  <c r="K11" i="10"/>
  <c r="I11" i="10"/>
  <c r="P11" i="10"/>
  <c r="L11" i="10"/>
  <c r="R11" i="10"/>
  <c r="J11" i="10"/>
  <c r="M28" i="10"/>
  <c r="C75" i="1"/>
  <c r="P14" i="10"/>
  <c r="H14" i="10"/>
  <c r="I14" i="10"/>
  <c r="M14" i="10"/>
  <c r="Q14" i="10"/>
  <c r="J14" i="10"/>
  <c r="L14" i="10"/>
  <c r="G14" i="10"/>
  <c r="N28" i="10"/>
  <c r="P9" i="10"/>
  <c r="H9" i="10"/>
  <c r="T9" i="10" s="1"/>
  <c r="N9" i="10"/>
  <c r="K9" i="10"/>
  <c r="R9" i="10"/>
  <c r="M9" i="10"/>
  <c r="I9" i="10"/>
  <c r="U9" i="10" s="1"/>
  <c r="J9" i="10"/>
  <c r="G9" i="10"/>
  <c r="S9" i="10" s="1"/>
  <c r="Q9" i="10"/>
  <c r="L9" i="10"/>
  <c r="D104" i="1"/>
  <c r="E16" i="10" s="1"/>
  <c r="Q28" i="10"/>
  <c r="K15" i="10"/>
  <c r="S15" i="10" s="1"/>
  <c r="N15" i="10"/>
  <c r="H15" i="10"/>
  <c r="G15" i="10"/>
  <c r="R15" i="10"/>
  <c r="I15" i="10"/>
  <c r="Q15" i="10"/>
  <c r="P15" i="10"/>
  <c r="M15" i="10"/>
  <c r="L15" i="10"/>
  <c r="J15" i="10"/>
  <c r="I13" i="10"/>
  <c r="J13" i="10"/>
  <c r="R13" i="10"/>
  <c r="N13" i="10"/>
  <c r="G13" i="10"/>
  <c r="S13" i="10" s="1"/>
  <c r="P13" i="10"/>
  <c r="Q13" i="10"/>
  <c r="L13" i="10"/>
  <c r="H13" i="10"/>
  <c r="M13" i="10"/>
  <c r="K13" i="10"/>
  <c r="G27" i="10"/>
  <c r="K28" i="10"/>
  <c r="N27" i="10"/>
  <c r="V27" i="10" s="1"/>
  <c r="M27" i="10"/>
  <c r="H30" i="10"/>
  <c r="K21" i="12"/>
  <c r="K22" i="12" s="1"/>
  <c r="K23" i="12" s="1"/>
  <c r="I21" i="12"/>
  <c r="I22" i="12" s="1"/>
  <c r="I23" i="12" s="1"/>
  <c r="D75" i="1"/>
  <c r="D80" i="1"/>
  <c r="U25" i="10"/>
  <c r="J28" i="10"/>
  <c r="O21" i="12"/>
  <c r="O22" i="12" s="1"/>
  <c r="O23" i="12" s="1"/>
  <c r="R25" i="10"/>
  <c r="V25" i="10" s="1"/>
  <c r="G25" i="10"/>
  <c r="S25" i="10" s="1"/>
  <c r="M12" i="10"/>
  <c r="G12" i="10"/>
  <c r="O12" i="10"/>
  <c r="H12" i="10"/>
  <c r="P12" i="10"/>
  <c r="R12" i="10"/>
  <c r="L12" i="10"/>
  <c r="K12" i="10"/>
  <c r="J12" i="10"/>
  <c r="I12" i="10"/>
  <c r="Q12" i="10"/>
  <c r="N12" i="10"/>
  <c r="G18" i="4"/>
  <c r="G26" i="4" s="1"/>
  <c r="J12" i="3"/>
  <c r="E18" i="4"/>
  <c r="E26" i="4" s="1"/>
  <c r="H12" i="3"/>
  <c r="D18" i="4"/>
  <c r="D26" i="4" s="1"/>
  <c r="G12" i="3"/>
  <c r="S11" i="12"/>
  <c r="G12" i="12"/>
  <c r="S12" i="12" s="1"/>
  <c r="T22" i="12"/>
  <c r="T23" i="12" s="1"/>
  <c r="V31" i="10"/>
  <c r="T31" i="10"/>
  <c r="T29" i="10"/>
  <c r="H32" i="10"/>
  <c r="P32" i="10"/>
  <c r="Q32" i="10"/>
  <c r="L32" i="10"/>
  <c r="J32" i="10"/>
  <c r="N32" i="10"/>
  <c r="M32" i="10"/>
  <c r="I32" i="10"/>
  <c r="R32" i="10"/>
  <c r="K32" i="10"/>
  <c r="G32" i="10"/>
  <c r="T11" i="12"/>
  <c r="V11" i="12"/>
  <c r="T21" i="12"/>
  <c r="C97" i="1"/>
  <c r="C91" i="1"/>
  <c r="U31" i="10"/>
  <c r="S29" i="10"/>
  <c r="S31" i="10"/>
  <c r="T25" i="10"/>
  <c r="S22" i="12"/>
  <c r="S23" i="12" s="1"/>
  <c r="U29" i="10"/>
  <c r="O32" i="10"/>
  <c r="T27" i="10"/>
  <c r="T18" i="21"/>
  <c r="T20" i="21" s="1"/>
  <c r="P20" i="21"/>
  <c r="R23" i="25"/>
  <c r="S22" i="25"/>
  <c r="O15" i="13"/>
  <c r="L12" i="4" s="1"/>
  <c r="L13" i="4" s="1"/>
  <c r="R43" i="25"/>
  <c r="D17" i="27"/>
  <c r="D18" i="27" s="1"/>
  <c r="G18" i="27" s="1"/>
  <c r="S12" i="25"/>
  <c r="S13" i="25" s="1"/>
  <c r="P14" i="4" s="1"/>
  <c r="O13" i="25"/>
  <c r="L14" i="4" s="1"/>
  <c r="S17" i="25"/>
  <c r="P16" i="4" s="1"/>
  <c r="O17" i="25"/>
  <c r="L16" i="4" s="1"/>
  <c r="O22" i="25"/>
  <c r="L15" i="4" s="1"/>
  <c r="O16" i="13"/>
  <c r="S16" i="13" s="1"/>
  <c r="P15" i="4"/>
  <c r="S40" i="25"/>
  <c r="S42" i="25" s="1"/>
  <c r="S43" i="25" s="1"/>
  <c r="O42" i="25"/>
  <c r="O43" i="25" s="1"/>
  <c r="V12" i="12"/>
  <c r="T12" i="12"/>
  <c r="U19" i="3"/>
  <c r="T19" i="3"/>
  <c r="V19" i="3"/>
  <c r="S10" i="3"/>
  <c r="S11" i="3" s="1"/>
  <c r="U10" i="3"/>
  <c r="U11" i="3" s="1"/>
  <c r="T10" i="3"/>
  <c r="T11" i="3" s="1"/>
  <c r="O11" i="3"/>
  <c r="L18" i="4" s="1"/>
  <c r="I11" i="3"/>
  <c r="R11" i="3"/>
  <c r="O18" i="4" s="1"/>
  <c r="S27" i="10"/>
  <c r="S11" i="20"/>
  <c r="L23" i="4"/>
  <c r="R11" i="20"/>
  <c r="O14" i="20"/>
  <c r="O22" i="20"/>
  <c r="K17" i="7"/>
  <c r="K30" i="10"/>
  <c r="K14" i="10"/>
  <c r="S11" i="10"/>
  <c r="R19" i="19"/>
  <c r="R20" i="19" s="1"/>
  <c r="V17" i="19"/>
  <c r="V19" i="19" s="1"/>
  <c r="V20" i="19" s="1"/>
  <c r="V8" i="19"/>
  <c r="V10" i="19" s="1"/>
  <c r="T20" i="3"/>
  <c r="T21" i="3" s="1"/>
  <c r="T22" i="3" s="1"/>
  <c r="V20" i="3"/>
  <c r="U20" i="3"/>
  <c r="U21" i="3" s="1"/>
  <c r="U22" i="3" s="1"/>
  <c r="S20" i="3"/>
  <c r="S21" i="3" s="1"/>
  <c r="S22" i="3" s="1"/>
  <c r="R21" i="3"/>
  <c r="V11" i="3"/>
  <c r="N8" i="4" l="1"/>
  <c r="Q13" i="12"/>
  <c r="U11" i="12"/>
  <c r="I12" i="12"/>
  <c r="Q8" i="4"/>
  <c r="T13" i="12"/>
  <c r="L8" i="4"/>
  <c r="O13" i="12"/>
  <c r="D8" i="4"/>
  <c r="G13" i="12"/>
  <c r="S8" i="4"/>
  <c r="V13" i="12"/>
  <c r="P8" i="4"/>
  <c r="S13" i="12"/>
  <c r="S28" i="10"/>
  <c r="P33" i="10"/>
  <c r="S12" i="10"/>
  <c r="I28" i="10"/>
  <c r="U28" i="10" s="1"/>
  <c r="V9" i="10"/>
  <c r="R28" i="10"/>
  <c r="V28" i="10" s="1"/>
  <c r="R30" i="10"/>
  <c r="R33" i="10" s="1"/>
  <c r="G30" i="10"/>
  <c r="G33" i="10" s="1"/>
  <c r="J30" i="10"/>
  <c r="I30" i="10"/>
  <c r="P30" i="10"/>
  <c r="L30" i="10"/>
  <c r="M30" i="10"/>
  <c r="Q30" i="10"/>
  <c r="Q33" i="10" s="1"/>
  <c r="V21" i="12"/>
  <c r="U21" i="12"/>
  <c r="O28" i="10"/>
  <c r="O33" i="10" s="1"/>
  <c r="L28" i="10"/>
  <c r="L33" i="10" s="1"/>
  <c r="V22" i="12"/>
  <c r="V23" i="12" s="1"/>
  <c r="M33" i="10"/>
  <c r="S21" i="12"/>
  <c r="T14" i="10"/>
  <c r="H28" i="10"/>
  <c r="J33" i="10"/>
  <c r="U22" i="12"/>
  <c r="U23" i="12" s="1"/>
  <c r="T11" i="10"/>
  <c r="V12" i="10"/>
  <c r="U12" i="10"/>
  <c r="D91" i="1"/>
  <c r="D97" i="1"/>
  <c r="V11" i="10"/>
  <c r="U15" i="10"/>
  <c r="I16" i="10"/>
  <c r="Q16" i="10"/>
  <c r="Q17" i="10" s="1"/>
  <c r="L16" i="10"/>
  <c r="L17" i="10" s="1"/>
  <c r="N16" i="10"/>
  <c r="O16" i="10"/>
  <c r="O17" i="10" s="1"/>
  <c r="J16" i="10"/>
  <c r="M16" i="10"/>
  <c r="R16" i="10"/>
  <c r="R17" i="10" s="1"/>
  <c r="O7" i="4" s="1"/>
  <c r="H16" i="10"/>
  <c r="K16" i="10"/>
  <c r="K17" i="10" s="1"/>
  <c r="P16" i="10"/>
  <c r="P17" i="10" s="1"/>
  <c r="M7" i="4" s="1"/>
  <c r="G16" i="10"/>
  <c r="S16" i="10" s="1"/>
  <c r="V13" i="10"/>
  <c r="U11" i="10"/>
  <c r="I17" i="10"/>
  <c r="F7" i="4" s="1"/>
  <c r="T13" i="10"/>
  <c r="U13" i="10"/>
  <c r="T12" i="10"/>
  <c r="V15" i="10"/>
  <c r="T15" i="10"/>
  <c r="U14" i="10"/>
  <c r="M17" i="10"/>
  <c r="O21" i="4"/>
  <c r="L21" i="4" s="1"/>
  <c r="L26" i="4" s="1"/>
  <c r="R11" i="19"/>
  <c r="V11" i="19"/>
  <c r="V27" i="18"/>
  <c r="R18" i="4"/>
  <c r="R26" i="4" s="1"/>
  <c r="U12" i="3"/>
  <c r="P18" i="4"/>
  <c r="S12" i="3"/>
  <c r="L15" i="15"/>
  <c r="V12" i="3"/>
  <c r="Q18" i="4"/>
  <c r="Q26" i="4" s="1"/>
  <c r="T12" i="3"/>
  <c r="F18" i="4"/>
  <c r="F26" i="4" s="1"/>
  <c r="I12" i="3"/>
  <c r="U32" i="10"/>
  <c r="S32" i="10"/>
  <c r="K33" i="10"/>
  <c r="I33" i="10"/>
  <c r="T32" i="10"/>
  <c r="E24" i="10"/>
  <c r="C105" i="1"/>
  <c r="V32" i="10"/>
  <c r="S23" i="25"/>
  <c r="V27" i="12"/>
  <c r="L17" i="4"/>
  <c r="P17" i="4"/>
  <c r="O23" i="25"/>
  <c r="V21" i="3"/>
  <c r="V22" i="3" s="1"/>
  <c r="S22" i="20"/>
  <c r="S25" i="20" s="1"/>
  <c r="R22" i="20"/>
  <c r="O25" i="20"/>
  <c r="O23" i="4"/>
  <c r="V11" i="20"/>
  <c r="R14" i="20"/>
  <c r="N30" i="10"/>
  <c r="N14" i="10"/>
  <c r="S14" i="10"/>
  <c r="S14" i="20"/>
  <c r="P23" i="4"/>
  <c r="L7" i="4"/>
  <c r="S21" i="4"/>
  <c r="P21" i="4" s="1"/>
  <c r="S18" i="4"/>
  <c r="F8" i="4" l="1"/>
  <c r="I13" i="12"/>
  <c r="U12" i="12"/>
  <c r="K18" i="10"/>
  <c r="H7" i="4"/>
  <c r="H9" i="4" s="1"/>
  <c r="H34" i="4" s="1"/>
  <c r="T30" i="10"/>
  <c r="H33" i="10"/>
  <c r="T28" i="10"/>
  <c r="T33" i="10" s="1"/>
  <c r="V16" i="10"/>
  <c r="U30" i="10"/>
  <c r="U33" i="10" s="1"/>
  <c r="S30" i="10"/>
  <c r="S33" i="10" s="1"/>
  <c r="N7" i="4"/>
  <c r="J17" i="10"/>
  <c r="L18" i="10"/>
  <c r="I7" i="4"/>
  <c r="I9" i="4" s="1"/>
  <c r="I34" i="4" s="1"/>
  <c r="D105" i="1"/>
  <c r="E8" i="10"/>
  <c r="J7" i="4"/>
  <c r="J9" i="4" s="1"/>
  <c r="J34" i="4" s="1"/>
  <c r="M18" i="10"/>
  <c r="T16" i="10"/>
  <c r="T17" i="10" s="1"/>
  <c r="U16" i="10"/>
  <c r="U17" i="10"/>
  <c r="R7" i="4" s="1"/>
  <c r="S17" i="10"/>
  <c r="G17" i="10"/>
  <c r="H17" i="10"/>
  <c r="O26" i="4"/>
  <c r="M24" i="10"/>
  <c r="M26" i="10" s="1"/>
  <c r="M34" i="10" s="1"/>
  <c r="P24" i="10"/>
  <c r="P26" i="10" s="1"/>
  <c r="P34" i="10" s="1"/>
  <c r="J24" i="10"/>
  <c r="Q24" i="10"/>
  <c r="Q26" i="10" s="1"/>
  <c r="Q34" i="10" s="1"/>
  <c r="L24" i="10"/>
  <c r="L26" i="10" s="1"/>
  <c r="L34" i="10" s="1"/>
  <c r="N24" i="10"/>
  <c r="N26" i="10" s="1"/>
  <c r="I24" i="10"/>
  <c r="H24" i="10"/>
  <c r="K24" i="10"/>
  <c r="K26" i="10" s="1"/>
  <c r="K34" i="10" s="1"/>
  <c r="R24" i="10"/>
  <c r="R26" i="10" s="1"/>
  <c r="R34" i="10" s="1"/>
  <c r="G24" i="10"/>
  <c r="O24" i="10"/>
  <c r="O26" i="10" s="1"/>
  <c r="O34" i="10" s="1"/>
  <c r="P26" i="4"/>
  <c r="S23" i="4"/>
  <c r="V14" i="20"/>
  <c r="P7" i="4"/>
  <c r="V30" i="10"/>
  <c r="V33" i="10" s="1"/>
  <c r="N33" i="10"/>
  <c r="V22" i="20"/>
  <c r="V25" i="20" s="1"/>
  <c r="R25" i="20"/>
  <c r="V14" i="10"/>
  <c r="V17" i="10" s="1"/>
  <c r="N17" i="10"/>
  <c r="S26" i="4"/>
  <c r="R8" i="4" l="1"/>
  <c r="U13" i="12"/>
  <c r="Q7" i="4"/>
  <c r="E7" i="4"/>
  <c r="D7" i="4"/>
  <c r="O8" i="10"/>
  <c r="O10" i="10" s="1"/>
  <c r="M8" i="10"/>
  <c r="I8" i="10"/>
  <c r="N8" i="10"/>
  <c r="G8" i="10"/>
  <c r="K8" i="10"/>
  <c r="R8" i="10"/>
  <c r="R10" i="10" s="1"/>
  <c r="J8" i="10"/>
  <c r="L8" i="10"/>
  <c r="Q8" i="10"/>
  <c r="Q10" i="10" s="1"/>
  <c r="P8" i="10"/>
  <c r="P10" i="10" s="1"/>
  <c r="H8" i="10"/>
  <c r="G7" i="4"/>
  <c r="N34" i="10"/>
  <c r="H26" i="10"/>
  <c r="H34" i="10" s="1"/>
  <c r="T24" i="10"/>
  <c r="T26" i="10" s="1"/>
  <c r="T34" i="10" s="1"/>
  <c r="U24" i="10"/>
  <c r="U26" i="10" s="1"/>
  <c r="U34" i="10" s="1"/>
  <c r="I26" i="10"/>
  <c r="I34" i="10" s="1"/>
  <c r="G26" i="10"/>
  <c r="G34" i="10" s="1"/>
  <c r="S24" i="10"/>
  <c r="S26" i="10" s="1"/>
  <c r="S34" i="10" s="1"/>
  <c r="J26" i="10"/>
  <c r="J34" i="10" s="1"/>
  <c r="V24" i="10"/>
  <c r="V26" i="10" s="1"/>
  <c r="V34" i="10" s="1"/>
  <c r="C8" i="28" s="1"/>
  <c r="K7" i="4"/>
  <c r="N18" i="10"/>
  <c r="S7" i="4"/>
  <c r="L6" i="4" l="1"/>
  <c r="L9" i="4" s="1"/>
  <c r="L34" i="4" s="1"/>
  <c r="O18" i="10"/>
  <c r="R18" i="10"/>
  <c r="O6" i="4"/>
  <c r="G10" i="10"/>
  <c r="S8" i="10"/>
  <c r="S10" i="10" s="1"/>
  <c r="H10" i="10"/>
  <c r="T8" i="10"/>
  <c r="T10" i="10" s="1"/>
  <c r="J10" i="10"/>
  <c r="V8" i="10"/>
  <c r="V10" i="10" s="1"/>
  <c r="M6" i="4"/>
  <c r="M9" i="4" s="1"/>
  <c r="M34" i="4" s="1"/>
  <c r="P18" i="10"/>
  <c r="U8" i="10"/>
  <c r="U10" i="10" s="1"/>
  <c r="I10" i="10"/>
  <c r="N6" i="4"/>
  <c r="N9" i="4" s="1"/>
  <c r="N34" i="4" s="1"/>
  <c r="Q18" i="10"/>
  <c r="C15" i="28"/>
  <c r="K9" i="4"/>
  <c r="E6" i="4" l="1"/>
  <c r="E9" i="4" s="1"/>
  <c r="E34" i="4" s="1"/>
  <c r="H18" i="10"/>
  <c r="I18" i="10"/>
  <c r="F6" i="4"/>
  <c r="F9" i="4" s="1"/>
  <c r="F34" i="4" s="1"/>
  <c r="P6" i="4"/>
  <c r="P9" i="4" s="1"/>
  <c r="P34" i="4" s="1"/>
  <c r="S18" i="10"/>
  <c r="R6" i="4"/>
  <c r="R9" i="4" s="1"/>
  <c r="R34" i="4" s="1"/>
  <c r="U18" i="10"/>
  <c r="D6" i="4"/>
  <c r="D9" i="4" s="1"/>
  <c r="D34" i="4" s="1"/>
  <c r="G18" i="10"/>
  <c r="O9" i="4"/>
  <c r="S6" i="4"/>
  <c r="S9" i="4" s="1"/>
  <c r="S34" i="4" s="1"/>
  <c r="V18" i="10"/>
  <c r="G6" i="4"/>
  <c r="J18" i="10"/>
  <c r="Q6" i="4"/>
  <c r="Q9" i="4" s="1"/>
  <c r="Q34" i="4" s="1"/>
  <c r="T18" i="10"/>
  <c r="K34" i="4"/>
  <c r="V9" i="4" s="1"/>
  <c r="F37" i="10" l="1"/>
  <c r="F38" i="10"/>
  <c r="F40" i="10"/>
  <c r="F39" i="10"/>
  <c r="G9" i="4"/>
  <c r="O34" i="4"/>
  <c r="O35" i="4" s="1"/>
  <c r="C9" i="28"/>
  <c r="C10" i="28" s="1"/>
  <c r="X33" i="4"/>
  <c r="X24" i="4"/>
  <c r="X17" i="4"/>
  <c r="X22" i="4"/>
  <c r="X32" i="4"/>
  <c r="X13" i="4"/>
  <c r="X34" i="4"/>
  <c r="X6" i="4"/>
  <c r="X29" i="4"/>
  <c r="X18" i="4"/>
  <c r="X31" i="4"/>
  <c r="X25" i="4"/>
  <c r="X14" i="4"/>
  <c r="X16" i="4"/>
  <c r="X23" i="4"/>
  <c r="X15" i="4"/>
  <c r="X30" i="4"/>
  <c r="S35" i="4"/>
  <c r="X12" i="4"/>
  <c r="X27" i="4"/>
  <c r="X11" i="4"/>
  <c r="X28" i="4"/>
  <c r="X19" i="4"/>
  <c r="X20" i="4"/>
  <c r="X21" i="4"/>
  <c r="X8" i="4"/>
  <c r="X26" i="4"/>
  <c r="X10" i="4"/>
  <c r="X7" i="4"/>
  <c r="X9" i="4"/>
  <c r="V13" i="4"/>
  <c r="V16" i="4"/>
  <c r="V19" i="4"/>
  <c r="V11" i="4"/>
  <c r="V22" i="4"/>
  <c r="V32" i="4"/>
  <c r="V12" i="4"/>
  <c r="V29" i="4"/>
  <c r="V34" i="4"/>
  <c r="V24" i="4"/>
  <c r="V15" i="4"/>
  <c r="V21" i="4"/>
  <c r="V30" i="4"/>
  <c r="V20" i="4"/>
  <c r="V26" i="4"/>
  <c r="V8" i="4"/>
  <c r="V18" i="4"/>
  <c r="V23" i="4"/>
  <c r="V33" i="4"/>
  <c r="V6" i="4"/>
  <c r="V10" i="4"/>
  <c r="V14" i="4"/>
  <c r="V27" i="4"/>
  <c r="V28" i="4"/>
  <c r="V25" i="4"/>
  <c r="V31" i="4"/>
  <c r="V17" i="4"/>
  <c r="K35" i="4"/>
  <c r="V7" i="4"/>
  <c r="W9" i="4" l="1"/>
  <c r="W26" i="4"/>
  <c r="W28" i="4"/>
  <c r="W21" i="4"/>
  <c r="W17" i="4"/>
  <c r="W11" i="4"/>
  <c r="W27" i="4"/>
  <c r="W16" i="4"/>
  <c r="W25" i="4"/>
  <c r="W29" i="4"/>
  <c r="W8" i="4"/>
  <c r="W30" i="4"/>
  <c r="W14" i="4"/>
  <c r="W7" i="4"/>
  <c r="W13" i="4"/>
  <c r="W22" i="4"/>
  <c r="W19" i="4"/>
  <c r="W24" i="4"/>
  <c r="W32" i="4"/>
  <c r="W34" i="4"/>
  <c r="W23" i="4"/>
  <c r="W31" i="4"/>
  <c r="W12" i="4"/>
  <c r="W20" i="4"/>
  <c r="W10" i="4"/>
  <c r="W15" i="4"/>
  <c r="W33" i="4"/>
  <c r="W18" i="4"/>
  <c r="W6" i="4"/>
  <c r="G34" i="4"/>
  <c r="U9" i="4" s="1"/>
  <c r="D39" i="4"/>
  <c r="U26" i="4" l="1"/>
  <c r="U10" i="4"/>
  <c r="U21" i="4"/>
  <c r="U28" i="4"/>
  <c r="U14" i="4"/>
  <c r="U13" i="4"/>
  <c r="U18" i="4"/>
  <c r="U19" i="4"/>
  <c r="U20" i="4"/>
  <c r="U34" i="4"/>
  <c r="U30" i="4"/>
  <c r="U29" i="4"/>
  <c r="U31" i="4"/>
  <c r="U15" i="4"/>
  <c r="U22" i="4"/>
  <c r="U16" i="4"/>
  <c r="U23" i="4"/>
  <c r="U32" i="4"/>
  <c r="U8" i="4"/>
  <c r="U11" i="4"/>
  <c r="U27" i="4"/>
  <c r="U24" i="4"/>
  <c r="U25" i="4"/>
  <c r="U12" i="4"/>
  <c r="U33" i="4"/>
  <c r="U17" i="4"/>
  <c r="U7" i="4"/>
  <c r="G35" i="4"/>
  <c r="U6" i="4"/>
  <c r="D43" i="4"/>
  <c r="E39" i="4"/>
  <c r="C16" i="28" l="1"/>
  <c r="C17" i="28" s="1"/>
  <c r="E42" i="4"/>
  <c r="E41" i="4"/>
  <c r="E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B9" authorId="0" shapeId="0" xr:uid="{F45313BC-36B4-4988-81D5-49E32B788E14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écoles professionnelles</t>
        </r>
      </text>
    </comment>
    <comment ref="I10" authorId="0" shapeId="0" xr:uid="{3A592048-2DB7-4770-A9B8-F0D8F2A7A6E3}">
      <text>
        <r>
          <rPr>
            <sz val="9"/>
            <color indexed="81"/>
            <rFont val="Tahoma"/>
            <family val="2"/>
          </rPr>
          <t>Hyp: 10% des surfaces louées</t>
        </r>
      </text>
    </comment>
    <comment ref="B21" authorId="0" shapeId="0" xr:uid="{3592CADB-E01D-4E4A-8472-D07F3E4C59F4}">
      <text>
        <r>
          <rPr>
            <sz val="9"/>
            <color indexed="81"/>
            <rFont val="Tahoma"/>
            <family val="2"/>
          </rPr>
          <t>Hors périmètre car ce sont majoritairement des cures où l'Etat est bailleur.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D7" authorId="0" shapeId="0" xr:uid="{89E0952A-845A-468C-9DF5-A2B073E4C97A}">
      <text>
        <r>
          <rPr>
            <sz val="9"/>
            <color indexed="81"/>
            <rFont val="Tahoma"/>
            <family val="2"/>
          </rPr>
          <t xml:space="preserve">
 https://www.vd.ch/def/sg-def/rentree-scolaire-2019-2020/les-chiffres-de-la-rentree-scolaire-2019-2020/tableau-de-bord-de-lenseignement-obligatoire-a-la-rentree-2019</t>
        </r>
      </text>
    </comment>
    <comment ref="D9" authorId="0" shapeId="0" xr:uid="{BCD75474-1549-463B-A7AD-88220EFB48AF}">
      <text>
        <r>
          <rPr>
            <sz val="9"/>
            <color indexed="81"/>
            <rFont val="Tahoma"/>
            <family val="2"/>
          </rPr>
          <t xml:space="preserve">
Source : https://www.vd.ch/def/sg-def/rentree-scolaire-2021-2022/les-chiffres-de-la-rentree-scolaire-2021-2022/tableau-de-bord-de-lenseignement-postobligatoire-2021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H8" authorId="0" shapeId="0" xr:uid="{EDA0047C-D8D3-4959-8C9E-8862B547035E}">
      <text>
        <r>
          <rPr>
            <sz val="9"/>
            <color indexed="81"/>
            <rFont val="Tahoma"/>
            <family val="2"/>
          </rPr>
          <t xml:space="preserve">Fiche d'information au canton, OFEV (0.0426 TJ/t)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C9" authorId="0" shapeId="0" xr:uid="{8B632ABE-77F7-4F06-81E9-5E51737E9F6B}">
      <text>
        <r>
          <rPr>
            <sz val="9"/>
            <color indexed="81"/>
            <rFont val="Tahoma"/>
            <family val="2"/>
          </rPr>
          <t xml:space="preserve">https://ind.obsan.admin.ch/fr/indicator/monam/absences-au-travail-pour-cause-de-maladie-ou-d-accident-age-15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E8" authorId="0" shapeId="0" xr:uid="{C64160FE-7423-40A9-A32B-CA003DFEA209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Attention beaucoup de repas végétarien car viande EPO déjà comptabilisée dans agriculture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F9" authorId="0" shapeId="0" xr:uid="{CA3D7AAC-7C74-42D6-862F-1A3943C7B985}">
      <text>
        <r>
          <rPr>
            <sz val="9"/>
            <color indexed="81"/>
            <rFont val="Tahoma"/>
            <family val="2"/>
          </rPr>
          <t xml:space="preserve">100% végétarien car l'impact de la viande consommé sur place est déjà comptabilisé dans le secteur agriculture
</t>
        </r>
      </text>
    </comment>
    <comment ref="D16" authorId="0" shapeId="0" xr:uid="{156B1EE9-3A5F-496C-BA50-59CDCA3945BD}">
      <text>
        <r>
          <rPr>
            <sz val="9"/>
            <color indexed="81"/>
            <rFont val="Tahoma"/>
            <family val="2"/>
          </rPr>
          <t xml:space="preserve">selon stratégie de restauration collective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C7" authorId="0" shapeId="0" xr:uid="{B3C7A5A2-8EBB-4B80-B4B9-69424F513C9C}">
      <text>
        <r>
          <rPr>
            <sz val="9"/>
            <color indexed="81"/>
            <rFont val="Tahoma"/>
            <family val="2"/>
          </rPr>
          <t>donnée original basé sur une Golf A4, corrigé pour le poids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Labenets Elena</author>
  </authors>
  <commentList>
    <comment ref="C18" authorId="0" shapeId="0" xr:uid="{3FCAA8FF-6504-4DF3-8ADE-12623944B1A9}">
      <text>
        <r>
          <rPr>
            <b/>
            <sz val="9"/>
            <color indexed="81"/>
            <rFont val="Tahoma"/>
            <family val="2"/>
          </rPr>
          <t>Labenets Elena:</t>
        </r>
        <r>
          <rPr>
            <sz val="9"/>
            <color indexed="81"/>
            <rFont val="Tahoma"/>
            <family val="2"/>
          </rPr>
          <t xml:space="preserve">
TBI (Tableau Blanc Interactif) est une surface blanche tactile sur laquelle un projecteur (Beamer) projette une image.</t>
        </r>
      </text>
    </comment>
    <comment ref="C19" authorId="0" shapeId="0" xr:uid="{88EB9A2C-8262-4CBB-93A5-9CFA3A93552A}">
      <text>
        <r>
          <rPr>
            <b/>
            <sz val="9"/>
            <color indexed="81"/>
            <rFont val="Tahoma"/>
            <family val="2"/>
          </rPr>
          <t>Labenets Elena:</t>
        </r>
        <r>
          <rPr>
            <sz val="9"/>
            <color indexed="81"/>
            <rFont val="Tahoma"/>
            <family val="2"/>
          </rPr>
          <t xml:space="preserve">
ANF (Affichage Numérique Frontal) est en règle générale un écran LED tactile de 86".</t>
        </r>
      </text>
    </comment>
    <comment ref="E30" authorId="0" shapeId="0" xr:uid="{7B1FCEDA-937B-4FA0-9C2E-CABE371BA7EE}">
      <text>
        <r>
          <rPr>
            <b/>
            <sz val="9"/>
            <color indexed="81"/>
            <rFont val="Tahoma"/>
            <family val="2"/>
          </rPr>
          <t>Labenets Elena:</t>
        </r>
        <r>
          <rPr>
            <sz val="9"/>
            <color indexed="81"/>
            <rFont val="Tahoma"/>
            <family val="2"/>
          </rPr>
          <t xml:space="preserve">
Données des estimations de Adrien USI.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B27" authorId="0" shapeId="0" xr:uid="{EA9A9861-6FAD-4E27-BC86-16FA8B677C5A}">
      <text>
        <r>
          <rPr>
            <b/>
            <sz val="9"/>
            <color indexed="81"/>
            <rFont val="Tahoma"/>
            <family val="2"/>
          </rPr>
          <t>selon rapport RUMBA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 Gunten Diane</author>
  </authors>
  <commentList>
    <comment ref="G6" authorId="0" shapeId="0" xr:uid="{741C248E-FCC0-4932-8DF9-35FD0D1DE53A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Facteurs d’émission de CO2 selon l'inventaire des gaz à effet de serre de la Suisse, OFEV, 2024
</t>
        </r>
      </text>
    </comment>
    <comment ref="K6" authorId="0" shapeId="0" xr:uid="{7CE2C873-2725-4CA9-B34D-1818C2F08212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Facteurs d’émission de CO2 selon l'inventaire des gaz à effet de serre de la Suisse, OFEV, 2024
</t>
        </r>
      </text>
    </comment>
    <comment ref="S6" authorId="0" shapeId="0" xr:uid="{E547EA2C-4862-4E66-88F8-433B95F87B80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KBOB 2009/1:2022, Version 6.2</t>
        </r>
      </text>
    </comment>
    <comment ref="G22" authorId="0" shapeId="0" xr:uid="{651CCC3A-EE7D-4070-82D2-C89157EB2381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Facteurs d’émission de CO2 selon l'inventaire des gaz à effet de serre de la Suisse, OFEV, 2024
</t>
        </r>
      </text>
    </comment>
    <comment ref="S22" authorId="0" shapeId="0" xr:uid="{9F0B3D2F-7F21-4BA8-9668-739BFC40264D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KBOB 2009/1:2022, Version 6.2</t>
        </r>
      </text>
    </comment>
    <comment ref="B25" authorId="0" shapeId="0" xr:uid="{FB94BAE1-D768-4AB5-B7C0-3308DF728BD6}">
      <text>
        <r>
          <rPr>
            <sz val="9"/>
            <color indexed="81"/>
            <rFont val="Tahoma"/>
            <family val="2"/>
          </rPr>
          <t xml:space="preserve">On prend ici les Vaudois qui se déplacent sur Vaud
</t>
        </r>
      </text>
    </comment>
    <comment ref="G38" authorId="0" shapeId="0" xr:uid="{6F5F6AB4-6CD0-4896-B9D4-78A8AE379684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Facteurs d’émission de CO2 selon l'inventaire des gaz à effet de serre de la Suisse, OFEV, 2024
</t>
        </r>
      </text>
    </comment>
    <comment ref="S38" authorId="0" shapeId="0" xr:uid="{CB1312A6-9518-4662-8D4C-DC786E7AEC43}">
      <text>
        <r>
          <rPr>
            <b/>
            <sz val="9"/>
            <color indexed="81"/>
            <rFont val="Tahoma"/>
            <family val="2"/>
          </rPr>
          <t>von Gunten Diane:</t>
        </r>
        <r>
          <rPr>
            <sz val="9"/>
            <color indexed="81"/>
            <rFont val="Tahoma"/>
            <family val="2"/>
          </rPr>
          <t xml:space="preserve">
Source pour cette colonne : KBOB 2009/1:2022, Version 6.2</t>
        </r>
      </text>
    </comment>
  </commentList>
</comments>
</file>

<file path=xl/sharedStrings.xml><?xml version="1.0" encoding="utf-8"?>
<sst xmlns="http://schemas.openxmlformats.org/spreadsheetml/2006/main" count="2124" uniqueCount="626">
  <si>
    <t>loué - Privé</t>
  </si>
  <si>
    <t xml:space="preserve">Total </t>
  </si>
  <si>
    <t>01 - Administrations</t>
  </si>
  <si>
    <t>02 - Ecoles</t>
  </si>
  <si>
    <t>03 - Environnement</t>
  </si>
  <si>
    <t>04 - Gymnases</t>
  </si>
  <si>
    <t>05 - Hautes écoles</t>
  </si>
  <si>
    <t>06 - Immobilier</t>
  </si>
  <si>
    <t>07 - Musées</t>
  </si>
  <si>
    <t>08 - Prisons</t>
  </si>
  <si>
    <t>09 - Sécurité</t>
  </si>
  <si>
    <t>(vide)</t>
  </si>
  <si>
    <t>total donnée DGIP</t>
  </si>
  <si>
    <t>Marcellin</t>
  </si>
  <si>
    <t xml:space="preserve">Agriculture - ACV </t>
  </si>
  <si>
    <t>Emissions Totales  [tCo2eq]</t>
  </si>
  <si>
    <t>Année</t>
  </si>
  <si>
    <t>Catégorie</t>
  </si>
  <si>
    <t>CH4</t>
  </si>
  <si>
    <t>GES</t>
  </si>
  <si>
    <t>Pratiques agricoles</t>
  </si>
  <si>
    <t>Fermentation entérique</t>
  </si>
  <si>
    <t>Gestion des fumiers et lisiers</t>
  </si>
  <si>
    <t>SOUS-TOTAL</t>
  </si>
  <si>
    <t>TOTAL</t>
  </si>
  <si>
    <t>Carbone des sols agricoles</t>
  </si>
  <si>
    <t>Activités</t>
  </si>
  <si>
    <t>Unité</t>
  </si>
  <si>
    <t>Chauffages des serres</t>
  </si>
  <si>
    <t>Véhicules agricoles</t>
  </si>
  <si>
    <t>Fermentation entérique (kt CH4)</t>
  </si>
  <si>
    <t>Cheptel - Vaches</t>
  </si>
  <si>
    <t>Cheptel - Autres vaches</t>
  </si>
  <si>
    <t>Cheptel - Veaux et autres bovins</t>
  </si>
  <si>
    <t>Cheptel - Caprins</t>
  </si>
  <si>
    <t>Cheptel - Porcs</t>
  </si>
  <si>
    <t>Cheptel - Autres animaux</t>
  </si>
  <si>
    <t>Cheptel - Equidés</t>
  </si>
  <si>
    <t>Cheptel - Volailles</t>
  </si>
  <si>
    <t xml:space="preserve">Gestion des fumiers et lisiers (kt CH4) </t>
  </si>
  <si>
    <t xml:space="preserve">Gestion des fumiers et lisiers (kt N2O) </t>
  </si>
  <si>
    <t>Divers -kt Co2</t>
  </si>
  <si>
    <t xml:space="preserve">Chaux </t>
  </si>
  <si>
    <t>Urée</t>
  </si>
  <si>
    <t>Sols agricoles (Table4B - Cropland)</t>
  </si>
  <si>
    <t>Sols agricoles (Table4C - Grassland)</t>
  </si>
  <si>
    <t>Par exploitation  - Selon données ACORDA</t>
  </si>
  <si>
    <t>EPO</t>
  </si>
  <si>
    <t>Granges-Verney</t>
  </si>
  <si>
    <t>SAU</t>
  </si>
  <si>
    <t>Potentiel de réchauffement global - PRG 100</t>
  </si>
  <si>
    <t>Nom</t>
  </si>
  <si>
    <t>Formule chimique</t>
  </si>
  <si>
    <t>PRG100</t>
  </si>
  <si>
    <t>Gaz carbonique fossile</t>
  </si>
  <si>
    <t>CO2</t>
  </si>
  <si>
    <t>Source : OFEV, Effet climatique des gaz à effet de serre et d’autres substances, 2023</t>
  </si>
  <si>
    <t>Gaz carbonique biogénique</t>
  </si>
  <si>
    <t xml:space="preserve">Méthane </t>
  </si>
  <si>
    <t>N2O</t>
  </si>
  <si>
    <t>Hexafluorure de soufre</t>
  </si>
  <si>
    <t>SF6</t>
  </si>
  <si>
    <t xml:space="preserve">Trifluorure d'azote </t>
  </si>
  <si>
    <t>NF3</t>
  </si>
  <si>
    <t>ACV pour 2023, par exploitation, divers gaz</t>
  </si>
  <si>
    <t>TOTAL PAR EXPLOITATION</t>
  </si>
  <si>
    <t>Pratiques agricoles (culture)</t>
  </si>
  <si>
    <t>Equidés</t>
  </si>
  <si>
    <t>Bovins</t>
  </si>
  <si>
    <t>Caprins</t>
  </si>
  <si>
    <t>Volaille</t>
  </si>
  <si>
    <t>Total</t>
  </si>
  <si>
    <t>are</t>
  </si>
  <si>
    <t>Cheptel -2019 [UGB]</t>
  </si>
  <si>
    <t>Cheptel -2023 [UGB]</t>
  </si>
  <si>
    <t>Porc?</t>
  </si>
  <si>
    <t xml:space="preserve">Evolution du cheptel et surface 2023 -&gt; 2019 </t>
  </si>
  <si>
    <t>ACV pour 2019, par exploitation, en tco2-eq</t>
  </si>
  <si>
    <t xml:space="preserve">Gestion des fumiers et lisiers </t>
  </si>
  <si>
    <t>ACV pour 2023,par exploitation  en  tCO2-eq</t>
  </si>
  <si>
    <t>Divers</t>
  </si>
  <si>
    <t xml:space="preserve">Fermentation entérique </t>
  </si>
  <si>
    <t>total</t>
  </si>
  <si>
    <t>Facteur d'émissions par tête de bétail selon données suisses</t>
  </si>
  <si>
    <t>Cheptel [tête de bétail] et surface agricole utile [are - 100 m2]</t>
  </si>
  <si>
    <t>Grassland</t>
  </si>
  <si>
    <t xml:space="preserve">Pratiques agricoles </t>
  </si>
  <si>
    <t>Sols agricoles -kt Co2</t>
  </si>
  <si>
    <t>Sols agricloles -kt Co2</t>
  </si>
  <si>
    <t>Pratiques agricoles -kt Co2</t>
  </si>
  <si>
    <t>Pratiques agricoles-kt Co2</t>
  </si>
  <si>
    <t>Sols agricoles</t>
  </si>
  <si>
    <t>selon bilan carbone 2019</t>
  </si>
  <si>
    <t>selon données Acorda</t>
  </si>
  <si>
    <t>Facteur d'émission</t>
  </si>
  <si>
    <t>voir tableau ci-dessus</t>
  </si>
  <si>
    <t>Chaleur du bâtiment ACV</t>
  </si>
  <si>
    <t>Etat propriétaire</t>
  </si>
  <si>
    <t>loué - Institution</t>
  </si>
  <si>
    <t>Bâtiment Unil (hors périmètre)</t>
  </si>
  <si>
    <t>Patrimoine (hors périmètre)</t>
  </si>
  <si>
    <t>Constante</t>
  </si>
  <si>
    <t>StatVD</t>
  </si>
  <si>
    <t>Mazout</t>
  </si>
  <si>
    <t>Gaz fossile</t>
  </si>
  <si>
    <t xml:space="preserve">Bois en plaquettes sèches </t>
  </si>
  <si>
    <t xml:space="preserve">Bois en plaquettes humides </t>
  </si>
  <si>
    <t xml:space="preserve">Bois en pellets </t>
  </si>
  <si>
    <t>Chauffage urbain, bois</t>
  </si>
  <si>
    <t>Chauffage urbain, CAD SIL</t>
  </si>
  <si>
    <t>Chauffage urbain, PAC</t>
  </si>
  <si>
    <t>Solaire thermique</t>
  </si>
  <si>
    <t>Pompe à chaleur</t>
  </si>
  <si>
    <t>Electricité directe</t>
  </si>
  <si>
    <t>Autre</t>
  </si>
  <si>
    <t>Consommation spécifique par affectation selon tener [kwh/m2]</t>
  </si>
  <si>
    <t>Surfaces (SRE) selon affectation et type de monitorage</t>
  </si>
  <si>
    <t>Consommation par agents énergétiques</t>
  </si>
  <si>
    <t>Bâtiments loués - consommation par affectation  [kWh]</t>
  </si>
  <si>
    <t>Bâtiments monitorés (selon TENER) [kWh] - consommation par agent</t>
  </si>
  <si>
    <t>Tout bâtiment -  consommation par agent [kWh]</t>
  </si>
  <si>
    <t>Activité liée au facteur d'émission</t>
  </si>
  <si>
    <t>Unité [activité]</t>
  </si>
  <si>
    <t>Emissions directes</t>
  </si>
  <si>
    <t>Emissions indirectes</t>
  </si>
  <si>
    <t>Emissions totales</t>
  </si>
  <si>
    <t>Chauffage à mazout</t>
  </si>
  <si>
    <t>kWh - énergie finale</t>
  </si>
  <si>
    <t>Chauffage à gaz</t>
  </si>
  <si>
    <t>Chauffage à biogaz</t>
  </si>
  <si>
    <t>Chauffage à bois (bûches)</t>
  </si>
  <si>
    <t>Chauffage à bois (particules de bois)</t>
  </si>
  <si>
    <t>Chauffage à bois (pellets)</t>
  </si>
  <si>
    <t>Solaire thermique, bâtiment collectif</t>
  </si>
  <si>
    <t>kWh - Chaleur utile</t>
  </si>
  <si>
    <t>Solaire photovoltaïque</t>
  </si>
  <si>
    <t>Energie éolienne</t>
  </si>
  <si>
    <t xml:space="preserve">Electricité du réseau </t>
  </si>
  <si>
    <t>kWh</t>
  </si>
  <si>
    <t>Facteurs d'émission</t>
  </si>
  <si>
    <t xml:space="preserve">Tous les facteurs d'émissions sont en kg CO2-eq </t>
  </si>
  <si>
    <t>Bâtiment</t>
  </si>
  <si>
    <t>EMISSIONS TOTALES</t>
  </si>
  <si>
    <t>Transport</t>
  </si>
  <si>
    <t>Essence</t>
  </si>
  <si>
    <t>Diesel</t>
  </si>
  <si>
    <t>tonnes</t>
  </si>
  <si>
    <t>Chaleur du bâtiment - Emissions</t>
  </si>
  <si>
    <t>Chauffage urbain, SIL</t>
  </si>
  <si>
    <t>facteur d'émissions</t>
  </si>
  <si>
    <t>COP</t>
  </si>
  <si>
    <t>Coefficient de performance</t>
  </si>
  <si>
    <t>consommation</t>
  </si>
  <si>
    <t>MEV</t>
  </si>
  <si>
    <t>Burier</t>
  </si>
  <si>
    <t>Moyenne</t>
  </si>
  <si>
    <t>Electricité (directe et PAC)</t>
  </si>
  <si>
    <t>Pompe à chaleur (conso calorifique)</t>
  </si>
  <si>
    <t xml:space="preserve">Bois en plaquettes </t>
  </si>
  <si>
    <t>Scope 3  [tCo2eq]</t>
  </si>
  <si>
    <t xml:space="preserve">CAD SIL </t>
  </si>
  <si>
    <t>EMISSIONS scope 3</t>
  </si>
  <si>
    <t>Batiments non-monitorés - consommation par agent [kWh]</t>
  </si>
  <si>
    <t>Tout batiment - consommation par agents  - simplifié [kWh]</t>
  </si>
  <si>
    <t>Electricité -  calcul</t>
  </si>
  <si>
    <t>Consommation électrique</t>
  </si>
  <si>
    <t>Mix électrique</t>
  </si>
  <si>
    <t>Consommation monitorée [kWh]</t>
  </si>
  <si>
    <t xml:space="preserve">Consommation </t>
  </si>
  <si>
    <t>Consommation</t>
  </si>
  <si>
    <t>Consommation non- monitorée [kWh]</t>
  </si>
  <si>
    <t>Consommation Datacenter longemalle</t>
  </si>
  <si>
    <t>Consommation Datacenter BCV</t>
  </si>
  <si>
    <t>Consommation totale [kWh]</t>
  </si>
  <si>
    <t>Mix électrique [kWh]</t>
  </si>
  <si>
    <t>Electricité reseau</t>
  </si>
  <si>
    <t>Electricité - Emissions</t>
  </si>
  <si>
    <t>Electricité</t>
  </si>
  <si>
    <t xml:space="preserve">Production PV  - contracting </t>
  </si>
  <si>
    <t>Production PV  - en main propre</t>
  </si>
  <si>
    <t>inclus dans construction</t>
  </si>
  <si>
    <t>Mobilité professionnelle - Calcul</t>
  </si>
  <si>
    <t>consommation de carburant [litre]</t>
  </si>
  <si>
    <t xml:space="preserve">Essence </t>
  </si>
  <si>
    <t xml:space="preserve">Diesel </t>
  </si>
  <si>
    <t>Achat de véhicule</t>
  </si>
  <si>
    <t>kgCo2eq</t>
  </si>
  <si>
    <t>Nombre de véhicule acheté</t>
  </si>
  <si>
    <t>VHC_TOUR</t>
  </si>
  <si>
    <t>PT.UTIL.</t>
  </si>
  <si>
    <t>CAM/P-OUT</t>
  </si>
  <si>
    <t>GRUE</t>
  </si>
  <si>
    <t>CHAR. MOT.</t>
  </si>
  <si>
    <t>REM. TRSP.</t>
  </si>
  <si>
    <t>BATEAU</t>
  </si>
  <si>
    <t>REM.TRAV.</t>
  </si>
  <si>
    <t>GIRO-BROY.</t>
  </si>
  <si>
    <t>VHC. INTER</t>
  </si>
  <si>
    <t>MACH. AUTO</t>
  </si>
  <si>
    <t>FAUCH.</t>
  </si>
  <si>
    <t>DEBROUS.</t>
  </si>
  <si>
    <t>MOTO</t>
  </si>
  <si>
    <t>EPAR.</t>
  </si>
  <si>
    <t>TRONÇ.</t>
  </si>
  <si>
    <t>AUTRE</t>
  </si>
  <si>
    <t>ENG. CHT.</t>
  </si>
  <si>
    <t>LAME NEIGE</t>
  </si>
  <si>
    <t>HERSE</t>
  </si>
  <si>
    <t>SOUFFL.</t>
  </si>
  <si>
    <t>TAIL.-HAIE</t>
  </si>
  <si>
    <t>selon Statistique de mise en service</t>
  </si>
  <si>
    <t>Nombre</t>
  </si>
  <si>
    <t xml:space="preserve">Type de véhicule </t>
  </si>
  <si>
    <t>Emissions par  véhicule</t>
  </si>
  <si>
    <t>selon Ecoinvent 3-10 cutoff</t>
  </si>
  <si>
    <t>market for passenger car, diesel</t>
  </si>
  <si>
    <t>motor scooter production</t>
  </si>
  <si>
    <t>market for power saw, without catalytic converter</t>
  </si>
  <si>
    <t>market for lorry, 16 metric ton</t>
  </si>
  <si>
    <t>market for tractor, 4-wheel, agricultural</t>
  </si>
  <si>
    <t>agricultural trailer production</t>
  </si>
  <si>
    <t>Emissions de GES [tCo2-eq]</t>
  </si>
  <si>
    <t>Données 2019</t>
  </si>
  <si>
    <t>Break</t>
  </si>
  <si>
    <t>Fourgon</t>
  </si>
  <si>
    <t>Voitures</t>
  </si>
  <si>
    <t>Pelle chargeuse</t>
  </si>
  <si>
    <t>Camion</t>
  </si>
  <si>
    <t>Petites machines agricoles</t>
  </si>
  <si>
    <t>Alimentation - Calcul</t>
  </si>
  <si>
    <t>Nombre de repas</t>
  </si>
  <si>
    <t>Alimentation</t>
  </si>
  <si>
    <t>Repas végétarien</t>
  </si>
  <si>
    <t>Repas classique avec poulet</t>
  </si>
  <si>
    <t>Repas classique avec bœuf</t>
  </si>
  <si>
    <t>repas</t>
  </si>
  <si>
    <t>Alimentation - Emissions</t>
  </si>
  <si>
    <t>Restauration collective</t>
  </si>
  <si>
    <t>Activité</t>
  </si>
  <si>
    <t>Pédagogique</t>
  </si>
  <si>
    <t>Achat de véhicule - Calcul</t>
  </si>
  <si>
    <t>Administratif</t>
  </si>
  <si>
    <t>Données 2023 - DGMR</t>
  </si>
  <si>
    <t>Matériel informatique - Emissions</t>
  </si>
  <si>
    <t>Matériel informatique</t>
  </si>
  <si>
    <t>Obligatoire</t>
  </si>
  <si>
    <t>Sous-secteur</t>
  </si>
  <si>
    <t>Secteur</t>
  </si>
  <si>
    <t>voiture, utiltaire léger</t>
  </si>
  <si>
    <t>Autres types de chauffages</t>
  </si>
  <si>
    <t>Surface par type de suivi [m2]</t>
  </si>
  <si>
    <t>Exploitation des bâtiments</t>
  </si>
  <si>
    <t>Bilan carbone de l'ACV - 2023</t>
  </si>
  <si>
    <t>Déplacements professionnels</t>
  </si>
  <si>
    <t>Transport public</t>
  </si>
  <si>
    <t>Mobilité active</t>
  </si>
  <si>
    <t>Déplacements pendulaires</t>
  </si>
  <si>
    <t>Construction de bâtiment</t>
  </si>
  <si>
    <t>Construction de route</t>
  </si>
  <si>
    <t>Achat et construction</t>
  </si>
  <si>
    <t>Agriculture, bétail et pratiques agricoles</t>
  </si>
  <si>
    <t>Données permettant de calculer le mix énergétique des bâtiments non-monitorés</t>
  </si>
  <si>
    <t>DEF</t>
  </si>
  <si>
    <t>Equivalent temps plein de l'ACV - 2019</t>
  </si>
  <si>
    <t>Equivalent temps plein de l'ACV -2023</t>
  </si>
  <si>
    <t>Nombre d'éleves de l'école obligatoire en  2019</t>
  </si>
  <si>
    <t>Nombre d'éleves de l'école obligatoire en 2023</t>
  </si>
  <si>
    <t>Nombre d'éleves de l'école post obligatoire 2019</t>
  </si>
  <si>
    <t>Nombre d'éleves de l'école post obligatoire 2023</t>
  </si>
  <si>
    <t>Facteur d'évolution</t>
  </si>
  <si>
    <t>EPT</t>
  </si>
  <si>
    <t>Elève</t>
  </si>
  <si>
    <t>Elève post-obl.</t>
  </si>
  <si>
    <t>Stable</t>
  </si>
  <si>
    <t>RESULTAT</t>
  </si>
  <si>
    <t>Surface ACV : Somme de SRE par affectation [m²]</t>
  </si>
  <si>
    <t>Scope 1 [tCo2eq]</t>
  </si>
  <si>
    <t>Scope 2 [tCo2eq]</t>
  </si>
  <si>
    <t>poids Golf A4 [kg]</t>
  </si>
  <si>
    <t>poids VW T6 Truck</t>
  </si>
  <si>
    <t>market for light commercial vehicule (corrigé)</t>
  </si>
  <si>
    <t>EMISSIONS Scope 1</t>
  </si>
  <si>
    <t>Emissions Scope 2</t>
  </si>
  <si>
    <t>Scope 1  [tCo2eq]</t>
  </si>
  <si>
    <t>Consommation non-monitorée</t>
  </si>
  <si>
    <t>Transport individuel motorisé</t>
  </si>
  <si>
    <t>viande rouge</t>
  </si>
  <si>
    <t>Déchets</t>
  </si>
  <si>
    <t>Mobilité professionnelle avec véhicule privé ou transport public</t>
  </si>
  <si>
    <t>km</t>
  </si>
  <si>
    <t>distance en véhicule privé</t>
  </si>
  <si>
    <t>distance en Mobility</t>
  </si>
  <si>
    <t>Mobilidée</t>
  </si>
  <si>
    <t>distance en transport publics</t>
  </si>
  <si>
    <t>Mobilité professionnelle - Emissions</t>
  </si>
  <si>
    <t>Mobilité professionnelle</t>
  </si>
  <si>
    <t>Transports publics</t>
  </si>
  <si>
    <t>Véhicule de l'Etat - Essence</t>
  </si>
  <si>
    <t>Véhicule de l'Etat - Diesel</t>
  </si>
  <si>
    <t>Déchets de l'ACV - émissions</t>
  </si>
  <si>
    <t>eaux usées</t>
  </si>
  <si>
    <t>déchets solides</t>
  </si>
  <si>
    <t xml:space="preserve">déchets solides </t>
  </si>
  <si>
    <t>Déchets - calcul</t>
  </si>
  <si>
    <t>Equivalent-habitant par EPT</t>
  </si>
  <si>
    <t>Eaux usées</t>
  </si>
  <si>
    <t>Equivalent-habitant pour le canton</t>
  </si>
  <si>
    <t>Emissions par equivalent habitant [tCo2-eq]</t>
  </si>
  <si>
    <t>Déchets solides</t>
  </si>
  <si>
    <t>Nombre d'EPT - admin VD</t>
  </si>
  <si>
    <t>Nombre d'EPT - admin CH</t>
  </si>
  <si>
    <t>Emissions des déchets - admin CH [tCo2eq]</t>
  </si>
  <si>
    <t>Emissions des déchet par EPT [tCo2eq]</t>
  </si>
  <si>
    <t>Emissions des déchets - admin VD [tCo2eq]</t>
  </si>
  <si>
    <t>Emissions eau usées [tCo2eq]</t>
  </si>
  <si>
    <t>Emissions par EPT  [tCo2eq]</t>
  </si>
  <si>
    <t>Emission du Canton - eaux usées [tco2-eq]</t>
  </si>
  <si>
    <t>Emissions N2O- canton [tCo2-eq]</t>
  </si>
  <si>
    <t>Part N2O- canton [tCo2-eq]</t>
  </si>
  <si>
    <t>Déchets et eaux usées</t>
  </si>
  <si>
    <t>Electricité hors chauffage</t>
  </si>
  <si>
    <t>consommation de carburant [kWh]</t>
  </si>
  <si>
    <t>Pourvoir calorifique</t>
  </si>
  <si>
    <t>kWh/l</t>
  </si>
  <si>
    <t>Chaleur des bâtiments</t>
  </si>
  <si>
    <t>Déplacement pro</t>
  </si>
  <si>
    <t>Agriculture</t>
  </si>
  <si>
    <t>hors DAL</t>
  </si>
  <si>
    <t>Achat courant - calcul</t>
  </si>
  <si>
    <t>Achat hors DAL</t>
  </si>
  <si>
    <t>Service</t>
  </si>
  <si>
    <t>Montant</t>
  </si>
  <si>
    <t>Type</t>
  </si>
  <si>
    <t>Facteur d'émission [kgCo02/kCHF]</t>
  </si>
  <si>
    <t>Emission de GES [tCo2eq]</t>
  </si>
  <si>
    <t>Domaine pédagogique</t>
  </si>
  <si>
    <t>DGEO</t>
  </si>
  <si>
    <t>Printed matter and recorded media</t>
  </si>
  <si>
    <t>OUI</t>
  </si>
  <si>
    <t xml:space="preserve">DGEO </t>
  </si>
  <si>
    <t>Furniture/other manufactured good</t>
  </si>
  <si>
    <t>hypothèse : repas en restaurantion collective = 15CHF</t>
  </si>
  <si>
    <t>DGEP</t>
  </si>
  <si>
    <t>Divers (cf tableau excel)</t>
  </si>
  <si>
    <t>divers</t>
  </si>
  <si>
    <t>SPEN</t>
  </si>
  <si>
    <t>textile</t>
  </si>
  <si>
    <t>NON</t>
  </si>
  <si>
    <t>1700 pièces d'uniforme x 50 CHF</t>
  </si>
  <si>
    <t>DGMR</t>
  </si>
  <si>
    <t>2456 pièce x 50 CHF</t>
  </si>
  <si>
    <t>Musée</t>
  </si>
  <si>
    <t>DGE</t>
  </si>
  <si>
    <t>SSCM</t>
  </si>
  <si>
    <t>PolCant</t>
  </si>
  <si>
    <t>DAL</t>
  </si>
  <si>
    <t>Hors DAL</t>
  </si>
  <si>
    <t>total achat</t>
  </si>
  <si>
    <t>Achat courant 2023</t>
  </si>
  <si>
    <t>total achat 2019</t>
  </si>
  <si>
    <t>Domaine pédagogique [tco2eq]</t>
  </si>
  <si>
    <t>Domaine administratif [tco2eq ]</t>
  </si>
  <si>
    <t>Pratiques agricoles -kt N2O</t>
  </si>
  <si>
    <t>Gestion des effluents (N2O indirect)</t>
  </si>
  <si>
    <t>Pratiques agicoles et fertilisant minéraux (N2O)</t>
  </si>
  <si>
    <t>Emissions N2O - ACV</t>
  </si>
  <si>
    <t>Mobilité pendulaire - Calcul</t>
  </si>
  <si>
    <t xml:space="preserve">Véhicules de l'Etat </t>
  </si>
  <si>
    <t>A pied</t>
  </si>
  <si>
    <t xml:space="preserve">Nombre de jours </t>
  </si>
  <si>
    <t>part de télétravail</t>
  </si>
  <si>
    <t>Part de télétravail</t>
  </si>
  <si>
    <t>distance domicile travail</t>
  </si>
  <si>
    <t>Distance domicile travail</t>
  </si>
  <si>
    <t>BC 2019</t>
  </si>
  <si>
    <t>Nombre de jour</t>
  </si>
  <si>
    <t>Mobilité pendulaire - Emissions</t>
  </si>
  <si>
    <t>Pers.km</t>
  </si>
  <si>
    <t>Moto - Thermique</t>
  </si>
  <si>
    <t>Train - Moyenne</t>
  </si>
  <si>
    <t>Train - Trafic régional</t>
  </si>
  <si>
    <t>Train - Trafic longue distance</t>
  </si>
  <si>
    <t>Bus thermique</t>
  </si>
  <si>
    <t>Trolleybus</t>
  </si>
  <si>
    <t>Tram/métro</t>
  </si>
  <si>
    <t>Vélo Musculaire</t>
  </si>
  <si>
    <t>Marche</t>
  </si>
  <si>
    <t>Matériel informatique - Calcul</t>
  </si>
  <si>
    <t>Calcul domaine pédagogique</t>
  </si>
  <si>
    <t>Domaine administratif - autres objets</t>
  </si>
  <si>
    <t xml:space="preserve">Durée de vie </t>
  </si>
  <si>
    <t>ans</t>
  </si>
  <si>
    <t>Type d'objet</t>
  </si>
  <si>
    <t>FE [kgCo2/obj]</t>
  </si>
  <si>
    <t>Tablettes</t>
  </si>
  <si>
    <t>Imprimantes multi-fonction</t>
  </si>
  <si>
    <t>TV</t>
  </si>
  <si>
    <t>Impact [tCO2-eq./an]</t>
  </si>
  <si>
    <t>Entité</t>
  </si>
  <si>
    <t>Sous-catégorie bilan CO2</t>
  </si>
  <si>
    <t>Quantité 2020</t>
  </si>
  <si>
    <t>Quantité 2024</t>
  </si>
  <si>
    <t>Facteur d'émissions, kg CO2 eq.</t>
  </si>
  <si>
    <t>Durée de vie, an</t>
  </si>
  <si>
    <t>Baie de stockage</t>
  </si>
  <si>
    <t>Serveur</t>
  </si>
  <si>
    <t>Firewall</t>
  </si>
  <si>
    <t>Tablette</t>
  </si>
  <si>
    <t>Ordinateur portable</t>
  </si>
  <si>
    <t>Ordinateur all-in-one</t>
  </si>
  <si>
    <t>Apple TV</t>
  </si>
  <si>
    <t>Robot programmable</t>
  </si>
  <si>
    <t>Projecteur</t>
  </si>
  <si>
    <t>Ecran interactif</t>
  </si>
  <si>
    <t>Unité de rechargement de tablettes</t>
  </si>
  <si>
    <t>Ordinateur tour</t>
  </si>
  <si>
    <t>Ecran d'ordinateur</t>
  </si>
  <si>
    <t>Imprimante simple</t>
  </si>
  <si>
    <t>Imprimante multifonction</t>
  </si>
  <si>
    <t>Point d'accès Wi-Fi</t>
  </si>
  <si>
    <t>Switch</t>
  </si>
  <si>
    <t>Pas inclus</t>
  </si>
  <si>
    <t>Postobligatoire</t>
  </si>
  <si>
    <t>2024, t CO2 eq.</t>
  </si>
  <si>
    <t>X</t>
  </si>
  <si>
    <t>Train</t>
  </si>
  <si>
    <t>Remplissage - motif travail</t>
  </si>
  <si>
    <t>véhicule.km</t>
  </si>
  <si>
    <t>Nombre de jour de travail</t>
  </si>
  <si>
    <t>Adminstration</t>
  </si>
  <si>
    <t>Part</t>
  </si>
  <si>
    <t>Maladie</t>
  </si>
  <si>
    <t>Construction - Calcul</t>
  </si>
  <si>
    <t>Construction d'infrastructure</t>
  </si>
  <si>
    <t>Voir EXCEL DGMR -&gt; DGMR-IR_chantier_2019+2023_pce.xlsx</t>
  </si>
  <si>
    <t>Emission de GES - chantier avec appel d'offre</t>
  </si>
  <si>
    <t>Autres chantiers</t>
  </si>
  <si>
    <t>Prestations sur tronçons corrigés</t>
  </si>
  <si>
    <t>Travaux</t>
  </si>
  <si>
    <t>Conseils</t>
  </si>
  <si>
    <t>non défini</t>
  </si>
  <si>
    <t>renat</t>
  </si>
  <si>
    <t>Prot_crue</t>
  </si>
  <si>
    <t>ECF troncon corrigé intercantonal (renat)</t>
  </si>
  <si>
    <t>Hypothèse : la moitié concerne le canton de Vaud</t>
  </si>
  <si>
    <t>ECF troncon corrigé (prot-crue)</t>
  </si>
  <si>
    <t>Travaux gérés par un secteur sur tronçon corrigé</t>
  </si>
  <si>
    <t>Dépense selon DGE [CHF]</t>
  </si>
  <si>
    <t>Construction - Emissions</t>
  </si>
  <si>
    <t>Calcul Agriculture - ACV</t>
  </si>
  <si>
    <t>CHF</t>
  </si>
  <si>
    <t>Calculé en TCO2eq</t>
  </si>
  <si>
    <t>Mios. CHF</t>
  </si>
  <si>
    <t>Mios CHF</t>
  </si>
  <si>
    <t>Construction de routes</t>
  </si>
  <si>
    <t>Hospices cantonaux</t>
  </si>
  <si>
    <t>ACV pour 2019, par exploitation, divers gaz</t>
  </si>
  <si>
    <t>Type de repas</t>
  </si>
  <si>
    <t>végétarien</t>
  </si>
  <si>
    <t>BAP</t>
  </si>
  <si>
    <t>Gymnase</t>
  </si>
  <si>
    <t>viande blanche ou poisson</t>
  </si>
  <si>
    <t>repas total</t>
  </si>
  <si>
    <t>Valeur ACV</t>
  </si>
  <si>
    <t>repas ACV</t>
  </si>
  <si>
    <t>Nombre de repas par type</t>
  </si>
  <si>
    <t>Dépenses [CHF]</t>
  </si>
  <si>
    <t>DGIP - 250326_emissions_construction.xlsx</t>
  </si>
  <si>
    <t>Emissions [TCO2eq]</t>
  </si>
  <si>
    <t>Emissions tirées des écobilans</t>
  </si>
  <si>
    <t>Investissement sans écobilans</t>
  </si>
  <si>
    <t>Budget d'entretien</t>
  </si>
  <si>
    <t>Dépenses</t>
  </si>
  <si>
    <t>Construction</t>
  </si>
  <si>
    <t>construction</t>
  </si>
  <si>
    <t>Consutrction d'infrastructure - Renaturation et  protection contre les crues</t>
  </si>
  <si>
    <t xml:space="preserve">Consommation spécifique par affectation selon TENER  [kwh/m2] - électricité </t>
  </si>
  <si>
    <t>Production PV [kWh]</t>
  </si>
  <si>
    <t xml:space="preserve">Auto-conso PV  - contracting </t>
  </si>
  <si>
    <t>Auto-conso  PV  - en main propre</t>
  </si>
  <si>
    <t>Part d'auto-consommation</t>
  </si>
  <si>
    <t>Mix énergétique moyen du canton</t>
  </si>
  <si>
    <t>Gaz</t>
  </si>
  <si>
    <t xml:space="preserve">Electricité </t>
  </si>
  <si>
    <t>Bois</t>
  </si>
  <si>
    <t>Chauffage à distance</t>
  </si>
  <si>
    <t>Consommation canton- mix simplifié  [MWh] - tiré du bilan du territoire</t>
  </si>
  <si>
    <t>2020, tCo2eq</t>
  </si>
  <si>
    <t>selon résultat du code Python analyse_achat_all_v1.py</t>
  </si>
  <si>
    <t>Valeur 2019</t>
  </si>
  <si>
    <t>Adminstratif</t>
  </si>
  <si>
    <t>pédagogique</t>
  </si>
  <si>
    <t>Somme</t>
  </si>
  <si>
    <t>6001_01</t>
  </si>
  <si>
    <t>Ind. kilométrique véhic. privé</t>
  </si>
  <si>
    <t>6001_02</t>
  </si>
  <si>
    <t>Ind. km véhic. privé formation</t>
  </si>
  <si>
    <t>6001_04</t>
  </si>
  <si>
    <t>Ind. kilométrique deux roues</t>
  </si>
  <si>
    <t>6050_01</t>
  </si>
  <si>
    <t>Frais voiture - forfait</t>
  </si>
  <si>
    <t>6050_02</t>
  </si>
  <si>
    <t>Indemnité fixe véhicule privé</t>
  </si>
  <si>
    <t>Remboursement TIM [CHF]</t>
  </si>
  <si>
    <t>Distance TIM [km]</t>
  </si>
  <si>
    <t>Remboursement par km [CHF]</t>
  </si>
  <si>
    <t>Mobility [km]</t>
  </si>
  <si>
    <t>mobilidée</t>
  </si>
  <si>
    <t>Frais déplacements formation</t>
  </si>
  <si>
    <t>Ind. Transport public</t>
  </si>
  <si>
    <t>Rbt frais déplacement prof</t>
  </si>
  <si>
    <t>ATTENTION TRES INCERTAIN !</t>
  </si>
  <si>
    <t>Remboursement Transport public et parking [CHF]</t>
  </si>
  <si>
    <t>part parking</t>
  </si>
  <si>
    <t>au hasard!</t>
  </si>
  <si>
    <t>cout par km</t>
  </si>
  <si>
    <t>CHF/km</t>
  </si>
  <si>
    <t>Remboursement Transport public sans parking [CHF]</t>
  </si>
  <si>
    <t>distance en TP [km]</t>
  </si>
  <si>
    <t>Véhicules privés et loués</t>
  </si>
  <si>
    <t>Scope 2 [tCO2eq]</t>
  </si>
  <si>
    <t>Scope 3  [tCO2eq]</t>
  </si>
  <si>
    <t>Emissions Totales  [tCO2eq]</t>
  </si>
  <si>
    <t>Scope 1 [tCO2eq]</t>
  </si>
  <si>
    <t>Véhicules de l'Etat</t>
  </si>
  <si>
    <t>SCOPE 1+2</t>
  </si>
  <si>
    <t>Données du Relevé structurel</t>
  </si>
  <si>
    <t>Trottinette, skateboard, patins à roulettes, etc.</t>
  </si>
  <si>
    <t>Vélo, vélo électrique</t>
  </si>
  <si>
    <t>Vélomoteur, moto, scooter</t>
  </si>
  <si>
    <t>Voiture (comme conducteur/trice ou passager/ère)</t>
  </si>
  <si>
    <t>Car de l'entreprise</t>
  </si>
  <si>
    <t>Tram, métro</t>
  </si>
  <si>
    <t>Trolleybus, autobus, car postal, autocar</t>
  </si>
  <si>
    <t>Autres (p.ex. bateau, téléphérique)</t>
  </si>
  <si>
    <t>Part modale RS</t>
  </si>
  <si>
    <t>Distance totale ACV [km]</t>
  </si>
  <si>
    <t>Distance par trajet  [p.km]</t>
  </si>
  <si>
    <t>Distance par trajet [p.km]</t>
  </si>
  <si>
    <t>Distance par trajet [vh.km]</t>
  </si>
  <si>
    <t>rapport vol d'oiseau distance réel</t>
  </si>
  <si>
    <t>Divers paramètres - 2023</t>
  </si>
  <si>
    <t>Divers paramètres - 2019</t>
  </si>
  <si>
    <t>Efficacité des voitures en 2019 par rapport à 2023</t>
  </si>
  <si>
    <t>Nb de trajet par EPT</t>
  </si>
  <si>
    <t>Voiture et motos</t>
  </si>
  <si>
    <t>km (pers)</t>
  </si>
  <si>
    <t>Scope 3 [tCO2eq]</t>
  </si>
  <si>
    <t>Emissions totales  [tCO2eq]</t>
  </si>
  <si>
    <t>Surfaces non-renseignées dans Planon</t>
  </si>
  <si>
    <t>Surface monitorée selon Tener</t>
  </si>
  <si>
    <t>surface non-monitorée selon Planon</t>
  </si>
  <si>
    <t>Chuaffage urbain, PAC</t>
  </si>
  <si>
    <t xml:space="preserve">TOTAL </t>
  </si>
  <si>
    <t>TOTAL BATIMENT LOUE</t>
  </si>
  <si>
    <t>Bâtiments non-monitorés - consommation par affectation  [kWh]</t>
  </si>
  <si>
    <t>Bâtiment non-monitoré hors bâtiment loué</t>
  </si>
  <si>
    <t>Pourcentage
[%]</t>
  </si>
  <si>
    <t>Scope 1</t>
  </si>
  <si>
    <t>Scope 2</t>
  </si>
  <si>
    <t>Scope 3</t>
  </si>
  <si>
    <t>(déjà inclus dans chiffre Mobilidée)</t>
  </si>
  <si>
    <t>Administration</t>
  </si>
  <si>
    <t>Congés payé</t>
  </si>
  <si>
    <t>Ferié fixe + jour CE</t>
  </si>
  <si>
    <t>Ferié variables</t>
  </si>
  <si>
    <t xml:space="preserve">Jours travailllés </t>
  </si>
  <si>
    <t>EPT 100%</t>
  </si>
  <si>
    <t>Domaine administratif - serveur</t>
  </si>
  <si>
    <t>Quantité</t>
  </si>
  <si>
    <t>Serveurs Blade</t>
  </si>
  <si>
    <t>Stockage</t>
  </si>
  <si>
    <t>Bornes WiFi</t>
  </si>
  <si>
    <t>Routeur</t>
  </si>
  <si>
    <t xml:space="preserve">Chaudières à énergie fossile
</t>
  </si>
  <si>
    <t>Construction de bâtiments</t>
  </si>
  <si>
    <t>Construction d'infrastructures</t>
  </si>
  <si>
    <t>Analyse Market based</t>
  </si>
  <si>
    <t>Estimation carburant</t>
  </si>
  <si>
    <t>Ratio</t>
  </si>
  <si>
    <t>SAU canton de Vaud [ha]</t>
  </si>
  <si>
    <t>SAU Etat de Vaud [are]</t>
  </si>
  <si>
    <t>SAU Etat de Vaud [ha]</t>
  </si>
  <si>
    <t>Emissions VD véhicules agricoles [tCO2eq]</t>
  </si>
  <si>
    <t>Emissions Véhicule agricoles</t>
  </si>
  <si>
    <t>Véhicule agricoles</t>
  </si>
  <si>
    <t>tête</t>
  </si>
  <si>
    <t>unité</t>
  </si>
  <si>
    <t>t^ête</t>
  </si>
  <si>
    <t>MRMT</t>
  </si>
  <si>
    <t>consommation inclus les pleins hors contrat ACV  [litre]</t>
  </si>
  <si>
    <t xml:space="preserve">KBOB </t>
  </si>
  <si>
    <t>Mandat</t>
  </si>
  <si>
    <t>Volume financier</t>
  </si>
  <si>
    <t>Alimentation et achat</t>
  </si>
  <si>
    <t>Expertises et mandats</t>
  </si>
  <si>
    <t>Mandat et expertise externe</t>
  </si>
  <si>
    <t>Voiture - Moyenne de la flotte 2019</t>
  </si>
  <si>
    <t>Voiture - Moyenne de la flotte 2023</t>
  </si>
  <si>
    <t>voiture de l'entreprise</t>
  </si>
  <si>
    <t>Fertilisants minéraux et pratiques agricoles</t>
  </si>
  <si>
    <t>par utilisateur</t>
  </si>
  <si>
    <t>Calcul selon Résilio par année</t>
  </si>
  <si>
    <t>Cheptel - Vaches laitières</t>
  </si>
  <si>
    <t>Repas EPO</t>
  </si>
  <si>
    <t>Valeur EPO</t>
  </si>
  <si>
    <t>Domaine adminstratif  - utilisateurs</t>
  </si>
  <si>
    <t>Avec certificats, estimation rapide</t>
  </si>
  <si>
    <t>EPO sans autoconsommation</t>
  </si>
  <si>
    <t>Sans autoconsommation</t>
  </si>
  <si>
    <t>repas EPO</t>
  </si>
  <si>
    <t>Emissions  sans autoconsommation</t>
  </si>
  <si>
    <t>Part des émissions déjà comptabilisées dans le secteur agriculture</t>
  </si>
  <si>
    <t>Protoxyde d'azote</t>
  </si>
  <si>
    <t>Evolution ACV</t>
  </si>
  <si>
    <t>Total [tCO2eq]</t>
  </si>
  <si>
    <t>Evolution</t>
  </si>
  <si>
    <t>Scope 1+2</t>
  </si>
  <si>
    <t>Bâtiment non-recensé par planon</t>
  </si>
  <si>
    <t>Scope 1+2+3</t>
  </si>
  <si>
    <t>Sans electricité</t>
  </si>
  <si>
    <t>Avec électricité</t>
  </si>
  <si>
    <t>EVOLUTION</t>
  </si>
  <si>
    <t>N/A</t>
  </si>
  <si>
    <t>-1% pour faire 100% sans arrondi (scope 3)</t>
  </si>
  <si>
    <t>Achats courants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</si>
</sst>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0000"/>
    <numFmt numFmtId="165" formatCode="_ * #,##0.0_)_ ;_ * \(#,##0.0\)_ ;_ * &quot;-&quot;??_)_ ;_ @_ "/>
    <numFmt numFmtId="166" formatCode="0.0"/>
    <numFmt numFmtId="167" formatCode="0.000"/>
    <numFmt numFmtId="168" formatCode="_ * #,##0_)_ ;_ * \(#,##0\)_ ;_ * &quot;-&quot;??_)_ ;_ @_ "/>
    <numFmt numFmtId="169" formatCode="_ * #,##0_)\ &quot;CHF&quot;_ ;_ * \(#,##0\)\ &quot;CHF&quot;_ ;_ * &quot;-&quot;??_)\ &quot;CHF&quot;_ ;_ @_ "/>
    <numFmt numFmtId="170" formatCode="#,##0.0"/>
    <numFmt numFmtId="171" formatCode="0.0%"/>
    <numFmt numFmtId="172" formatCode="#,##0.000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24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6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double">
        <color theme="9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double">
        <color theme="9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double">
        <color theme="9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/>
      <bottom style="medium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medium">
        <color theme="2" tint="-0.249977111117893"/>
      </top>
      <bottom style="double">
        <color theme="9"/>
      </bottom>
      <diagonal/>
    </border>
    <border>
      <left style="thin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indexed="64"/>
      </right>
      <top/>
      <bottom style="medium">
        <color theme="2" tint="-0.249977111117893"/>
      </bottom>
      <diagonal/>
    </border>
    <border>
      <left style="thin">
        <color indexed="64"/>
      </left>
      <right/>
      <top style="medium">
        <color theme="2" tint="-0.249977111117893"/>
      </top>
      <bottom style="double">
        <color theme="9"/>
      </bottom>
      <diagonal/>
    </border>
    <border>
      <left style="thin">
        <color theme="2" tint="-0.249977111117893"/>
      </left>
      <right style="thin">
        <color indexed="64"/>
      </right>
      <top style="medium">
        <color theme="2" tint="-0.249977111117893"/>
      </top>
      <bottom style="double">
        <color theme="9"/>
      </bottom>
      <diagonal/>
    </border>
    <border>
      <left style="thin">
        <color indexed="64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/>
      <right/>
      <top style="medium">
        <color theme="2" tint="-0.249977111117893"/>
      </top>
      <bottom style="double">
        <color theme="9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91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1" fillId="0" borderId="0" xfId="0" applyFont="1"/>
    <xf numFmtId="0" fontId="0" fillId="5" borderId="0" xfId="0" applyFill="1"/>
    <xf numFmtId="0" fontId="1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left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0" borderId="12" xfId="0" applyBorder="1"/>
    <xf numFmtId="0" fontId="0" fillId="0" borderId="2" xfId="0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7" borderId="3" xfId="0" applyFill="1" applyBorder="1"/>
    <xf numFmtId="0" fontId="0" fillId="7" borderId="1" xfId="0" applyFill="1" applyBorder="1"/>
    <xf numFmtId="0" fontId="0" fillId="7" borderId="5" xfId="0" applyFill="1" applyBorder="1"/>
    <xf numFmtId="0" fontId="0" fillId="7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4" xfId="0" applyFill="1" applyBorder="1"/>
    <xf numFmtId="0" fontId="0" fillId="0" borderId="0" xfId="0" applyBorder="1"/>
    <xf numFmtId="0" fontId="0" fillId="0" borderId="0" xfId="0" applyFill="1"/>
    <xf numFmtId="0" fontId="7" fillId="5" borderId="0" xfId="0" applyFont="1" applyFill="1"/>
    <xf numFmtId="0" fontId="8" fillId="3" borderId="0" xfId="0" applyFont="1" applyFill="1"/>
    <xf numFmtId="1" fontId="7" fillId="5" borderId="0" xfId="0" applyNumberFormat="1" applyFont="1" applyFill="1"/>
    <xf numFmtId="0" fontId="9" fillId="3" borderId="0" xfId="0" applyFont="1" applyFill="1"/>
    <xf numFmtId="164" fontId="0" fillId="0" borderId="0" xfId="0" applyNumberFormat="1"/>
    <xf numFmtId="2" fontId="0" fillId="0" borderId="0" xfId="0" applyNumberFormat="1"/>
    <xf numFmtId="0" fontId="6" fillId="0" borderId="0" xfId="0" applyFont="1" applyAlignment="1"/>
    <xf numFmtId="0" fontId="5" fillId="5" borderId="0" xfId="0" applyFont="1" applyFill="1"/>
    <xf numFmtId="1" fontId="0" fillId="0" borderId="0" xfId="0" applyNumberFormat="1"/>
    <xf numFmtId="11" fontId="0" fillId="0" borderId="0" xfId="0" applyNumberFormat="1"/>
    <xf numFmtId="0" fontId="10" fillId="8" borderId="0" xfId="0" applyFont="1" applyFill="1"/>
    <xf numFmtId="0" fontId="0" fillId="8" borderId="0" xfId="0" applyFill="1"/>
    <xf numFmtId="0" fontId="5" fillId="9" borderId="12" xfId="0" applyFont="1" applyFill="1" applyBorder="1"/>
    <xf numFmtId="0" fontId="5" fillId="9" borderId="0" xfId="0" applyFont="1" applyFill="1"/>
    <xf numFmtId="0" fontId="5" fillId="9" borderId="2" xfId="0" applyFont="1" applyFill="1" applyBorder="1" applyAlignment="1">
      <alignment horizontal="center"/>
    </xf>
    <xf numFmtId="0" fontId="0" fillId="0" borderId="2" xfId="0" applyBorder="1"/>
    <xf numFmtId="0" fontId="0" fillId="0" borderId="17" xfId="0" applyBorder="1"/>
    <xf numFmtId="0" fontId="0" fillId="0" borderId="19" xfId="0" applyBorder="1"/>
    <xf numFmtId="1" fontId="0" fillId="0" borderId="12" xfId="0" applyNumberFormat="1" applyBorder="1"/>
    <xf numFmtId="1" fontId="1" fillId="0" borderId="13" xfId="0" applyNumberFormat="1" applyFont="1" applyBorder="1"/>
    <xf numFmtId="0" fontId="1" fillId="0" borderId="13" xfId="0" applyFont="1" applyBorder="1"/>
    <xf numFmtId="0" fontId="1" fillId="0" borderId="0" xfId="0" applyFont="1" applyBorder="1"/>
    <xf numFmtId="1" fontId="0" fillId="0" borderId="0" xfId="0" applyNumberFormat="1" applyBorder="1"/>
    <xf numFmtId="1" fontId="0" fillId="0" borderId="14" xfId="0" applyNumberFormat="1" applyBorder="1"/>
    <xf numFmtId="1" fontId="0" fillId="0" borderId="16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" fontId="1" fillId="0" borderId="19" xfId="0" applyNumberFormat="1" applyFont="1" applyBorder="1"/>
    <xf numFmtId="1" fontId="1" fillId="0" borderId="0" xfId="0" applyNumberFormat="1" applyFont="1" applyBorder="1"/>
    <xf numFmtId="1" fontId="1" fillId="0" borderId="16" xfId="0" applyNumberFormat="1" applyFont="1" applyBorder="1"/>
    <xf numFmtId="1" fontId="0" fillId="0" borderId="12" xfId="0" applyNumberFormat="1" applyFill="1" applyBorder="1"/>
    <xf numFmtId="3" fontId="0" fillId="7" borderId="3" xfId="0" applyNumberFormat="1" applyFill="1" applyBorder="1"/>
    <xf numFmtId="3" fontId="0" fillId="7" borderId="4" xfId="0" applyNumberFormat="1" applyFill="1" applyBorder="1"/>
    <xf numFmtId="3" fontId="1" fillId="7" borderId="5" xfId="0" applyNumberFormat="1" applyFont="1" applyFill="1" applyBorder="1"/>
    <xf numFmtId="3" fontId="0" fillId="7" borderId="5" xfId="0" applyNumberFormat="1" applyFill="1" applyBorder="1"/>
    <xf numFmtId="3" fontId="1" fillId="7" borderId="4" xfId="0" applyNumberFormat="1" applyFont="1" applyFill="1" applyBorder="1"/>
    <xf numFmtId="2" fontId="5" fillId="5" borderId="0" xfId="0" applyNumberFormat="1" applyFont="1" applyFill="1"/>
    <xf numFmtId="0" fontId="0" fillId="11" borderId="0" xfId="0" applyFill="1"/>
    <xf numFmtId="0" fontId="13" fillId="11" borderId="0" xfId="0" applyFont="1" applyFill="1" applyAlignment="1">
      <alignment horizontal="left"/>
    </xf>
    <xf numFmtId="0" fontId="6" fillId="12" borderId="0" xfId="0" applyFont="1" applyFill="1" applyAlignment="1">
      <alignment horizontal="center" vertical="center" wrapText="1"/>
    </xf>
    <xf numFmtId="0" fontId="0" fillId="12" borderId="0" xfId="0" applyFill="1"/>
    <xf numFmtId="165" fontId="0" fillId="0" borderId="0" xfId="1" applyNumberFormat="1" applyFont="1"/>
    <xf numFmtId="0" fontId="6" fillId="12" borderId="0" xfId="0" applyFont="1" applyFill="1"/>
    <xf numFmtId="165" fontId="6" fillId="12" borderId="0" xfId="1" applyNumberFormat="1" applyFont="1" applyFill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2" applyFont="1"/>
    <xf numFmtId="9" fontId="7" fillId="5" borderId="0" xfId="2" applyFont="1" applyFill="1"/>
    <xf numFmtId="166" fontId="0" fillId="7" borderId="4" xfId="0" applyNumberFormat="1" applyFill="1" applyBorder="1"/>
    <xf numFmtId="166" fontId="5" fillId="5" borderId="0" xfId="0" applyNumberFormat="1" applyFont="1" applyFill="1"/>
    <xf numFmtId="167" fontId="0" fillId="0" borderId="0" xfId="0" applyNumberFormat="1"/>
    <xf numFmtId="1" fontId="1" fillId="7" borderId="4" xfId="0" applyNumberFormat="1" applyFont="1" applyFill="1" applyBorder="1"/>
    <xf numFmtId="3" fontId="0" fillId="0" borderId="0" xfId="0" applyNumberFormat="1"/>
    <xf numFmtId="9" fontId="14" fillId="0" borderId="0" xfId="2" applyFont="1"/>
    <xf numFmtId="2" fontId="8" fillId="3" borderId="0" xfId="0" applyNumberFormat="1" applyFont="1" applyFill="1"/>
    <xf numFmtId="2" fontId="7" fillId="5" borderId="0" xfId="0" applyNumberFormat="1" applyFont="1" applyFill="1"/>
    <xf numFmtId="2" fontId="9" fillId="3" borderId="0" xfId="0" applyNumberFormat="1" applyFont="1" applyFill="1"/>
    <xf numFmtId="167" fontId="8" fillId="3" borderId="0" xfId="0" applyNumberFormat="1" applyFont="1" applyFill="1"/>
    <xf numFmtId="167" fontId="7" fillId="5" borderId="0" xfId="0" applyNumberFormat="1" applyFont="1" applyFill="1"/>
    <xf numFmtId="167" fontId="5" fillId="5" borderId="0" xfId="0" applyNumberFormat="1" applyFont="1" applyFill="1"/>
    <xf numFmtId="167" fontId="9" fillId="3" borderId="0" xfId="0" applyNumberFormat="1" applyFont="1" applyFill="1"/>
    <xf numFmtId="2" fontId="0" fillId="3" borderId="0" xfId="0" applyNumberFormat="1" applyFill="1"/>
    <xf numFmtId="0" fontId="15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1" fontId="18" fillId="0" borderId="0" xfId="0" applyNumberFormat="1" applyFont="1"/>
    <xf numFmtId="0" fontId="2" fillId="13" borderId="0" xfId="0" applyFont="1" applyFill="1"/>
    <xf numFmtId="0" fontId="0" fillId="13" borderId="0" xfId="0" applyFill="1"/>
    <xf numFmtId="0" fontId="0" fillId="14" borderId="1" xfId="0" applyFill="1" applyBorder="1"/>
    <xf numFmtId="0" fontId="0" fillId="13" borderId="0" xfId="0" applyFill="1" applyBorder="1"/>
    <xf numFmtId="0" fontId="0" fillId="14" borderId="0" xfId="0" applyFill="1" applyBorder="1"/>
    <xf numFmtId="0" fontId="0" fillId="14" borderId="16" xfId="0" applyFill="1" applyBorder="1"/>
    <xf numFmtId="0" fontId="19" fillId="0" borderId="0" xfId="0" applyFont="1" applyBorder="1"/>
    <xf numFmtId="0" fontId="19" fillId="0" borderId="0" xfId="0" applyFont="1"/>
    <xf numFmtId="1" fontId="19" fillId="0" borderId="0" xfId="0" applyNumberFormat="1" applyFont="1"/>
    <xf numFmtId="0" fontId="19" fillId="0" borderId="16" xfId="0" applyFont="1" applyBorder="1"/>
    <xf numFmtId="1" fontId="19" fillId="0" borderId="16" xfId="0" applyNumberFormat="1" applyFont="1" applyBorder="1"/>
    <xf numFmtId="3" fontId="0" fillId="0" borderId="0" xfId="0" applyNumberFormat="1" applyFill="1" applyBorder="1"/>
    <xf numFmtId="3" fontId="0" fillId="0" borderId="16" xfId="0" applyNumberFormat="1" applyFill="1" applyBorder="1"/>
    <xf numFmtId="0" fontId="0" fillId="14" borderId="0" xfId="0" applyFill="1"/>
    <xf numFmtId="166" fontId="0" fillId="0" borderId="0" xfId="0" applyNumberFormat="1"/>
    <xf numFmtId="0" fontId="0" fillId="15" borderId="0" xfId="0" applyFill="1"/>
    <xf numFmtId="0" fontId="0" fillId="14" borderId="0" xfId="0" applyFont="1" applyFill="1" applyBorder="1"/>
    <xf numFmtId="3" fontId="0" fillId="0" borderId="0" xfId="0" applyNumberFormat="1" applyFont="1" applyFill="1" applyBorder="1"/>
    <xf numFmtId="3" fontId="0" fillId="0" borderId="16" xfId="0" applyNumberFormat="1" applyBorder="1"/>
    <xf numFmtId="3" fontId="0" fillId="0" borderId="0" xfId="0" applyNumberFormat="1" applyBorder="1"/>
    <xf numFmtId="0" fontId="3" fillId="0" borderId="0" xfId="0" applyFont="1" applyFill="1"/>
    <xf numFmtId="0" fontId="1" fillId="14" borderId="0" xfId="0" applyFont="1" applyFill="1" applyAlignment="1">
      <alignment horizontal="center"/>
    </xf>
    <xf numFmtId="1" fontId="19" fillId="0" borderId="0" xfId="0" applyNumberFormat="1" applyFont="1" applyBorder="1"/>
    <xf numFmtId="0" fontId="0" fillId="14" borderId="0" xfId="0" applyFill="1" applyAlignment="1">
      <alignment horizontal="left"/>
    </xf>
    <xf numFmtId="0" fontId="1" fillId="14" borderId="0" xfId="0" applyFont="1" applyFill="1" applyAlignment="1">
      <alignment horizontal="left"/>
    </xf>
    <xf numFmtId="0" fontId="1" fillId="14" borderId="0" xfId="0" applyFont="1" applyFill="1"/>
    <xf numFmtId="0" fontId="0" fillId="13" borderId="0" xfId="0" applyFont="1" applyFill="1" applyBorder="1"/>
    <xf numFmtId="9" fontId="22" fillId="0" borderId="0" xfId="0" applyNumberFormat="1" applyFont="1"/>
    <xf numFmtId="0" fontId="0" fillId="6" borderId="20" xfId="0" applyFill="1" applyBorder="1"/>
    <xf numFmtId="0" fontId="0" fillId="6" borderId="21" xfId="0" applyFill="1" applyBorder="1"/>
    <xf numFmtId="0" fontId="1" fillId="6" borderId="21" xfId="0" applyFont="1" applyFill="1" applyBorder="1"/>
    <xf numFmtId="0" fontId="0" fillId="6" borderId="22" xfId="0" applyFill="1" applyBorder="1"/>
    <xf numFmtId="2" fontId="0" fillId="0" borderId="23" xfId="0" applyNumberFormat="1" applyBorder="1"/>
    <xf numFmtId="2" fontId="0" fillId="0" borderId="24" xfId="0" applyNumberFormat="1" applyBorder="1"/>
    <xf numFmtId="167" fontId="0" fillId="0" borderId="24" xfId="0" applyNumberFormat="1" applyBorder="1"/>
    <xf numFmtId="167" fontId="1" fillId="0" borderId="24" xfId="0" applyNumberFormat="1" applyFont="1" applyBorder="1"/>
    <xf numFmtId="167" fontId="0" fillId="0" borderId="25" xfId="0" applyNumberFormat="1" applyBorder="1"/>
    <xf numFmtId="2" fontId="0" fillId="0" borderId="26" xfId="0" applyNumberFormat="1" applyBorder="1"/>
    <xf numFmtId="167" fontId="1" fillId="0" borderId="27" xfId="0" applyNumberFormat="1" applyFont="1" applyBorder="1"/>
    <xf numFmtId="167" fontId="1" fillId="0" borderId="0" xfId="0" applyNumberFormat="1" applyFont="1"/>
    <xf numFmtId="167" fontId="0" fillId="0" borderId="28" xfId="0" applyNumberFormat="1" applyBorder="1"/>
    <xf numFmtId="0" fontId="0" fillId="0" borderId="30" xfId="0" applyBorder="1"/>
    <xf numFmtId="0" fontId="0" fillId="0" borderId="29" xfId="0" applyBorder="1"/>
    <xf numFmtId="0" fontId="0" fillId="0" borderId="33" xfId="0" applyBorder="1"/>
    <xf numFmtId="167" fontId="0" fillId="0" borderId="33" xfId="0" applyNumberFormat="1" applyBorder="1"/>
    <xf numFmtId="0" fontId="23" fillId="16" borderId="0" xfId="0" applyFont="1" applyFill="1"/>
    <xf numFmtId="0" fontId="0" fillId="16" borderId="0" xfId="0" applyFill="1"/>
    <xf numFmtId="0" fontId="1" fillId="16" borderId="0" xfId="0" applyFont="1" applyFill="1"/>
    <xf numFmtId="0" fontId="24" fillId="5" borderId="0" xfId="0" applyFont="1" applyFill="1"/>
    <xf numFmtId="0" fontId="25" fillId="13" borderId="0" xfId="0" applyFont="1" applyFill="1"/>
    <xf numFmtId="0" fontId="0" fillId="14" borderId="3" xfId="0" applyFill="1" applyBorder="1"/>
    <xf numFmtId="0" fontId="0" fillId="14" borderId="5" xfId="0" applyFill="1" applyBorder="1"/>
    <xf numFmtId="0" fontId="0" fillId="14" borderId="4" xfId="0" applyFill="1" applyBorder="1"/>
    <xf numFmtId="0" fontId="4" fillId="13" borderId="0" xfId="0" applyFont="1" applyFill="1"/>
    <xf numFmtId="0" fontId="4" fillId="14" borderId="0" xfId="0" applyFont="1" applyFill="1"/>
    <xf numFmtId="0" fontId="4" fillId="0" borderId="12" xfId="0" applyFont="1" applyBorder="1"/>
    <xf numFmtId="3" fontId="0" fillId="7" borderId="14" xfId="0" applyNumberFormat="1" applyFill="1" applyBorder="1"/>
    <xf numFmtId="3" fontId="0" fillId="7" borderId="16" xfId="0" applyNumberFormat="1" applyFill="1" applyBorder="1"/>
    <xf numFmtId="3" fontId="1" fillId="7" borderId="15" xfId="0" applyNumberFormat="1" applyFont="1" applyFill="1" applyBorder="1"/>
    <xf numFmtId="3" fontId="0" fillId="7" borderId="15" xfId="0" applyNumberFormat="1" applyFill="1" applyBorder="1"/>
    <xf numFmtId="3" fontId="1" fillId="7" borderId="16" xfId="0" applyNumberFormat="1" applyFont="1" applyFill="1" applyBorder="1"/>
    <xf numFmtId="1" fontId="0" fillId="0" borderId="36" xfId="0" applyNumberFormat="1" applyBorder="1"/>
    <xf numFmtId="1" fontId="0" fillId="0" borderId="37" xfId="0" applyNumberFormat="1" applyBorder="1"/>
    <xf numFmtId="1" fontId="0" fillId="0" borderId="13" xfId="0" applyNumberFormat="1" applyBorder="1"/>
    <xf numFmtId="1" fontId="1" fillId="0" borderId="15" xfId="0" applyNumberFormat="1" applyFont="1" applyBorder="1"/>
    <xf numFmtId="0" fontId="1" fillId="17" borderId="0" xfId="0" applyFont="1" applyFill="1"/>
    <xf numFmtId="0" fontId="0" fillId="17" borderId="0" xfId="0" applyFill="1"/>
    <xf numFmtId="0" fontId="26" fillId="17" borderId="0" xfId="0" applyFont="1" applyFill="1"/>
    <xf numFmtId="0" fontId="0" fillId="4" borderId="0" xfId="0" applyFill="1"/>
    <xf numFmtId="1" fontId="0" fillId="4" borderId="0" xfId="0" applyNumberFormat="1" applyFill="1"/>
    <xf numFmtId="0" fontId="0" fillId="0" borderId="0" xfId="0" applyFill="1" applyBorder="1"/>
    <xf numFmtId="0" fontId="3" fillId="0" borderId="0" xfId="0" applyFont="1" applyFill="1" applyBorder="1"/>
    <xf numFmtId="0" fontId="0" fillId="13" borderId="0" xfId="0" applyFont="1" applyFill="1"/>
    <xf numFmtId="0" fontId="26" fillId="13" borderId="0" xfId="0" applyFont="1" applyFill="1"/>
    <xf numFmtId="0" fontId="27" fillId="0" borderId="0" xfId="0" applyFont="1"/>
    <xf numFmtId="0" fontId="0" fillId="7" borderId="39" xfId="0" applyFill="1" applyBorder="1"/>
    <xf numFmtId="1" fontId="0" fillId="7" borderId="3" xfId="0" applyNumberFormat="1" applyFill="1" applyBorder="1"/>
    <xf numFmtId="1" fontId="0" fillId="7" borderId="4" xfId="0" applyNumberFormat="1" applyFill="1" applyBorder="1"/>
    <xf numFmtId="1" fontId="1" fillId="7" borderId="5" xfId="0" applyNumberFormat="1" applyFont="1" applyFill="1" applyBorder="1"/>
    <xf numFmtId="1" fontId="0" fillId="7" borderId="5" xfId="0" applyNumberFormat="1" applyFill="1" applyBorder="1"/>
    <xf numFmtId="0" fontId="0" fillId="18" borderId="0" xfId="0" applyFill="1"/>
    <xf numFmtId="0" fontId="29" fillId="8" borderId="0" xfId="0" applyFont="1" applyFill="1"/>
    <xf numFmtId="3" fontId="0" fillId="0" borderId="0" xfId="2" applyNumberFormat="1" applyFont="1" applyFill="1" applyBorder="1" applyAlignment="1">
      <alignment horizontal="right"/>
    </xf>
    <xf numFmtId="0" fontId="3" fillId="18" borderId="0" xfId="0" applyFont="1" applyFill="1" applyBorder="1"/>
    <xf numFmtId="0" fontId="1" fillId="18" borderId="0" xfId="0" applyFont="1" applyFill="1" applyBorder="1" applyAlignment="1">
      <alignment horizontal="center"/>
    </xf>
    <xf numFmtId="3" fontId="0" fillId="19" borderId="0" xfId="0" applyNumberFormat="1" applyFill="1" applyBorder="1" applyAlignment="1">
      <alignment horizontal="right"/>
    </xf>
    <xf numFmtId="0" fontId="0" fillId="20" borderId="0" xfId="0" applyFill="1"/>
    <xf numFmtId="0" fontId="30" fillId="20" borderId="0" xfId="0" applyFont="1" applyFill="1"/>
    <xf numFmtId="0" fontId="0" fillId="21" borderId="0" xfId="0" applyFill="1"/>
    <xf numFmtId="0" fontId="1" fillId="21" borderId="0" xfId="0" applyFont="1" applyFill="1"/>
    <xf numFmtId="168" fontId="0" fillId="0" borderId="0" xfId="0" applyNumberFormat="1"/>
    <xf numFmtId="0" fontId="0" fillId="22" borderId="0" xfId="0" applyFill="1"/>
    <xf numFmtId="0" fontId="1" fillId="22" borderId="0" xfId="0" applyFont="1" applyFill="1"/>
    <xf numFmtId="166" fontId="0" fillId="22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9" fontId="0" fillId="0" borderId="0" xfId="0" applyNumberFormat="1"/>
    <xf numFmtId="166" fontId="0" fillId="10" borderId="0" xfId="0" applyNumberFormat="1" applyFill="1"/>
    <xf numFmtId="0" fontId="28" fillId="20" borderId="0" xfId="0" applyFont="1" applyFill="1"/>
    <xf numFmtId="0" fontId="1" fillId="18" borderId="0" xfId="0" applyFont="1" applyFill="1" applyAlignment="1">
      <alignment horizontal="left"/>
    </xf>
    <xf numFmtId="0" fontId="0" fillId="18" borderId="3" xfId="0" applyFill="1" applyBorder="1"/>
    <xf numFmtId="0" fontId="0" fillId="18" borderId="1" xfId="0" applyFill="1" applyBorder="1"/>
    <xf numFmtId="0" fontId="0" fillId="18" borderId="5" xfId="0" applyFill="1" applyBorder="1"/>
    <xf numFmtId="0" fontId="0" fillId="18" borderId="4" xfId="0" applyFill="1" applyBorder="1"/>
    <xf numFmtId="0" fontId="0" fillId="0" borderId="0" xfId="0" applyFont="1"/>
    <xf numFmtId="0" fontId="1" fillId="22" borderId="0" xfId="0" applyFont="1" applyFill="1" applyAlignment="1">
      <alignment horizontal="left"/>
    </xf>
    <xf numFmtId="0" fontId="31" fillId="20" borderId="0" xfId="0" applyFont="1" applyFill="1"/>
    <xf numFmtId="0" fontId="0" fillId="0" borderId="12" xfId="0" applyFill="1" applyBorder="1"/>
    <xf numFmtId="0" fontId="0" fillId="0" borderId="2" xfId="0" applyFill="1" applyBorder="1"/>
    <xf numFmtId="0" fontId="0" fillId="0" borderId="13" xfId="0" applyFill="1" applyBorder="1"/>
    <xf numFmtId="1" fontId="0" fillId="0" borderId="0" xfId="0" applyNumberFormat="1" applyFill="1" applyBorder="1"/>
    <xf numFmtId="0" fontId="32" fillId="0" borderId="12" xfId="0" applyFont="1" applyBorder="1"/>
    <xf numFmtId="0" fontId="0" fillId="0" borderId="2" xfId="0" applyFill="1" applyBorder="1" applyAlignment="1">
      <alignment horizontal="left" vertical="center"/>
    </xf>
    <xf numFmtId="1" fontId="1" fillId="0" borderId="0" xfId="0" applyNumberFormat="1" applyFont="1" applyFill="1" applyBorder="1"/>
    <xf numFmtId="0" fontId="0" fillId="7" borderId="36" xfId="0" applyFill="1" applyBorder="1"/>
    <xf numFmtId="0" fontId="1" fillId="0" borderId="0" xfId="0" applyFont="1" applyFill="1" applyBorder="1"/>
    <xf numFmtId="0" fontId="0" fillId="7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3" fontId="0" fillId="14" borderId="3" xfId="0" applyNumberFormat="1" applyFill="1" applyBorder="1"/>
    <xf numFmtId="3" fontId="0" fillId="14" borderId="4" xfId="0" applyNumberFormat="1" applyFill="1" applyBorder="1"/>
    <xf numFmtId="0" fontId="1" fillId="13" borderId="0" xfId="0" applyFont="1" applyFill="1"/>
    <xf numFmtId="1" fontId="1" fillId="0" borderId="38" xfId="0" applyNumberFormat="1" applyFont="1" applyBorder="1"/>
    <xf numFmtId="3" fontId="1" fillId="14" borderId="4" xfId="0" applyNumberFormat="1" applyFont="1" applyFill="1" applyBorder="1"/>
    <xf numFmtId="0" fontId="1" fillId="7" borderId="10" xfId="0" applyFont="1" applyFill="1" applyBorder="1"/>
    <xf numFmtId="0" fontId="1" fillId="7" borderId="11" xfId="0" applyFont="1" applyFill="1" applyBorder="1"/>
    <xf numFmtId="1" fontId="4" fillId="0" borderId="12" xfId="0" applyNumberFormat="1" applyFont="1" applyBorder="1"/>
    <xf numFmtId="0" fontId="33" fillId="5" borderId="0" xfId="0" applyFont="1" applyFill="1"/>
    <xf numFmtId="0" fontId="0" fillId="5" borderId="0" xfId="0" applyFont="1" applyFill="1"/>
    <xf numFmtId="0" fontId="0" fillId="4" borderId="0" xfId="0" applyFont="1" applyFill="1"/>
    <xf numFmtId="0" fontId="0" fillId="0" borderId="0" xfId="0" applyFont="1" applyAlignment="1">
      <alignment horizontal="left"/>
    </xf>
    <xf numFmtId="3" fontId="0" fillId="4" borderId="0" xfId="0" applyNumberFormat="1" applyFill="1"/>
    <xf numFmtId="0" fontId="0" fillId="2" borderId="6" xfId="0" applyFill="1" applyBorder="1"/>
    <xf numFmtId="0" fontId="0" fillId="2" borderId="39" xfId="0" applyFill="1" applyBorder="1"/>
    <xf numFmtId="0" fontId="0" fillId="2" borderId="8" xfId="0" applyFill="1" applyBorder="1"/>
    <xf numFmtId="0" fontId="1" fillId="2" borderId="39" xfId="0" applyFont="1" applyFill="1" applyBorder="1"/>
    <xf numFmtId="3" fontId="0" fillId="0" borderId="12" xfId="0" applyNumberFormat="1" applyBorder="1"/>
    <xf numFmtId="3" fontId="0" fillId="4" borderId="12" xfId="0" applyNumberFormat="1" applyFill="1" applyBorder="1"/>
    <xf numFmtId="3" fontId="0" fillId="0" borderId="18" xfId="0" applyNumberFormat="1" applyBorder="1"/>
    <xf numFmtId="0" fontId="0" fillId="4" borderId="16" xfId="0" applyFont="1" applyFill="1" applyBorder="1"/>
    <xf numFmtId="3" fontId="0" fillId="4" borderId="14" xfId="0" applyNumberFormat="1" applyFill="1" applyBorder="1"/>
    <xf numFmtId="3" fontId="0" fillId="4" borderId="16" xfId="0" applyNumberFormat="1" applyFill="1" applyBorder="1"/>
    <xf numFmtId="0" fontId="1" fillId="2" borderId="4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0" fontId="1" fillId="6" borderId="22" xfId="0" applyFont="1" applyFill="1" applyBorder="1"/>
    <xf numFmtId="167" fontId="1" fillId="0" borderId="40" xfId="0" applyNumberFormat="1" applyFont="1" applyBorder="1"/>
    <xf numFmtId="167" fontId="1" fillId="0" borderId="34" xfId="0" applyNumberFormat="1" applyFont="1" applyBorder="1"/>
    <xf numFmtId="0" fontId="0" fillId="6" borderId="42" xfId="0" applyFill="1" applyBorder="1"/>
    <xf numFmtId="167" fontId="0" fillId="0" borderId="43" xfId="0" applyNumberFormat="1" applyBorder="1"/>
    <xf numFmtId="167" fontId="0" fillId="0" borderId="0" xfId="0" applyNumberFormat="1" applyBorder="1"/>
    <xf numFmtId="167" fontId="1" fillId="0" borderId="0" xfId="0" applyNumberFormat="1" applyFont="1" applyBorder="1"/>
    <xf numFmtId="167" fontId="0" fillId="0" borderId="12" xfId="0" applyNumberFormat="1" applyBorder="1"/>
    <xf numFmtId="167" fontId="1" fillId="0" borderId="25" xfId="0" applyNumberFormat="1" applyFont="1" applyBorder="1"/>
    <xf numFmtId="0" fontId="0" fillId="6" borderId="45" xfId="0" applyFill="1" applyBorder="1"/>
    <xf numFmtId="0" fontId="1" fillId="6" borderId="46" xfId="0" applyFont="1" applyFill="1" applyBorder="1"/>
    <xf numFmtId="167" fontId="0" fillId="0" borderId="47" xfId="0" applyNumberFormat="1" applyBorder="1"/>
    <xf numFmtId="167" fontId="1" fillId="0" borderId="48" xfId="0" applyNumberFormat="1" applyFont="1" applyBorder="1"/>
    <xf numFmtId="167" fontId="1" fillId="0" borderId="13" xfId="0" applyNumberFormat="1" applyFont="1" applyBorder="1"/>
    <xf numFmtId="0" fontId="34" fillId="0" borderId="0" xfId="0" applyFont="1"/>
    <xf numFmtId="0" fontId="35" fillId="0" borderId="0" xfId="0" applyFont="1"/>
    <xf numFmtId="0" fontId="0" fillId="14" borderId="0" xfId="0" applyFont="1" applyFill="1"/>
    <xf numFmtId="3" fontId="0" fillId="0" borderId="0" xfId="0" applyNumberFormat="1" applyFont="1"/>
    <xf numFmtId="0" fontId="0" fillId="14" borderId="16" xfId="0" applyFont="1" applyFill="1" applyBorder="1"/>
    <xf numFmtId="3" fontId="0" fillId="0" borderId="16" xfId="0" applyNumberFormat="1" applyFont="1" applyBorder="1"/>
    <xf numFmtId="3" fontId="0" fillId="4" borderId="13" xfId="0" applyNumberFormat="1" applyFill="1" applyBorder="1"/>
    <xf numFmtId="3" fontId="0" fillId="4" borderId="0" xfId="0" applyNumberFormat="1" applyFill="1" applyBorder="1"/>
    <xf numFmtId="1" fontId="0" fillId="0" borderId="0" xfId="0" applyNumberFormat="1" applyFill="1"/>
    <xf numFmtId="0" fontId="1" fillId="6" borderId="50" xfId="0" applyFont="1" applyFill="1" applyBorder="1"/>
    <xf numFmtId="167" fontId="1" fillId="0" borderId="51" xfId="0" applyNumberFormat="1" applyFont="1" applyBorder="1"/>
    <xf numFmtId="0" fontId="1" fillId="6" borderId="45" xfId="0" applyFont="1" applyFill="1" applyBorder="1"/>
    <xf numFmtId="167" fontId="0" fillId="0" borderId="47" xfId="0" applyNumberFormat="1" applyFont="1" applyBorder="1"/>
    <xf numFmtId="167" fontId="0" fillId="0" borderId="51" xfId="0" applyNumberFormat="1" applyFont="1" applyBorder="1"/>
    <xf numFmtId="167" fontId="0" fillId="0" borderId="25" xfId="0" applyNumberFormat="1" applyFill="1" applyBorder="1"/>
    <xf numFmtId="167" fontId="0" fillId="0" borderId="31" xfId="0" applyNumberFormat="1" applyFill="1" applyBorder="1"/>
    <xf numFmtId="167" fontId="1" fillId="0" borderId="25" xfId="0" applyNumberFormat="1" applyFont="1" applyFill="1" applyBorder="1"/>
    <xf numFmtId="167" fontId="0" fillId="0" borderId="12" xfId="0" applyNumberFormat="1" applyFont="1" applyBorder="1"/>
    <xf numFmtId="167" fontId="0" fillId="0" borderId="0" xfId="0" applyNumberFormat="1" applyFont="1"/>
    <xf numFmtId="0" fontId="0" fillId="0" borderId="12" xfId="0" applyFont="1" applyBorder="1"/>
    <xf numFmtId="0" fontId="0" fillId="6" borderId="45" xfId="0" applyFont="1" applyFill="1" applyBorder="1"/>
    <xf numFmtId="0" fontId="0" fillId="6" borderId="50" xfId="0" applyFont="1" applyFill="1" applyBorder="1"/>
    <xf numFmtId="167" fontId="0" fillId="0" borderId="0" xfId="1" applyNumberFormat="1" applyFont="1" applyBorder="1"/>
    <xf numFmtId="0" fontId="0" fillId="18" borderId="12" xfId="0" applyFill="1" applyBorder="1"/>
    <xf numFmtId="0" fontId="1" fillId="0" borderId="12" xfId="0" applyFont="1" applyFill="1" applyBorder="1"/>
    <xf numFmtId="1" fontId="1" fillId="0" borderId="12" xfId="0" applyNumberFormat="1" applyFont="1" applyFill="1" applyBorder="1"/>
    <xf numFmtId="1" fontId="0" fillId="0" borderId="0" xfId="0" applyNumberFormat="1" applyFont="1" applyBorder="1"/>
    <xf numFmtId="3" fontId="0" fillId="7" borderId="4" xfId="0" applyNumberFormat="1" applyFont="1" applyFill="1" applyBorder="1"/>
    <xf numFmtId="3" fontId="0" fillId="7" borderId="16" xfId="0" applyNumberFormat="1" applyFont="1" applyFill="1" applyBorder="1"/>
    <xf numFmtId="0" fontId="4" fillId="0" borderId="12" xfId="0" applyFont="1" applyFill="1" applyBorder="1"/>
    <xf numFmtId="0" fontId="1" fillId="7" borderId="8" xfId="0" applyFont="1" applyFill="1" applyBorder="1"/>
    <xf numFmtId="0" fontId="1" fillId="7" borderId="39" xfId="0" applyFont="1" applyFill="1" applyBorder="1"/>
    <xf numFmtId="1" fontId="1" fillId="7" borderId="3" xfId="0" applyNumberFormat="1" applyFont="1" applyFill="1" applyBorder="1"/>
    <xf numFmtId="1" fontId="0" fillId="0" borderId="14" xfId="0" applyNumberFormat="1" applyFont="1" applyBorder="1"/>
    <xf numFmtId="1" fontId="0" fillId="0" borderId="16" xfId="0" applyNumberFormat="1" applyFont="1" applyBorder="1"/>
    <xf numFmtId="1" fontId="0" fillId="7" borderId="4" xfId="0" applyNumberFormat="1" applyFont="1" applyFill="1" applyBorder="1"/>
    <xf numFmtId="1" fontId="1" fillId="0" borderId="12" xfId="0" applyNumberFormat="1" applyFont="1" applyBorder="1"/>
    <xf numFmtId="1" fontId="0" fillId="0" borderId="12" xfId="0" applyNumberFormat="1" applyFont="1" applyBorder="1"/>
    <xf numFmtId="3" fontId="1" fillId="14" borderId="5" xfId="0" applyNumberFormat="1" applyFont="1" applyFill="1" applyBorder="1"/>
    <xf numFmtId="3" fontId="0" fillId="7" borderId="3" xfId="0" applyNumberFormat="1" applyFont="1" applyFill="1" applyBorder="1"/>
    <xf numFmtId="3" fontId="0" fillId="14" borderId="3" xfId="0" applyNumberFormat="1" applyFont="1" applyFill="1" applyBorder="1"/>
    <xf numFmtId="3" fontId="0" fillId="14" borderId="4" xfId="0" applyNumberFormat="1" applyFont="1" applyFill="1" applyBorder="1"/>
    <xf numFmtId="3" fontId="0" fillId="0" borderId="54" xfId="0" applyNumberFormat="1" applyBorder="1"/>
    <xf numFmtId="3" fontId="0" fillId="0" borderId="19" xfId="0" applyNumberFormat="1" applyBorder="1"/>
    <xf numFmtId="167" fontId="0" fillId="0" borderId="47" xfId="0" applyNumberFormat="1" applyFont="1" applyFill="1" applyBorder="1"/>
    <xf numFmtId="167" fontId="0" fillId="0" borderId="51" xfId="0" applyNumberFormat="1" applyFont="1" applyFill="1" applyBorder="1"/>
    <xf numFmtId="167" fontId="1" fillId="0" borderId="51" xfId="0" applyNumberFormat="1" applyFont="1" applyFill="1" applyBorder="1"/>
    <xf numFmtId="167" fontId="0" fillId="0" borderId="47" xfId="0" applyNumberFormat="1" applyFill="1" applyBorder="1"/>
    <xf numFmtId="167" fontId="0" fillId="0" borderId="32" xfId="0" applyNumberFormat="1" applyFill="1" applyBorder="1"/>
    <xf numFmtId="167" fontId="0" fillId="0" borderId="12" xfId="0" applyNumberFormat="1" applyFill="1" applyBorder="1"/>
    <xf numFmtId="167" fontId="0" fillId="0" borderId="52" xfId="0" applyNumberFormat="1" applyFill="1" applyBorder="1"/>
    <xf numFmtId="167" fontId="0" fillId="0" borderId="51" xfId="0" applyNumberFormat="1" applyFill="1" applyBorder="1"/>
    <xf numFmtId="167" fontId="1" fillId="0" borderId="49" xfId="0" applyNumberFormat="1" applyFont="1" applyFill="1" applyBorder="1"/>
    <xf numFmtId="167" fontId="1" fillId="0" borderId="53" xfId="0" applyNumberFormat="1" applyFont="1" applyFill="1" applyBorder="1"/>
    <xf numFmtId="9" fontId="0" fillId="0" borderId="0" xfId="0" applyNumberFormat="1"/>
    <xf numFmtId="9" fontId="0" fillId="0" borderId="0" xfId="2" applyNumberFormat="1" applyFont="1" applyFill="1"/>
    <xf numFmtId="0" fontId="0" fillId="19" borderId="0" xfId="0" applyFill="1"/>
    <xf numFmtId="0" fontId="1" fillId="19" borderId="0" xfId="0" applyFont="1" applyFill="1"/>
    <xf numFmtId="1" fontId="0" fillId="0" borderId="15" xfId="0" applyNumberFormat="1" applyBorder="1"/>
    <xf numFmtId="0" fontId="0" fillId="23" borderId="0" xfId="0" applyFill="1"/>
    <xf numFmtId="0" fontId="36" fillId="23" borderId="0" xfId="0" applyFont="1" applyFill="1"/>
    <xf numFmtId="0" fontId="0" fillId="0" borderId="18" xfId="0" applyFill="1" applyBorder="1"/>
    <xf numFmtId="0" fontId="0" fillId="0" borderId="14" xfId="0" applyFill="1" applyBorder="1"/>
    <xf numFmtId="0" fontId="37" fillId="23" borderId="0" xfId="0" applyFont="1" applyFill="1"/>
    <xf numFmtId="0" fontId="1" fillId="18" borderId="0" xfId="0" applyFont="1" applyFill="1"/>
    <xf numFmtId="1" fontId="1" fillId="0" borderId="0" xfId="0" applyNumberFormat="1" applyFont="1"/>
    <xf numFmtId="0" fontId="0" fillId="0" borderId="0" xfId="0" applyFont="1" applyFill="1"/>
    <xf numFmtId="3" fontId="1" fillId="0" borderId="0" xfId="0" applyNumberFormat="1" applyFont="1"/>
    <xf numFmtId="3" fontId="0" fillId="0" borderId="0" xfId="0" applyNumberFormat="1" applyFont="1" applyFill="1"/>
    <xf numFmtId="1" fontId="1" fillId="19" borderId="0" xfId="0" applyNumberFormat="1" applyFont="1" applyFill="1"/>
    <xf numFmtId="9" fontId="12" fillId="0" borderId="0" xfId="2" applyFont="1"/>
    <xf numFmtId="1" fontId="12" fillId="0" borderId="0" xfId="2" applyNumberFormat="1" applyFont="1"/>
    <xf numFmtId="3" fontId="1" fillId="0" borderId="0" xfId="0" applyNumberFormat="1" applyFont="1" applyFill="1" applyBorder="1"/>
    <xf numFmtId="1" fontId="0" fillId="0" borderId="54" xfId="0" applyNumberFormat="1" applyFill="1" applyBorder="1"/>
    <xf numFmtId="1" fontId="0" fillId="0" borderId="15" xfId="0" applyNumberFormat="1" applyFill="1" applyBorder="1"/>
    <xf numFmtId="1" fontId="0" fillId="0" borderId="19" xfId="0" applyNumberFormat="1" applyFill="1" applyBorder="1"/>
    <xf numFmtId="1" fontId="0" fillId="0" borderId="16" xfId="0" applyNumberFormat="1" applyFill="1" applyBorder="1"/>
    <xf numFmtId="3" fontId="0" fillId="0" borderId="13" xfId="0" applyNumberFormat="1" applyFill="1" applyBorder="1"/>
    <xf numFmtId="1" fontId="0" fillId="0" borderId="13" xfId="0" applyNumberFormat="1" applyFill="1" applyBorder="1"/>
    <xf numFmtId="3" fontId="0" fillId="4" borderId="15" xfId="0" applyNumberFormat="1" applyFill="1" applyBorder="1"/>
    <xf numFmtId="3" fontId="1" fillId="2" borderId="5" xfId="0" applyNumberFormat="1" applyFont="1" applyFill="1" applyBorder="1"/>
    <xf numFmtId="3" fontId="0" fillId="0" borderId="13" xfId="0" applyNumberFormat="1" applyBorder="1"/>
    <xf numFmtId="0" fontId="38" fillId="24" borderId="0" xfId="0" applyFont="1" applyFill="1"/>
    <xf numFmtId="3" fontId="38" fillId="24" borderId="0" xfId="0" applyNumberFormat="1" applyFont="1" applyFill="1"/>
    <xf numFmtId="3" fontId="0" fillId="19" borderId="0" xfId="0" applyNumberFormat="1" applyFill="1"/>
    <xf numFmtId="1" fontId="0" fillId="19" borderId="0" xfId="0" applyNumberFormat="1" applyFill="1"/>
    <xf numFmtId="0" fontId="10" fillId="20" borderId="0" xfId="0" applyFont="1" applyFill="1"/>
    <xf numFmtId="0" fontId="39" fillId="20" borderId="0" xfId="0" applyFont="1" applyFill="1"/>
    <xf numFmtId="0" fontId="26" fillId="22" borderId="0" xfId="0" applyFont="1" applyFill="1"/>
    <xf numFmtId="0" fontId="0" fillId="25" borderId="0" xfId="0" applyFill="1"/>
    <xf numFmtId="0" fontId="1" fillId="15" borderId="0" xfId="0" applyFont="1" applyFill="1"/>
    <xf numFmtId="0" fontId="39" fillId="25" borderId="0" xfId="0" applyFont="1" applyFill="1"/>
    <xf numFmtId="2" fontId="0" fillId="0" borderId="55" xfId="0" applyNumberFormat="1" applyBorder="1"/>
    <xf numFmtId="0" fontId="0" fillId="7" borderId="37" xfId="0" applyFill="1" applyBorder="1"/>
    <xf numFmtId="0" fontId="0" fillId="7" borderId="56" xfId="0" applyFill="1" applyBorder="1"/>
    <xf numFmtId="0" fontId="0" fillId="7" borderId="38" xfId="0" applyFill="1" applyBorder="1"/>
    <xf numFmtId="0" fontId="0" fillId="7" borderId="0" xfId="0" applyFill="1" applyBorder="1"/>
    <xf numFmtId="0" fontId="0" fillId="24" borderId="0" xfId="0" applyFill="1"/>
    <xf numFmtId="0" fontId="2" fillId="24" borderId="0" xfId="0" applyFont="1" applyFill="1"/>
    <xf numFmtId="0" fontId="40" fillId="19" borderId="0" xfId="0" applyFont="1" applyFill="1"/>
    <xf numFmtId="0" fontId="40" fillId="0" borderId="0" xfId="0" applyFont="1" applyFill="1"/>
    <xf numFmtId="0" fontId="1" fillId="19" borderId="0" xfId="0" applyFont="1" applyFill="1" applyAlignment="1">
      <alignment wrapText="1"/>
    </xf>
    <xf numFmtId="2" fontId="32" fillId="0" borderId="12" xfId="0" applyNumberFormat="1" applyFont="1" applyBorder="1"/>
    <xf numFmtId="2" fontId="32" fillId="0" borderId="12" xfId="0" applyNumberFormat="1" applyFont="1" applyFill="1" applyBorder="1"/>
    <xf numFmtId="3" fontId="0" fillId="0" borderId="0" xfId="0" applyNumberFormat="1" applyFont="1" applyBorder="1"/>
    <xf numFmtId="3" fontId="1" fillId="0" borderId="0" xfId="0" applyNumberFormat="1" applyFont="1" applyBorder="1"/>
    <xf numFmtId="3" fontId="0" fillId="7" borderId="36" xfId="0" applyNumberFormat="1" applyFill="1" applyBorder="1"/>
    <xf numFmtId="3" fontId="0" fillId="7" borderId="37" xfId="0" applyNumberFormat="1" applyFill="1" applyBorder="1"/>
    <xf numFmtId="3" fontId="0" fillId="7" borderId="38" xfId="0" applyNumberFormat="1" applyFill="1" applyBorder="1"/>
    <xf numFmtId="3" fontId="40" fillId="19" borderId="0" xfId="0" applyNumberFormat="1" applyFont="1" applyFill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6" borderId="0" xfId="0" applyFill="1"/>
    <xf numFmtId="0" fontId="17" fillId="16" borderId="0" xfId="0" applyFont="1" applyFill="1"/>
    <xf numFmtId="3" fontId="18" fillId="0" borderId="0" xfId="0" applyNumberFormat="1" applyFont="1"/>
    <xf numFmtId="0" fontId="36" fillId="20" borderId="0" xfId="0" applyFont="1" applyFill="1"/>
    <xf numFmtId="0" fontId="41" fillId="5" borderId="0" xfId="0" applyFont="1" applyFill="1"/>
    <xf numFmtId="0" fontId="0" fillId="27" borderId="0" xfId="0" applyFill="1"/>
    <xf numFmtId="0" fontId="1" fillId="27" borderId="0" xfId="0" applyFont="1" applyFill="1"/>
    <xf numFmtId="0" fontId="0" fillId="19" borderId="3" xfId="0" applyFill="1" applyBorder="1"/>
    <xf numFmtId="0" fontId="0" fillId="19" borderId="1" xfId="0" applyFill="1" applyBorder="1"/>
    <xf numFmtId="0" fontId="0" fillId="19" borderId="5" xfId="0" applyFill="1" applyBorder="1"/>
    <xf numFmtId="0" fontId="0" fillId="19" borderId="4" xfId="0" applyFill="1" applyBorder="1"/>
    <xf numFmtId="1" fontId="0" fillId="0" borderId="0" xfId="0" applyNumberFormat="1" applyFont="1" applyFill="1" applyBorder="1"/>
    <xf numFmtId="0" fontId="42" fillId="0" borderId="12" xfId="0" applyFont="1" applyBorder="1"/>
    <xf numFmtId="3" fontId="0" fillId="0" borderId="12" xfId="0" applyNumberFormat="1" applyFont="1" applyBorder="1"/>
    <xf numFmtId="0" fontId="1" fillId="0" borderId="0" xfId="0" applyFont="1" applyFill="1" applyAlignment="1">
      <alignment horizontal="left"/>
    </xf>
    <xf numFmtId="0" fontId="1" fillId="28" borderId="0" xfId="0" applyFont="1" applyFill="1" applyAlignment="1">
      <alignment horizontal="left"/>
    </xf>
    <xf numFmtId="0" fontId="0" fillId="28" borderId="0" xfId="0" applyFill="1"/>
    <xf numFmtId="0" fontId="0" fillId="0" borderId="0" xfId="0" applyFont="1" applyFill="1" applyAlignment="1">
      <alignment horizontal="left"/>
    </xf>
    <xf numFmtId="0" fontId="1" fillId="28" borderId="0" xfId="0" applyFont="1" applyFill="1"/>
    <xf numFmtId="10" fontId="0" fillId="0" borderId="0" xfId="0" applyNumberFormat="1"/>
    <xf numFmtId="9" fontId="0" fillId="0" borderId="0" xfId="0" applyNumberFormat="1" applyFill="1"/>
    <xf numFmtId="0" fontId="43" fillId="28" borderId="0" xfId="0" applyFont="1" applyFill="1"/>
    <xf numFmtId="0" fontId="0" fillId="0" borderId="0" xfId="0" applyFill="1" applyBorder="1" applyAlignment="1">
      <alignment horizontal="left" vertical="top"/>
    </xf>
    <xf numFmtId="168" fontId="0" fillId="0" borderId="0" xfId="1" applyNumberFormat="1" applyFont="1" applyFill="1" applyBorder="1" applyAlignment="1">
      <alignment horizontal="right" vertical="top"/>
    </xf>
    <xf numFmtId="168" fontId="0" fillId="0" borderId="0" xfId="0" applyNumberFormat="1" applyFill="1" applyBorder="1"/>
    <xf numFmtId="1" fontId="1" fillId="0" borderId="54" xfId="0" applyNumberFormat="1" applyFont="1" applyBorder="1"/>
    <xf numFmtId="43" fontId="1" fillId="0" borderId="0" xfId="0" applyNumberFormat="1" applyFont="1" applyBorder="1"/>
    <xf numFmtId="0" fontId="3" fillId="0" borderId="0" xfId="0" applyFont="1" applyBorder="1"/>
    <xf numFmtId="0" fontId="1" fillId="15" borderId="0" xfId="0" applyFont="1" applyFill="1" applyBorder="1" applyAlignment="1">
      <alignment horizontal="left"/>
    </xf>
    <xf numFmtId="0" fontId="1" fillId="15" borderId="0" xfId="0" applyFont="1" applyFill="1" applyBorder="1"/>
    <xf numFmtId="170" fontId="0" fillId="0" borderId="0" xfId="0" applyNumberFormat="1" applyBorder="1"/>
    <xf numFmtId="0" fontId="1" fillId="20" borderId="0" xfId="0" applyFont="1" applyFill="1"/>
    <xf numFmtId="3" fontId="0" fillId="0" borderId="0" xfId="0" applyNumberFormat="1" applyFill="1"/>
    <xf numFmtId="9" fontId="0" fillId="14" borderId="0" xfId="2" applyFont="1" applyFill="1"/>
    <xf numFmtId="3" fontId="18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left"/>
    </xf>
    <xf numFmtId="170" fontId="0" fillId="0" borderId="0" xfId="0" applyNumberFormat="1" applyFont="1"/>
    <xf numFmtId="168" fontId="0" fillId="0" borderId="0" xfId="1" applyNumberFormat="1" applyFont="1" applyFill="1"/>
    <xf numFmtId="0" fontId="44" fillId="18" borderId="0" xfId="0" applyFont="1" applyFill="1"/>
    <xf numFmtId="0" fontId="45" fillId="0" borderId="0" xfId="0" applyFont="1"/>
    <xf numFmtId="0" fontId="15" fillId="0" borderId="12" xfId="0" applyFont="1" applyBorder="1"/>
    <xf numFmtId="0" fontId="0" fillId="0" borderId="13" xfId="0" applyFont="1" applyBorder="1"/>
    <xf numFmtId="0" fontId="0" fillId="4" borderId="0" xfId="0" applyFont="1" applyFill="1" applyBorder="1"/>
    <xf numFmtId="0" fontId="0" fillId="0" borderId="0" xfId="0" applyFont="1" applyBorder="1"/>
    <xf numFmtId="0" fontId="1" fillId="18" borderId="3" xfId="0" applyFont="1" applyFill="1" applyBorder="1"/>
    <xf numFmtId="0" fontId="1" fillId="18" borderId="4" xfId="0" applyFont="1" applyFill="1" applyBorder="1"/>
    <xf numFmtId="3" fontId="1" fillId="18" borderId="4" xfId="0" applyNumberFormat="1" applyFont="1" applyFill="1" applyBorder="1"/>
    <xf numFmtId="1" fontId="1" fillId="15" borderId="0" xfId="2" applyNumberFormat="1" applyFont="1" applyFill="1"/>
    <xf numFmtId="9" fontId="0" fillId="15" borderId="0" xfId="2" applyFont="1" applyFill="1"/>
    <xf numFmtId="3" fontId="0" fillId="22" borderId="0" xfId="0" applyNumberFormat="1" applyFill="1"/>
    <xf numFmtId="3" fontId="1" fillId="15" borderId="0" xfId="0" applyNumberFormat="1" applyFont="1" applyFill="1"/>
    <xf numFmtId="0" fontId="0" fillId="7" borderId="12" xfId="0" applyFill="1" applyBorder="1"/>
    <xf numFmtId="0" fontId="0" fillId="7" borderId="0" xfId="0" applyFill="1"/>
    <xf numFmtId="0" fontId="0" fillId="7" borderId="2" xfId="0" applyFill="1" applyBorder="1" applyAlignment="1">
      <alignment horizontal="left" vertical="center"/>
    </xf>
    <xf numFmtId="3" fontId="0" fillId="7" borderId="12" xfId="0" applyNumberFormat="1" applyFill="1" applyBorder="1"/>
    <xf numFmtId="3" fontId="0" fillId="7" borderId="0" xfId="0" applyNumberFormat="1" applyFill="1" applyBorder="1"/>
    <xf numFmtId="3" fontId="0" fillId="7" borderId="0" xfId="0" applyNumberFormat="1" applyFont="1" applyFill="1" applyBorder="1"/>
    <xf numFmtId="3" fontId="1" fillId="7" borderId="0" xfId="0" applyNumberFormat="1" applyFont="1" applyFill="1" applyBorder="1"/>
    <xf numFmtId="3" fontId="0" fillId="7" borderId="13" xfId="0" applyNumberFormat="1" applyFill="1" applyBorder="1"/>
    <xf numFmtId="0" fontId="0" fillId="7" borderId="14" xfId="0" applyFill="1" applyBorder="1"/>
    <xf numFmtId="0" fontId="0" fillId="7" borderId="17" xfId="0" applyFill="1" applyBorder="1"/>
    <xf numFmtId="0" fontId="0" fillId="7" borderId="15" xfId="0" applyFill="1" applyBorder="1"/>
    <xf numFmtId="0" fontId="0" fillId="7" borderId="16" xfId="0" applyFill="1" applyBorder="1"/>
    <xf numFmtId="0" fontId="0" fillId="0" borderId="0" xfId="0" applyBorder="1" applyAlignment="1">
      <alignment horizontal="left" vertical="center"/>
    </xf>
    <xf numFmtId="3" fontId="1" fillId="0" borderId="13" xfId="0" applyNumberFormat="1" applyFont="1" applyBorder="1"/>
    <xf numFmtId="0" fontId="0" fillId="25" borderId="4" xfId="0" applyFill="1" applyBorder="1"/>
    <xf numFmtId="3" fontId="0" fillId="25" borderId="4" xfId="0" applyNumberFormat="1" applyFill="1" applyBorder="1"/>
    <xf numFmtId="0" fontId="0" fillId="25" borderId="3" xfId="0" applyFill="1" applyBorder="1"/>
    <xf numFmtId="3" fontId="0" fillId="25" borderId="3" xfId="0" applyNumberFormat="1" applyFill="1" applyBorder="1"/>
    <xf numFmtId="3" fontId="0" fillId="7" borderId="14" xfId="0" applyNumberFormat="1" applyFont="1" applyFill="1" applyBorder="1"/>
    <xf numFmtId="0" fontId="1" fillId="7" borderId="0" xfId="0" applyFont="1" applyFill="1" applyBorder="1"/>
    <xf numFmtId="0" fontId="1" fillId="7" borderId="12" xfId="0" applyFont="1" applyFill="1" applyBorder="1"/>
    <xf numFmtId="3" fontId="0" fillId="7" borderId="12" xfId="0" applyNumberFormat="1" applyFont="1" applyFill="1" applyBorder="1"/>
    <xf numFmtId="3" fontId="1" fillId="25" borderId="5" xfId="0" applyNumberFormat="1" applyFont="1" applyFill="1" applyBorder="1"/>
    <xf numFmtId="3" fontId="1" fillId="25" borderId="4" xfId="0" applyNumberFormat="1" applyFont="1" applyFill="1" applyBorder="1"/>
    <xf numFmtId="0" fontId="0" fillId="7" borderId="12" xfId="0" applyFill="1" applyBorder="1" applyAlignment="1">
      <alignment horizontal="left" vertical="center"/>
    </xf>
    <xf numFmtId="3" fontId="0" fillId="25" borderId="4" xfId="0" applyNumberFormat="1" applyFont="1" applyFill="1" applyBorder="1"/>
    <xf numFmtId="0" fontId="1" fillId="2" borderId="7" xfId="0" applyFont="1" applyFill="1" applyBorder="1"/>
    <xf numFmtId="0" fontId="1" fillId="4" borderId="12" xfId="0" applyFont="1" applyFill="1" applyBorder="1"/>
    <xf numFmtId="0" fontId="1" fillId="0" borderId="12" xfId="0" applyFont="1" applyBorder="1" applyAlignment="1">
      <alignment horizontal="center" wrapText="1"/>
    </xf>
    <xf numFmtId="0" fontId="1" fillId="4" borderId="14" xfId="0" applyFont="1" applyFill="1" applyBorder="1"/>
    <xf numFmtId="0" fontId="1" fillId="2" borderId="3" xfId="0" applyFont="1" applyFill="1" applyBorder="1"/>
    <xf numFmtId="3" fontId="1" fillId="14" borderId="0" xfId="0" applyNumberFormat="1" applyFont="1" applyFill="1"/>
    <xf numFmtId="0" fontId="1" fillId="14" borderId="0" xfId="0" applyFont="1" applyFill="1" applyBorder="1"/>
    <xf numFmtId="0" fontId="46" fillId="14" borderId="0" xfId="0" applyFont="1" applyFill="1"/>
    <xf numFmtId="0" fontId="46" fillId="0" borderId="0" xfId="0" applyFont="1"/>
    <xf numFmtId="3" fontId="46" fillId="0" borderId="0" xfId="0" applyNumberFormat="1" applyFont="1"/>
    <xf numFmtId="3" fontId="0" fillId="14" borderId="0" xfId="0" applyNumberFormat="1" applyFill="1" applyBorder="1"/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9" fontId="0" fillId="0" borderId="18" xfId="2" applyFont="1" applyBorder="1"/>
    <xf numFmtId="9" fontId="0" fillId="0" borderId="57" xfId="2" applyFont="1" applyBorder="1"/>
    <xf numFmtId="9" fontId="0" fillId="0" borderId="12" xfId="2" applyFont="1" applyBorder="1"/>
    <xf numFmtId="9" fontId="0" fillId="0" borderId="2" xfId="2" applyFont="1" applyBorder="1"/>
    <xf numFmtId="9" fontId="0" fillId="0" borderId="13" xfId="2" applyFont="1" applyBorder="1"/>
    <xf numFmtId="9" fontId="0" fillId="4" borderId="12" xfId="2" applyFont="1" applyFill="1" applyBorder="1"/>
    <xf numFmtId="9" fontId="0" fillId="4" borderId="2" xfId="2" applyFont="1" applyFill="1" applyBorder="1"/>
    <xf numFmtId="9" fontId="0" fillId="4" borderId="13" xfId="2" applyFont="1" applyFill="1" applyBorder="1"/>
    <xf numFmtId="9" fontId="0" fillId="4" borderId="14" xfId="2" applyFont="1" applyFill="1" applyBorder="1"/>
    <xf numFmtId="9" fontId="0" fillId="4" borderId="17" xfId="2" applyFont="1" applyFill="1" applyBorder="1"/>
    <xf numFmtId="9" fontId="0" fillId="4" borderId="15" xfId="2" applyFont="1" applyFill="1" applyBorder="1"/>
    <xf numFmtId="9" fontId="1" fillId="2" borderId="3" xfId="2" applyFont="1" applyFill="1" applyBorder="1"/>
    <xf numFmtId="9" fontId="1" fillId="2" borderId="1" xfId="2" applyFont="1" applyFill="1" applyBorder="1"/>
    <xf numFmtId="9" fontId="1" fillId="2" borderId="5" xfId="2" applyFont="1" applyFill="1" applyBorder="1"/>
    <xf numFmtId="9" fontId="1" fillId="0" borderId="0" xfId="2" applyFont="1"/>
    <xf numFmtId="0" fontId="4" fillId="0" borderId="13" xfId="0" applyFont="1" applyBorder="1"/>
    <xf numFmtId="0" fontId="4" fillId="0" borderId="0" xfId="0" applyFont="1" applyBorder="1"/>
    <xf numFmtId="0" fontId="0" fillId="0" borderId="0" xfId="0" applyBorder="1" applyAlignment="1">
      <alignment horizontal="justify" vertical="center" wrapText="1"/>
    </xf>
    <xf numFmtId="0" fontId="1" fillId="19" borderId="0" xfId="0" applyFont="1" applyFill="1" applyBorder="1" applyAlignment="1">
      <alignment horizontal="justify" vertical="center" wrapText="1"/>
    </xf>
    <xf numFmtId="9" fontId="0" fillId="0" borderId="13" xfId="2" applyNumberFormat="1" applyFont="1" applyBorder="1"/>
    <xf numFmtId="9" fontId="0" fillId="0" borderId="57" xfId="2" applyNumberFormat="1" applyFont="1" applyBorder="1"/>
    <xf numFmtId="3" fontId="0" fillId="18" borderId="4" xfId="0" applyNumberFormat="1" applyFill="1" applyBorder="1"/>
    <xf numFmtId="0" fontId="48" fillId="29" borderId="0" xfId="0" applyFont="1" applyFill="1"/>
    <xf numFmtId="9" fontId="48" fillId="29" borderId="0" xfId="2" applyFont="1" applyFill="1"/>
    <xf numFmtId="0" fontId="49" fillId="29" borderId="0" xfId="0" applyFont="1" applyFill="1"/>
    <xf numFmtId="0" fontId="0" fillId="2" borderId="0" xfId="0" applyFill="1"/>
    <xf numFmtId="0" fontId="1" fillId="2" borderId="0" xfId="0" applyFont="1" applyFill="1"/>
    <xf numFmtId="0" fontId="42" fillId="0" borderId="0" xfId="0" applyFont="1"/>
    <xf numFmtId="0" fontId="50" fillId="0" borderId="0" xfId="0" applyFont="1"/>
    <xf numFmtId="0" fontId="19" fillId="17" borderId="0" xfId="0" applyFont="1" applyFill="1"/>
    <xf numFmtId="167" fontId="0" fillId="0" borderId="0" xfId="0" applyNumberFormat="1" applyFill="1" applyBorder="1"/>
    <xf numFmtId="167" fontId="1" fillId="0" borderId="0" xfId="0" applyNumberFormat="1" applyFont="1" applyFill="1" applyBorder="1"/>
    <xf numFmtId="0" fontId="51" fillId="0" borderId="12" xfId="0" applyFont="1" applyBorder="1"/>
    <xf numFmtId="1" fontId="0" fillId="0" borderId="3" xfId="0" applyNumberFormat="1" applyFill="1" applyBorder="1"/>
    <xf numFmtId="1" fontId="0" fillId="0" borderId="5" xfId="0" applyNumberFormat="1" applyFill="1" applyBorder="1"/>
    <xf numFmtId="1" fontId="0" fillId="0" borderId="4" xfId="0" applyNumberFormat="1" applyFill="1" applyBorder="1"/>
    <xf numFmtId="0" fontId="0" fillId="0" borderId="12" xfId="0" applyFont="1" applyFill="1" applyBorder="1"/>
    <xf numFmtId="0" fontId="0" fillId="0" borderId="0" xfId="0" applyFont="1" applyFill="1" applyBorder="1"/>
    <xf numFmtId="1" fontId="0" fillId="0" borderId="12" xfId="0" applyNumberFormat="1" applyFont="1" applyFill="1" applyBorder="1"/>
    <xf numFmtId="3" fontId="0" fillId="7" borderId="5" xfId="0" applyNumberFormat="1" applyFont="1" applyFill="1" applyBorder="1"/>
    <xf numFmtId="1" fontId="0" fillId="0" borderId="3" xfId="0" applyNumberFormat="1" applyFont="1" applyFill="1" applyBorder="1"/>
    <xf numFmtId="1" fontId="0" fillId="0" borderId="4" xfId="0" applyNumberFormat="1" applyFont="1" applyFill="1" applyBorder="1"/>
    <xf numFmtId="1" fontId="0" fillId="0" borderId="5" xfId="0" applyNumberFormat="1" applyFont="1" applyFill="1" applyBorder="1"/>
    <xf numFmtId="0" fontId="0" fillId="18" borderId="3" xfId="0" applyFont="1" applyFill="1" applyBorder="1"/>
    <xf numFmtId="0" fontId="0" fillId="18" borderId="4" xfId="0" applyFont="1" applyFill="1" applyBorder="1"/>
    <xf numFmtId="3" fontId="0" fillId="18" borderId="5" xfId="0" applyNumberFormat="1" applyFont="1" applyFill="1" applyBorder="1"/>
    <xf numFmtId="0" fontId="0" fillId="18" borderId="0" xfId="0" applyFont="1" applyFill="1"/>
    <xf numFmtId="0" fontId="0" fillId="7" borderId="9" xfId="0" applyFont="1" applyFill="1" applyBorder="1"/>
    <xf numFmtId="0" fontId="0" fillId="7" borderId="10" xfId="0" applyFont="1" applyFill="1" applyBorder="1"/>
    <xf numFmtId="0" fontId="0" fillId="7" borderId="11" xfId="0" applyFont="1" applyFill="1" applyBorder="1"/>
    <xf numFmtId="4" fontId="0" fillId="0" borderId="0" xfId="0" applyNumberFormat="1"/>
    <xf numFmtId="166" fontId="52" fillId="0" borderId="0" xfId="0" applyNumberFormat="1" applyFont="1"/>
    <xf numFmtId="0" fontId="52" fillId="0" borderId="0" xfId="0" applyFont="1"/>
    <xf numFmtId="1" fontId="52" fillId="0" borderId="0" xfId="0" applyNumberFormat="1" applyFont="1"/>
    <xf numFmtId="0" fontId="44" fillId="0" borderId="0" xfId="0" applyFont="1"/>
    <xf numFmtId="0" fontId="53" fillId="28" borderId="0" xfId="0" applyFont="1" applyFill="1"/>
    <xf numFmtId="1" fontId="35" fillId="0" borderId="0" xfId="0" applyNumberFormat="1" applyFont="1"/>
    <xf numFmtId="167" fontId="1" fillId="0" borderId="33" xfId="0" applyNumberFormat="1" applyFont="1" applyBorder="1"/>
    <xf numFmtId="167" fontId="0" fillId="0" borderId="58" xfId="0" applyNumberFormat="1" applyBorder="1"/>
    <xf numFmtId="171" fontId="1" fillId="0" borderId="0" xfId="2" applyNumberFormat="1" applyFont="1"/>
    <xf numFmtId="171" fontId="0" fillId="0" borderId="0" xfId="0" applyNumberFormat="1"/>
    <xf numFmtId="0" fontId="0" fillId="6" borderId="0" xfId="0" applyFill="1"/>
    <xf numFmtId="0" fontId="39" fillId="6" borderId="0" xfId="0" applyFont="1" applyFill="1"/>
    <xf numFmtId="0" fontId="1" fillId="6" borderId="0" xfId="0" applyFont="1" applyFill="1"/>
    <xf numFmtId="172" fontId="0" fillId="0" borderId="0" xfId="0" applyNumberFormat="1"/>
    <xf numFmtId="0" fontId="0" fillId="0" borderId="0" xfId="0" quotePrefix="1" applyBorder="1"/>
    <xf numFmtId="0" fontId="1" fillId="12" borderId="0" xfId="0" applyFont="1" applyFill="1"/>
    <xf numFmtId="3" fontId="19" fillId="0" borderId="0" xfId="0" applyNumberFormat="1" applyFont="1"/>
    <xf numFmtId="3" fontId="1" fillId="14" borderId="16" xfId="0" applyNumberFormat="1" applyFont="1" applyFill="1" applyBorder="1"/>
    <xf numFmtId="3" fontId="1" fillId="14" borderId="3" xfId="0" applyNumberFormat="1" applyFont="1" applyFill="1" applyBorder="1"/>
    <xf numFmtId="3" fontId="0" fillId="0" borderId="18" xfId="0" applyNumberFormat="1" applyFont="1" applyBorder="1"/>
    <xf numFmtId="3" fontId="0" fillId="0" borderId="19" xfId="0" applyNumberFormat="1" applyFont="1" applyBorder="1"/>
    <xf numFmtId="3" fontId="0" fillId="0" borderId="14" xfId="0" applyNumberFormat="1" applyFont="1" applyBorder="1"/>
    <xf numFmtId="3" fontId="0" fillId="0" borderId="36" xfId="0" applyNumberFormat="1" applyFont="1" applyBorder="1"/>
    <xf numFmtId="3" fontId="0" fillId="0" borderId="37" xfId="0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2" xfId="0" applyNumberFormat="1" applyFill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15" xfId="0" applyNumberFormat="1" applyBorder="1"/>
    <xf numFmtId="3" fontId="0" fillId="14" borderId="5" xfId="0" applyNumberFormat="1" applyFill="1" applyBorder="1"/>
    <xf numFmtId="3" fontId="0" fillId="14" borderId="0" xfId="0" applyNumberFormat="1" applyFill="1"/>
    <xf numFmtId="3" fontId="0" fillId="7" borderId="10" xfId="0" applyNumberFormat="1" applyFill="1" applyBorder="1"/>
    <xf numFmtId="3" fontId="0" fillId="7" borderId="9" xfId="0" applyNumberFormat="1" applyFill="1" applyBorder="1"/>
    <xf numFmtId="3" fontId="0" fillId="7" borderId="11" xfId="0" applyNumberFormat="1" applyFill="1" applyBorder="1"/>
    <xf numFmtId="3" fontId="0" fillId="7" borderId="6" xfId="0" applyNumberFormat="1" applyFill="1" applyBorder="1"/>
    <xf numFmtId="3" fontId="0" fillId="7" borderId="39" xfId="0" applyNumberFormat="1" applyFill="1" applyBorder="1"/>
    <xf numFmtId="3" fontId="0" fillId="7" borderId="8" xfId="0" applyNumberFormat="1" applyFill="1" applyBorder="1"/>
    <xf numFmtId="3" fontId="1" fillId="0" borderId="38" xfId="0" applyNumberFormat="1" applyFont="1" applyBorder="1"/>
    <xf numFmtId="3" fontId="1" fillId="0" borderId="16" xfId="0" applyNumberFormat="1" applyFont="1" applyBorder="1"/>
    <xf numFmtId="3" fontId="1" fillId="0" borderId="19" xfId="0" applyNumberFormat="1" applyFont="1" applyBorder="1"/>
    <xf numFmtId="3" fontId="4" fillId="0" borderId="12" xfId="0" applyNumberFormat="1" applyFont="1" applyBorder="1"/>
    <xf numFmtId="3" fontId="4" fillId="0" borderId="0" xfId="0" applyNumberFormat="1" applyFont="1"/>
    <xf numFmtId="3" fontId="47" fillId="0" borderId="13" xfId="0" applyNumberFormat="1" applyFont="1" applyBorder="1"/>
    <xf numFmtId="3" fontId="4" fillId="0" borderId="0" xfId="0" applyNumberFormat="1" applyFont="1" applyBorder="1"/>
    <xf numFmtId="3" fontId="47" fillId="0" borderId="0" xfId="0" applyNumberFormat="1" applyFont="1" applyBorder="1"/>
    <xf numFmtId="3" fontId="0" fillId="2" borderId="3" xfId="0" applyNumberFormat="1" applyFill="1" applyBorder="1"/>
    <xf numFmtId="3" fontId="0" fillId="2" borderId="4" xfId="0" applyNumberFormat="1" applyFill="1" applyBorder="1"/>
    <xf numFmtId="3" fontId="0" fillId="2" borderId="5" xfId="0" applyNumberFormat="1" applyFill="1" applyBorder="1"/>
    <xf numFmtId="3" fontId="0" fillId="3" borderId="0" xfId="0" applyNumberFormat="1" applyFill="1"/>
    <xf numFmtId="3" fontId="4" fillId="0" borderId="13" xfId="0" applyNumberFormat="1" applyFont="1" applyBorder="1"/>
    <xf numFmtId="3" fontId="0" fillId="19" borderId="3" xfId="0" applyNumberFormat="1" applyFill="1" applyBorder="1"/>
    <xf numFmtId="3" fontId="0" fillId="19" borderId="4" xfId="0" applyNumberFormat="1" applyFill="1" applyBorder="1"/>
    <xf numFmtId="3" fontId="0" fillId="19" borderId="5" xfId="0" applyNumberFormat="1" applyFill="1" applyBorder="1"/>
    <xf numFmtId="3" fontId="1" fillId="19" borderId="5" xfId="0" applyNumberFormat="1" applyFont="1" applyFill="1" applyBorder="1"/>
    <xf numFmtId="3" fontId="0" fillId="18" borderId="3" xfId="0" applyNumberFormat="1" applyFill="1" applyBorder="1"/>
    <xf numFmtId="3" fontId="0" fillId="18" borderId="5" xfId="0" applyNumberFormat="1" applyFill="1" applyBorder="1"/>
    <xf numFmtId="3" fontId="1" fillId="18" borderId="5" xfId="0" applyNumberFormat="1" applyFont="1" applyFill="1" applyBorder="1"/>
    <xf numFmtId="3" fontId="1" fillId="0" borderId="13" xfId="0" applyNumberFormat="1" applyFont="1" applyFill="1" applyBorder="1"/>
    <xf numFmtId="0" fontId="3" fillId="0" borderId="0" xfId="0" quotePrefix="1" applyFont="1"/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0" fillId="4" borderId="41" xfId="0" applyFont="1" applyFill="1" applyBorder="1" applyAlignment="1">
      <alignment horizontal="center"/>
    </xf>
    <xf numFmtId="0" fontId="0" fillId="4" borderId="35" xfId="0" applyFont="1" applyFill="1" applyBorder="1" applyAlignment="1">
      <alignment horizontal="center"/>
    </xf>
    <xf numFmtId="0" fontId="0" fillId="4" borderId="44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5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B-497D-8D55-82D31032101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3B-497D-8D55-82D310321012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B-497D-8D55-82D31032101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1-4EB7-9710-2B19607EF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'Bilan carbone ACV 2023'!$C$39:$C$42</c:f>
              <c:strCache>
                <c:ptCount val="4"/>
                <c:pt idx="0">
                  <c:v>Chaleur des bâtiments</c:v>
                </c:pt>
                <c:pt idx="1">
                  <c:v>Electricité</c:v>
                </c:pt>
                <c:pt idx="2">
                  <c:v>Déplacement pro</c:v>
                </c:pt>
                <c:pt idx="3">
                  <c:v>Agriculture</c:v>
                </c:pt>
              </c:strCache>
            </c:strRef>
          </c:cat>
          <c:val>
            <c:numRef>
              <c:f>'Bilan carbone ACV 2023'!$E$39:$E$42</c:f>
              <c:numCache>
                <c:formatCode>0%</c:formatCode>
                <c:ptCount val="4"/>
                <c:pt idx="0">
                  <c:v>0.52632127861347733</c:v>
                </c:pt>
                <c:pt idx="1">
                  <c:v>0.14845813748732578</c:v>
                </c:pt>
                <c:pt idx="2">
                  <c:v>0.21690969260608298</c:v>
                </c:pt>
                <c:pt idx="3">
                  <c:v>0.10831089129311394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B-497D-8D55-82D31032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Emissions</a:t>
            </a:r>
            <a:r>
              <a:rPr lang="fr-CH" baseline="0"/>
              <a:t> de GES de l'ACV - Agriculture [tCo2-eq]  - 2023</a:t>
            </a:r>
            <a:endParaRPr lang="fr-CH"/>
          </a:p>
        </c:rich>
      </c:tx>
      <c:layout>
        <c:manualLayout>
          <c:xMode val="edge"/>
          <c:yMode val="edge"/>
          <c:x val="0.10184830957739384"/>
          <c:y val="3.8877915068709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CH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1-41B4-9B1D-B3C60C2401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1-41B4-9B1D-B3C60C2401A7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C1-41B4-9B1D-B3C60C2401A7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'Agriculture - Calcul'!$AB$8:$AD$8</c:f>
              <c:strCache>
                <c:ptCount val="3"/>
                <c:pt idx="0">
                  <c:v>EPO</c:v>
                </c:pt>
                <c:pt idx="1">
                  <c:v>Marcellin</c:v>
                </c:pt>
                <c:pt idx="2">
                  <c:v>Granges-Verney</c:v>
                </c:pt>
              </c:strCache>
            </c:strRef>
          </c:cat>
          <c:val>
            <c:numRef>
              <c:f>'Agriculture - Calcul'!$AA$50:$AC$50</c:f>
              <c:numCache>
                <c:formatCode>0.00</c:formatCode>
                <c:ptCount val="3"/>
                <c:pt idx="0">
                  <c:v>1682.4990102955969</c:v>
                </c:pt>
                <c:pt idx="1">
                  <c:v>22.183571189837352</c:v>
                </c:pt>
                <c:pt idx="2">
                  <c:v>390.51373654670141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2-4FD5-8D28-DC4495CE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53602</xdr:colOff>
      <xdr:row>38</xdr:row>
      <xdr:rowOff>1120</xdr:rowOff>
    </xdr:from>
    <xdr:to>
      <xdr:col>13</xdr:col>
      <xdr:colOff>180042</xdr:colOff>
      <xdr:row>53</xdr:row>
      <xdr:rowOff>58083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B2F3758-28E2-3FBE-F0CE-88D064011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487929</xdr:colOff>
      <xdr:row>115</xdr:row>
      <xdr:rowOff>0</xdr:rowOff>
    </xdr:from>
    <xdr:to>
      <xdr:col>3</xdr:col>
      <xdr:colOff>1241650</xdr:colOff>
      <xdr:row>115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C832623-52A0-1957-13DD-FAE0349B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af6\Desktop\bilan_carbone_territoire_2023_v2_TT.xlsx" TargetMode="External"/><Relationship Id="rId1" Type="http://schemas.openxmlformats.org/officeDocument/2006/relationships/externalLinkPath" Target="file:///C:\Users\firaf6\Desktop\bilan_carbone_territoire_2023_v2_T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_30_OCDC\12_Cercle_Climat\22_Pilotage-mandats\2024_EA_OnTrack_Verification_territoire\OCDC_R&#233;sum&#233;%20revue%20Outil_2024-08-05_extract.xlsx" TargetMode="External"/><Relationship Id="rId1" Type="http://schemas.openxmlformats.org/officeDocument/2006/relationships/externalLinkPath" Target="/2_30_OCDC/12_Cercle_Climat/22_Pilotage-mandats/2024_EA_OnTrack_Verification_territoire/OCDC_R&#233;sum&#233;%20revue%20Outil_2024-08-05_extr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vision TT"/>
      <sheetName val="Resultat 2023"/>
      <sheetName val="Evolution 1990 - 2023"/>
      <sheetName val="Secteur ----&gt;"/>
      <sheetName val="Transport - Emissions"/>
      <sheetName val="Transport - Calcul"/>
      <sheetName val="Transport - Calcul 2"/>
      <sheetName val="Chaleur du batiment - Emissions"/>
      <sheetName val="Chaleur du bâtiment - Calcul"/>
      <sheetName val="Electricite - Emissions"/>
      <sheetName val="Electricité - Calcul"/>
      <sheetName val="Industrie - Emissions"/>
      <sheetName val="Industrie - Calcul"/>
      <sheetName val="Déchets - Emissions"/>
      <sheetName val="Déchets - Calcul"/>
      <sheetName val="Gaz synth. - Emissions"/>
      <sheetName val="Gaz synth. - Calcul"/>
      <sheetName val="Agriculture - Emissions"/>
      <sheetName val="Agriculture - Calcul"/>
      <sheetName val="Consommation - Emissions"/>
      <sheetName val="Consommation - Calcul"/>
      <sheetName val="Forêt et sols - Emissions"/>
      <sheetName val="Calcul - Forêt et sols"/>
      <sheetName val="Constantes"/>
      <sheetName val="Facteurs d'émissions"/>
      <sheetName val="PRG100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H9">
            <v>277777.777777777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C7">
            <v>583625</v>
          </cell>
          <cell r="D7">
            <v>773804</v>
          </cell>
          <cell r="E7">
            <v>806088</v>
          </cell>
          <cell r="F7">
            <v>846303</v>
          </cell>
        </row>
        <row r="8">
          <cell r="C8">
            <v>6750693</v>
          </cell>
          <cell r="D8">
            <v>8327126</v>
          </cell>
          <cell r="E8">
            <v>8606033</v>
          </cell>
        </row>
      </sheetData>
      <sheetData sheetId="24"/>
      <sheetData sheetId="25">
        <row r="7">
          <cell r="D7">
            <v>28</v>
          </cell>
        </row>
        <row r="8">
          <cell r="D8">
            <v>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ifs majeures"/>
      <sheetName val="Modifs mineures"/>
      <sheetName val="Listes"/>
      <sheetName val="OCDC_Résumé revue Outil_2024-08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668751-BAC1-4A9E-92B0-F57209A5CE53}" name="Inventaire" displayName="Inventaire" ref="B9:I44" totalsRowShown="0" headerRowDxfId="4">
  <autoFilter ref="B9:I44" xr:uid="{47668751-BAC1-4A9E-92B0-F57209A5CE53}"/>
  <sortState xmlns:xlrd2="http://schemas.microsoft.com/office/spreadsheetml/2017/richdata2" ref="B10:H43">
    <sortCondition ref="B2:B35"/>
    <sortCondition descending="1" ref="E2:E35"/>
  </sortState>
  <tableColumns count="8">
    <tableColumn id="13" xr3:uid="{D67F7CF3-43F4-4839-B251-07D612A268E6}" name="Entité" dataDxfId="3"/>
    <tableColumn id="15" xr3:uid="{06255806-9D87-4D30-B202-4014AD28FC4E}" name="Sous-catégorie bilan CO2" dataDxfId="2"/>
    <tableColumn id="16" xr3:uid="{7720201C-B447-420C-BE13-4F9FC3B558AC}" name="Quantité 2020" dataDxfId="1"/>
    <tableColumn id="1" xr3:uid="{CEF7ABF6-2452-4DAE-8BE1-4FEAD569513F}" name="Quantité 2024"/>
    <tableColumn id="3" xr3:uid="{72E9C7C3-4BEB-4621-AA8F-960480C3A51F}" name="Facteur d'émissions, kg CO2 eq."/>
    <tableColumn id="4" xr3:uid="{7980FA34-EB82-41DA-AF06-4F82FABFAF39}" name="Durée de vie, an"/>
    <tableColumn id="5" xr3:uid="{85F24909-97C8-439B-9287-76CFC6A5916F}" name="2024, t CO2 eq."/>
    <tableColumn id="2" xr3:uid="{5479657A-FBA7-4F10-89DD-1F7833C71F27}" name="2020, tCo2eq" dataDxfId="0">
      <calculatedColumnFormula>Inventaire[[#This Row],[2024, t CO2 eq.]]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7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A3A0-BEC7-48A6-AAB1-FC2820562B52}">
  <sheetPr codeName="Feuil1"/>
  <dimension ref="B2:AM45"/>
  <sheetViews>
    <sheetView tabSelected="1" zoomScale="85" zoomScaleNormal="85" workbookViewId="0">
      <selection activeCell="B18" sqref="B18:B25"/>
    </sheetView>
  </sheetViews>
  <sheetFormatPr baseColWidth="10" defaultRowHeight="14.5" x14ac:dyDescent="0.35"/>
  <cols>
    <col min="1" max="1" width="3" customWidth="1"/>
    <col min="2" max="2" width="34.54296875" customWidth="1"/>
    <col min="3" max="3" width="39.81640625" style="200" customWidth="1"/>
    <col min="20" max="20" width="5" customWidth="1"/>
  </cols>
  <sheetData>
    <row r="2" spans="2:25" s="5" customFormat="1" ht="28.5" x14ac:dyDescent="0.65">
      <c r="B2" s="222" t="s">
        <v>252</v>
      </c>
      <c r="C2" s="223"/>
    </row>
    <row r="4" spans="2:25" x14ac:dyDescent="0.35">
      <c r="D4" s="574" t="s">
        <v>523</v>
      </c>
      <c r="E4" s="575"/>
      <c r="F4" s="575"/>
      <c r="G4" s="575"/>
      <c r="H4" s="574" t="s">
        <v>520</v>
      </c>
      <c r="I4" s="575"/>
      <c r="J4" s="575"/>
      <c r="K4" s="576"/>
      <c r="L4" s="574" t="s">
        <v>521</v>
      </c>
      <c r="M4" s="575"/>
      <c r="N4" s="575"/>
      <c r="O4" s="576"/>
      <c r="P4" s="574" t="s">
        <v>548</v>
      </c>
      <c r="Q4" s="575"/>
      <c r="R4" s="575"/>
      <c r="S4" s="575"/>
      <c r="T4" s="15"/>
      <c r="U4" s="570" t="s">
        <v>557</v>
      </c>
      <c r="V4" s="571"/>
      <c r="W4" s="571"/>
      <c r="X4" s="572"/>
    </row>
    <row r="5" spans="2:25" ht="15" thickBot="1" x14ac:dyDescent="0.4">
      <c r="B5" s="445" t="s">
        <v>247</v>
      </c>
      <c r="C5" s="230" t="s">
        <v>246</v>
      </c>
      <c r="D5" s="227" t="s">
        <v>55</v>
      </c>
      <c r="E5" s="228" t="s">
        <v>18</v>
      </c>
      <c r="F5" s="228" t="s">
        <v>59</v>
      </c>
      <c r="G5" s="228" t="s">
        <v>19</v>
      </c>
      <c r="H5" s="227" t="s">
        <v>55</v>
      </c>
      <c r="I5" s="228" t="s">
        <v>18</v>
      </c>
      <c r="J5" s="228" t="s">
        <v>59</v>
      </c>
      <c r="K5" s="228" t="s">
        <v>19</v>
      </c>
      <c r="L5" s="227" t="s">
        <v>55</v>
      </c>
      <c r="M5" s="228" t="s">
        <v>18</v>
      </c>
      <c r="N5" s="228" t="s">
        <v>59</v>
      </c>
      <c r="O5" s="229" t="s">
        <v>19</v>
      </c>
      <c r="P5" s="227" t="s">
        <v>55</v>
      </c>
      <c r="Q5" s="228" t="s">
        <v>18</v>
      </c>
      <c r="R5" s="228" t="s">
        <v>59</v>
      </c>
      <c r="S5" s="228" t="s">
        <v>19</v>
      </c>
      <c r="T5" s="15"/>
      <c r="U5" s="456" t="s">
        <v>558</v>
      </c>
      <c r="V5" s="457" t="s">
        <v>559</v>
      </c>
      <c r="W5" s="458" t="s">
        <v>560</v>
      </c>
      <c r="X5" s="458" t="s">
        <v>71</v>
      </c>
    </row>
    <row r="6" spans="2:25" ht="15" thickTop="1" x14ac:dyDescent="0.35">
      <c r="B6" s="577" t="s">
        <v>251</v>
      </c>
      <c r="C6" s="200" t="str">
        <f>'Chaleur du bâtiment - Emission'!C8</f>
        <v xml:space="preserve">Chaudières à énergie fossile
</v>
      </c>
      <c r="D6" s="233">
        <f>'Chaleur du bâtiment - Emission'!G10</f>
        <v>7761.3389520663914</v>
      </c>
      <c r="E6" s="115">
        <f>'Chaleur du bâtiment - Emission'!H10</f>
        <v>0</v>
      </c>
      <c r="F6" s="297">
        <f>'Chaleur du bâtiment - Emission'!I10</f>
        <v>0</v>
      </c>
      <c r="G6" s="297">
        <f>'Chaleur du bâtiment - Emission'!J10</f>
        <v>7761.3389520663914</v>
      </c>
      <c r="H6" s="233">
        <f>'Chaleur du bâtiment - Emission'!K10</f>
        <v>0</v>
      </c>
      <c r="I6" s="297">
        <f>'Chaleur du bâtiment - Emission'!L10</f>
        <v>0</v>
      </c>
      <c r="J6" s="297">
        <f>'Chaleur du bâtiment - Emission'!M10</f>
        <v>0</v>
      </c>
      <c r="K6" s="297">
        <f>'Chaleur du bâtiment - Emission'!N10</f>
        <v>0</v>
      </c>
      <c r="L6" s="233">
        <f>'Chaleur du bâtiment - Emission'!O10</f>
        <v>1318.2994728316676</v>
      </c>
      <c r="M6" s="297">
        <f>'Chaleur du bâtiment - Emission'!P10</f>
        <v>0</v>
      </c>
      <c r="N6" s="115">
        <f>'Chaleur du bâtiment - Emission'!Q10</f>
        <v>0</v>
      </c>
      <c r="O6" s="296">
        <f>'Chaleur du bâtiment - Emission'!R10</f>
        <v>1318.2994728316676</v>
      </c>
      <c r="P6" s="233">
        <f>'Chaleur du bâtiment - Emission'!S10</f>
        <v>9079.6384248980594</v>
      </c>
      <c r="Q6" s="82">
        <f>'Chaleur du bâtiment - Emission'!T10</f>
        <v>0</v>
      </c>
      <c r="R6" s="82">
        <f>'Chaleur du bâtiment - Emission'!U10</f>
        <v>0</v>
      </c>
      <c r="S6" s="82">
        <f>'Chaleur du bâtiment - Emission'!V10</f>
        <v>9079.6384248980594</v>
      </c>
      <c r="T6" s="15"/>
      <c r="U6" s="459">
        <f t="shared" ref="U6:U28" ca="1" si="0">G6/$G$34</f>
        <v>0.56408612712218975</v>
      </c>
      <c r="V6" s="460">
        <f t="shared" ref="V6:V34" si="1">K6/$K$34</f>
        <v>0</v>
      </c>
      <c r="W6" s="459">
        <f>O6/$O$34</f>
        <v>1.4967270505989566E-2</v>
      </c>
      <c r="X6" s="479">
        <f t="shared" ref="X6:X28" ca="1" si="2">S6/$S$34</f>
        <v>8.5238606049365034E-2</v>
      </c>
    </row>
    <row r="7" spans="2:25" x14ac:dyDescent="0.35">
      <c r="B7" s="578"/>
      <c r="C7" s="200" t="str">
        <f>'Chaleur du bâtiment - Emission'!C11</f>
        <v>Autres types de chauffages</v>
      </c>
      <c r="D7" s="231">
        <f>'Chaleur du bâtiment - Emission'!G17</f>
        <v>0</v>
      </c>
      <c r="E7" s="82">
        <f>'Chaleur du bâtiment - Emission'!H17</f>
        <v>0</v>
      </c>
      <c r="F7" s="82">
        <f>'Chaleur du bâtiment - Emission'!I17</f>
        <v>0</v>
      </c>
      <c r="G7" s="82">
        <f>'Chaleur du bâtiment - Emission'!J17</f>
        <v>0</v>
      </c>
      <c r="H7" s="231">
        <f>'Chaleur du bâtiment - Emission'!K17</f>
        <v>1944.7848247990164</v>
      </c>
      <c r="I7" s="82">
        <f>'Chaleur du bâtiment - Emission'!L17</f>
        <v>0</v>
      </c>
      <c r="J7" s="82">
        <f>'Chaleur du bâtiment - Emission'!M17</f>
        <v>0</v>
      </c>
      <c r="K7" s="82">
        <f>'Chaleur du bâtiment - Emission'!N17</f>
        <v>1944.7848247990164</v>
      </c>
      <c r="L7" s="231">
        <f>'Chaleur du bâtiment - Emission'!O17</f>
        <v>416.06002989014848</v>
      </c>
      <c r="M7" s="82">
        <f>'Chaleur du bâtiment - Emission'!P17</f>
        <v>0</v>
      </c>
      <c r="N7" s="82">
        <f>'Chaleur du bâtiment - Emission'!Q17</f>
        <v>0</v>
      </c>
      <c r="O7" s="82">
        <f>'Chaleur du bâtiment - Emission'!R17</f>
        <v>416.06002989014848</v>
      </c>
      <c r="P7" s="231">
        <f>'Chaleur du bâtiment - Emission'!S17</f>
        <v>2360.8448546891655</v>
      </c>
      <c r="Q7" s="82">
        <f>'Chaleur du bâtiment - Emission'!T17</f>
        <v>0</v>
      </c>
      <c r="R7" s="82">
        <f>'Chaleur du bâtiment - Emission'!U17</f>
        <v>0</v>
      </c>
      <c r="S7" s="82">
        <f>'Chaleur du bâtiment - Emission'!V17</f>
        <v>2360.8448546891655</v>
      </c>
      <c r="T7" s="15"/>
      <c r="U7" s="461">
        <f t="shared" ca="1" si="0"/>
        <v>0</v>
      </c>
      <c r="V7" s="462">
        <f t="shared" si="1"/>
        <v>0.41532449845871056</v>
      </c>
      <c r="W7" s="478">
        <f t="shared" ref="W7:W28" si="3">O7/$O$34</f>
        <v>4.723724117646759E-3</v>
      </c>
      <c r="X7" s="478">
        <f t="shared" ca="1" si="2"/>
        <v>2.2163341214193732E-2</v>
      </c>
    </row>
    <row r="8" spans="2:25" x14ac:dyDescent="0.35">
      <c r="B8" s="578"/>
      <c r="C8" s="200" t="s">
        <v>320</v>
      </c>
      <c r="D8" s="231">
        <f>'Electricité - Emissions '!G12</f>
        <v>0</v>
      </c>
      <c r="E8" s="82">
        <f>'Electricité - Emissions '!H12</f>
        <v>0</v>
      </c>
      <c r="F8" s="82">
        <f>'Electricité - Emissions '!I12</f>
        <v>0</v>
      </c>
      <c r="G8" s="82">
        <f>'Electricité - Emissions '!J12</f>
        <v>0</v>
      </c>
      <c r="H8" s="231">
        <f>'Electricité - Emissions '!K12</f>
        <v>2737.7822571241727</v>
      </c>
      <c r="I8" s="82">
        <f>'Electricité - Emissions '!L12</f>
        <v>0</v>
      </c>
      <c r="J8" s="82">
        <f>'Electricité - Emissions '!M12</f>
        <v>0</v>
      </c>
      <c r="K8" s="82">
        <f>'Electricité - Emissions '!N12</f>
        <v>2737.7822571241727</v>
      </c>
      <c r="L8" s="231">
        <f>'Electricité - Emissions '!O12</f>
        <v>1433.6367830654726</v>
      </c>
      <c r="M8" s="82">
        <f>'Electricité - Emissions '!P12</f>
        <v>0</v>
      </c>
      <c r="N8" s="82">
        <f>'Electricité - Emissions '!Q12</f>
        <v>0</v>
      </c>
      <c r="O8" s="82">
        <f>'Electricité - Emissions '!R12</f>
        <v>1433.6367830654726</v>
      </c>
      <c r="P8" s="231">
        <f>'Electricité - Emissions '!S12</f>
        <v>4171.4190401896449</v>
      </c>
      <c r="Q8" s="82">
        <f>'Electricité - Emissions '!T12</f>
        <v>0</v>
      </c>
      <c r="R8" s="82">
        <f>'Electricité - Emissions '!U12</f>
        <v>0</v>
      </c>
      <c r="S8" s="82">
        <f>'Electricité - Emissions '!V12</f>
        <v>4171.4190401896449</v>
      </c>
      <c r="T8" s="15"/>
      <c r="U8" s="461">
        <f t="shared" ca="1" si="0"/>
        <v>0</v>
      </c>
      <c r="V8" s="462">
        <f t="shared" si="1"/>
        <v>0.58467550154128944</v>
      </c>
      <c r="W8" s="463">
        <f t="shared" si="3"/>
        <v>1.6276748934282183E-2</v>
      </c>
      <c r="X8" s="463">
        <f t="shared" ca="1" si="2"/>
        <v>3.9160804383852721E-2</v>
      </c>
    </row>
    <row r="9" spans="2:25" x14ac:dyDescent="0.35">
      <c r="B9" s="446"/>
      <c r="C9" s="224" t="s">
        <v>23</v>
      </c>
      <c r="D9" s="232">
        <f>SUM(D6:D8)</f>
        <v>7761.3389520663914</v>
      </c>
      <c r="E9" s="226">
        <f t="shared" ref="E9:R9" si="4">SUM(E6:E8)</f>
        <v>0</v>
      </c>
      <c r="F9" s="226">
        <f t="shared" si="4"/>
        <v>0</v>
      </c>
      <c r="G9" s="226">
        <f t="shared" si="4"/>
        <v>7761.3389520663914</v>
      </c>
      <c r="H9" s="232">
        <f>SUM(H6:H8)</f>
        <v>4682.5670819231891</v>
      </c>
      <c r="I9" s="261">
        <f t="shared" ref="I9:K9" si="5">SUM(I6:I8)</f>
        <v>0</v>
      </c>
      <c r="J9" s="261">
        <f t="shared" si="5"/>
        <v>0</v>
      </c>
      <c r="K9" s="260">
        <f t="shared" si="5"/>
        <v>4682.5670819231891</v>
      </c>
      <c r="L9" s="232">
        <f t="shared" si="4"/>
        <v>3167.9962857872888</v>
      </c>
      <c r="M9" s="226">
        <f t="shared" si="4"/>
        <v>0</v>
      </c>
      <c r="N9" s="226">
        <f t="shared" si="4"/>
        <v>0</v>
      </c>
      <c r="O9" s="226">
        <f t="shared" si="4"/>
        <v>3167.9962857872888</v>
      </c>
      <c r="P9" s="232">
        <f t="shared" si="4"/>
        <v>15611.902319776869</v>
      </c>
      <c r="Q9" s="226">
        <f t="shared" si="4"/>
        <v>0</v>
      </c>
      <c r="R9" s="226">
        <f t="shared" si="4"/>
        <v>0</v>
      </c>
      <c r="S9" s="260">
        <f>SUM(S6:S8)</f>
        <v>15611.902319776869</v>
      </c>
      <c r="T9" s="15"/>
      <c r="U9" s="464">
        <f t="shared" ca="1" si="0"/>
        <v>0.56408612712218975</v>
      </c>
      <c r="V9" s="465">
        <f t="shared" si="1"/>
        <v>1</v>
      </c>
      <c r="W9" s="466">
        <f t="shared" si="3"/>
        <v>3.5967743557918513E-2</v>
      </c>
      <c r="X9" s="466">
        <f t="shared" ca="1" si="2"/>
        <v>0.14656275164741148</v>
      </c>
      <c r="Y9" s="569" t="s">
        <v>624</v>
      </c>
    </row>
    <row r="10" spans="2:25" x14ac:dyDescent="0.35">
      <c r="B10" s="578" t="s">
        <v>253</v>
      </c>
      <c r="C10" s="200" t="s">
        <v>524</v>
      </c>
      <c r="D10" s="231">
        <f>'Mobilité pro.- Emissions'!G12+'Mobilité pro.- Emissions'!G13</f>
        <v>4000.1276983950497</v>
      </c>
      <c r="E10" s="115">
        <f>'Mobilité pro.- Emissions'!H12+'Mobilité pro.- Emissions'!H13</f>
        <v>0</v>
      </c>
      <c r="F10" s="115">
        <f>'Mobilité pro.- Emissions'!I12+'Mobilité pro.- Emissions'!I13</f>
        <v>0</v>
      </c>
      <c r="G10" s="335">
        <f>'Mobilité pro.- Emissions'!J12+'Mobilité pro.- Emissions'!J13</f>
        <v>4000.1276983950497</v>
      </c>
      <c r="H10" s="231">
        <f>'Mobilité pro.- Emissions'!K12+'Mobilité pro.- Emissions'!K13</f>
        <v>0</v>
      </c>
      <c r="I10" s="115">
        <f>'Mobilité pro.- Emissions'!L12+'Mobilité pro.- Emissions'!L13</f>
        <v>0</v>
      </c>
      <c r="J10" s="115">
        <f>'Mobilité pro.- Emissions'!M12+'Mobilité pro.- Emissions'!M13</f>
        <v>0</v>
      </c>
      <c r="K10" s="335">
        <f>'Mobilité pro.- Emissions'!N12+'Mobilité pro.- Emissions'!N13</f>
        <v>0</v>
      </c>
      <c r="L10" s="231">
        <f>'Mobilité pro.- Emissions'!O12+'Mobilité pro.- Emissions'!O13</f>
        <v>1315.7897258458518</v>
      </c>
      <c r="M10" s="115">
        <f>'Mobilité pro.- Emissions'!P12+'Mobilité pro.- Emissions'!P13</f>
        <v>0</v>
      </c>
      <c r="N10" s="115">
        <f>'Mobilité pro.- Emissions'!Q12+'Mobilité pro.- Emissions'!Q13</f>
        <v>0</v>
      </c>
      <c r="O10" s="335">
        <f>'Mobilité pro.- Emissions'!R12+'Mobilité pro.- Emissions'!R13</f>
        <v>1315.7897258458518</v>
      </c>
      <c r="P10" s="231">
        <f>'Mobilité pro.- Emissions'!S12+'Mobilité pro.- Emissions'!S13</f>
        <v>5315.9174242409008</v>
      </c>
      <c r="Q10" s="115">
        <f>'Mobilité pro.- Emissions'!T12+'Mobilité pro.- Emissions'!T13</f>
        <v>0</v>
      </c>
      <c r="R10" s="115">
        <f>'Mobilité pro.- Emissions'!U12+'Mobilité pro.- Emissions'!U13</f>
        <v>0</v>
      </c>
      <c r="S10" s="335">
        <f>'Mobilité pro.- Emissions'!V12+'Mobilité pro.- Emissions'!V13</f>
        <v>5315.9174242409008</v>
      </c>
      <c r="T10" s="15"/>
      <c r="U10" s="461">
        <f t="shared" ca="1" si="0"/>
        <v>0.29072516421681471</v>
      </c>
      <c r="V10" s="462">
        <f t="shared" si="1"/>
        <v>0</v>
      </c>
      <c r="W10" s="463">
        <f t="shared" si="3"/>
        <v>1.493877617460854E-2</v>
      </c>
      <c r="X10" s="463">
        <f t="shared" ca="1" si="2"/>
        <v>4.9905224185280574E-2</v>
      </c>
    </row>
    <row r="11" spans="2:25" x14ac:dyDescent="0.35">
      <c r="B11" s="578"/>
      <c r="C11" s="409" t="s">
        <v>519</v>
      </c>
      <c r="D11" s="399">
        <f>'Mobilité pro.- Emissions'!G14</f>
        <v>0</v>
      </c>
      <c r="E11" s="107">
        <f>'Mobilité pro.- Emissions'!H14</f>
        <v>0</v>
      </c>
      <c r="F11" s="115">
        <f>'Mobilité pro.- Emissions'!I14</f>
        <v>0</v>
      </c>
      <c r="G11" s="115">
        <f>'Mobilité pro.- Emissions'!J14</f>
        <v>0</v>
      </c>
      <c r="H11" s="231">
        <f>'Mobilité pro.- Emissions'!K14</f>
        <v>0</v>
      </c>
      <c r="I11" s="115">
        <f>'Mobilité pro.- Emissions'!L14</f>
        <v>0</v>
      </c>
      <c r="J11" s="115">
        <f>'Mobilité pro.- Emissions'!M14</f>
        <v>0</v>
      </c>
      <c r="K11" s="115">
        <f>'Mobilité pro.- Emissions'!N14</f>
        <v>0</v>
      </c>
      <c r="L11" s="231">
        <f>'Mobilité pro.- Emissions'!O14</f>
        <v>2084.9816313036249</v>
      </c>
      <c r="M11" s="115">
        <f>'Mobilité pro.- Emissions'!P14</f>
        <v>0</v>
      </c>
      <c r="N11" s="115">
        <f>'Mobilité pro.- Emissions'!Q14</f>
        <v>0</v>
      </c>
      <c r="O11" s="115">
        <f>'Mobilité pro.- Emissions'!R14</f>
        <v>2084.9816313036249</v>
      </c>
      <c r="P11" s="231">
        <f>'Mobilité pro.- Emissions'!S14</f>
        <v>2084.9816313036249</v>
      </c>
      <c r="Q11" s="115">
        <f>'Mobilité pro.- Emissions'!T14</f>
        <v>0</v>
      </c>
      <c r="R11" s="115">
        <f>'Mobilité pro.- Emissions'!U14</f>
        <v>0</v>
      </c>
      <c r="S11" s="115">
        <f>'Mobilité pro.- Emissions'!V14</f>
        <v>2084.9816313036249</v>
      </c>
      <c r="T11" s="15"/>
      <c r="U11" s="461">
        <f t="shared" ca="1" si="0"/>
        <v>0</v>
      </c>
      <c r="V11" s="462">
        <f t="shared" si="1"/>
        <v>0</v>
      </c>
      <c r="W11" s="463">
        <f t="shared" si="3"/>
        <v>2.3671771641317712E-2</v>
      </c>
      <c r="X11" s="463">
        <f t="shared" ca="1" si="2"/>
        <v>1.9573568855287042E-2</v>
      </c>
    </row>
    <row r="12" spans="2:25" x14ac:dyDescent="0.35">
      <c r="B12" s="578"/>
      <c r="C12" s="200" t="s">
        <v>296</v>
      </c>
      <c r="D12" s="231">
        <f>'Mobilité pro.- Emissions'!G15</f>
        <v>0.26238930390548248</v>
      </c>
      <c r="E12" s="115">
        <f>'Mobilité pro.- Emissions'!H15</f>
        <v>0</v>
      </c>
      <c r="F12" s="115">
        <f>'Mobilité pro.- Emissions'!I15</f>
        <v>0</v>
      </c>
      <c r="G12" s="115">
        <f>'Mobilité pro.- Emissions'!J15</f>
        <v>0.26238930390548248</v>
      </c>
      <c r="H12" s="231">
        <f>'Mobilité pro.- Emissions'!K15</f>
        <v>0</v>
      </c>
      <c r="I12" s="115">
        <f>'Mobilité pro.- Emissions'!L15</f>
        <v>0</v>
      </c>
      <c r="J12" s="115">
        <f>'Mobilité pro.- Emissions'!M15</f>
        <v>0</v>
      </c>
      <c r="K12" s="115">
        <f>'Mobilité pro.- Emissions'!N15</f>
        <v>0</v>
      </c>
      <c r="L12" s="231">
        <f>'Mobilité pro.- Emissions'!O15</f>
        <v>35.564527896363131</v>
      </c>
      <c r="M12" s="115">
        <f>'Mobilité pro.- Emissions'!P15</f>
        <v>0</v>
      </c>
      <c r="N12" s="115">
        <f>'Mobilité pro.- Emissions'!Q15</f>
        <v>0</v>
      </c>
      <c r="O12" s="115">
        <f>'Mobilité pro.- Emissions'!R15</f>
        <v>35.564527896363131</v>
      </c>
      <c r="P12" s="231">
        <f>'Mobilité pro.- Emissions'!S15</f>
        <v>35.564527896363131</v>
      </c>
      <c r="Q12" s="115">
        <f>'Mobilité pro.- Emissions'!T15</f>
        <v>0</v>
      </c>
      <c r="R12" s="115">
        <f>'Mobilité pro.- Emissions'!U15</f>
        <v>0</v>
      </c>
      <c r="S12" s="115">
        <f>'Mobilité pro.- Emissions'!V15</f>
        <v>35.564527896363131</v>
      </c>
      <c r="T12" s="15"/>
      <c r="U12" s="461">
        <f t="shared" ca="1" si="0"/>
        <v>1.9070184558673911E-5</v>
      </c>
      <c r="V12" s="462">
        <f t="shared" si="1"/>
        <v>0</v>
      </c>
      <c r="W12" s="463">
        <f t="shared" si="3"/>
        <v>4.0378071933784988E-4</v>
      </c>
      <c r="X12" s="463">
        <f t="shared" ca="1" si="2"/>
        <v>3.3387571628148678E-4</v>
      </c>
    </row>
    <row r="13" spans="2:25" x14ac:dyDescent="0.35">
      <c r="B13" s="446"/>
      <c r="C13" s="224" t="s">
        <v>23</v>
      </c>
      <c r="D13" s="232">
        <f>SUM(D10:D12)</f>
        <v>4000.3900876989551</v>
      </c>
      <c r="E13" s="261">
        <f t="shared" ref="E13:F13" si="6">SUM(E10:E12)</f>
        <v>0</v>
      </c>
      <c r="F13" s="261">
        <f t="shared" si="6"/>
        <v>0</v>
      </c>
      <c r="G13" s="260">
        <f>SUM(G10:G12)</f>
        <v>4000.3900876989551</v>
      </c>
      <c r="H13" s="226">
        <f t="shared" ref="H13:R13" si="7">SUM(H10:H12)</f>
        <v>0</v>
      </c>
      <c r="I13" s="226">
        <f t="shared" si="7"/>
        <v>0</v>
      </c>
      <c r="J13" s="226">
        <f t="shared" si="7"/>
        <v>0</v>
      </c>
      <c r="K13" s="260">
        <f t="shared" si="7"/>
        <v>0</v>
      </c>
      <c r="L13" s="226">
        <f>SUM(L10:L12)</f>
        <v>3436.3358850458399</v>
      </c>
      <c r="M13" s="226">
        <f t="shared" si="7"/>
        <v>0</v>
      </c>
      <c r="N13" s="226">
        <f t="shared" si="7"/>
        <v>0</v>
      </c>
      <c r="O13" s="260">
        <f t="shared" si="7"/>
        <v>3436.3358850458399</v>
      </c>
      <c r="P13" s="226">
        <f>SUM(P10:P12)</f>
        <v>7436.4635834408882</v>
      </c>
      <c r="Q13" s="226">
        <f t="shared" si="7"/>
        <v>0</v>
      </c>
      <c r="R13" s="226">
        <f t="shared" si="7"/>
        <v>0</v>
      </c>
      <c r="S13" s="226">
        <f>SUM(S10:S12)</f>
        <v>7436.4635834408882</v>
      </c>
      <c r="T13" s="15"/>
      <c r="U13" s="464">
        <f t="shared" ca="1" si="0"/>
        <v>0.29074423440137337</v>
      </c>
      <c r="V13" s="465">
        <f t="shared" si="1"/>
        <v>0</v>
      </c>
      <c r="W13" s="466">
        <f t="shared" si="3"/>
        <v>3.9014328535264098E-2</v>
      </c>
      <c r="X13" s="466">
        <f t="shared" ca="1" si="2"/>
        <v>6.9812668756849092E-2</v>
      </c>
    </row>
    <row r="14" spans="2:25" x14ac:dyDescent="0.35">
      <c r="B14" s="578" t="s">
        <v>256</v>
      </c>
      <c r="C14" s="200" t="s">
        <v>255</v>
      </c>
      <c r="D14" s="231">
        <f>'Mobilité pendulaire - Emissions'!G13</f>
        <v>0</v>
      </c>
      <c r="E14" s="115">
        <f>'Mobilité pendulaire - Emissions'!H13</f>
        <v>0</v>
      </c>
      <c r="F14" s="115">
        <f>'Mobilité pendulaire - Emissions'!I13</f>
        <v>0</v>
      </c>
      <c r="G14" s="115">
        <f>'Mobilité pendulaire - Emissions'!J13</f>
        <v>0</v>
      </c>
      <c r="H14" s="231">
        <f>'Mobilité pendulaire - Emissions'!K13</f>
        <v>0</v>
      </c>
      <c r="I14" s="115">
        <f>'Mobilité pendulaire - Emissions'!L13</f>
        <v>0</v>
      </c>
      <c r="J14" s="115">
        <f>'Mobilité pendulaire - Emissions'!M13</f>
        <v>0</v>
      </c>
      <c r="K14" s="115">
        <f>'Mobilité pendulaire - Emissions'!N13</f>
        <v>0</v>
      </c>
      <c r="L14" s="231">
        <f>'Mobilité pendulaire - Emissions'!O13</f>
        <v>8.7294961019121864</v>
      </c>
      <c r="M14" s="115">
        <f>'Mobilité pendulaire - Emissions'!P13</f>
        <v>0</v>
      </c>
      <c r="N14" s="115">
        <f>'Mobilité pendulaire - Emissions'!Q13</f>
        <v>0</v>
      </c>
      <c r="O14" s="115">
        <f>'Mobilité pendulaire - Emissions'!R13</f>
        <v>8.7294961019121864</v>
      </c>
      <c r="P14" s="231">
        <f>'Mobilité pendulaire - Emissions'!S13</f>
        <v>8.7294961019121864</v>
      </c>
      <c r="Q14" s="115">
        <f>'Mobilité pendulaire - Emissions'!T13</f>
        <v>0</v>
      </c>
      <c r="R14" s="115">
        <f>'Mobilité pendulaire - Emissions'!U13</f>
        <v>0</v>
      </c>
      <c r="S14" s="115">
        <f>'Mobilité pendulaire - Emissions'!V13</f>
        <v>8.7294961019121864</v>
      </c>
      <c r="T14" s="15"/>
      <c r="U14" s="461">
        <f t="shared" ca="1" si="0"/>
        <v>0</v>
      </c>
      <c r="V14" s="462">
        <f t="shared" si="1"/>
        <v>0</v>
      </c>
      <c r="W14" s="463">
        <f t="shared" si="3"/>
        <v>9.9110052177791159E-5</v>
      </c>
      <c r="X14" s="463">
        <f t="shared" ca="1" si="2"/>
        <v>8.1951510007262742E-5</v>
      </c>
    </row>
    <row r="15" spans="2:25" x14ac:dyDescent="0.35">
      <c r="B15" s="578"/>
      <c r="C15" s="200" t="s">
        <v>254</v>
      </c>
      <c r="D15" s="231">
        <f>'Mobilité pendulaire - Emissions'!E17</f>
        <v>0</v>
      </c>
      <c r="E15" s="115">
        <f>'Mobilité pendulaire - Emissions'!F17</f>
        <v>0</v>
      </c>
      <c r="F15" s="115">
        <f>'Mobilité pendulaire - Emissions'!G17</f>
        <v>0</v>
      </c>
      <c r="G15" s="115">
        <f>'Mobilité pendulaire - Emissions'!H17</f>
        <v>0</v>
      </c>
      <c r="H15" s="231">
        <f>'Mobilité pendulaire - Emissions'!I17</f>
        <v>0</v>
      </c>
      <c r="I15" s="115">
        <f>'Mobilité pendulaire - Emissions'!J17</f>
        <v>0</v>
      </c>
      <c r="J15" s="115">
        <f>'Mobilité pendulaire - Emissions'!K17</f>
        <v>0</v>
      </c>
      <c r="K15" s="115">
        <f>'Mobilité pendulaire - Emissions'!L17</f>
        <v>0</v>
      </c>
      <c r="L15" s="231">
        <f>'Mobilité pendulaire - Emissions'!O22</f>
        <v>884.47548348874886</v>
      </c>
      <c r="M15" s="115">
        <f>'Mobilité pendulaire - Emissions'!P22</f>
        <v>0</v>
      </c>
      <c r="N15" s="115">
        <f>'Mobilité pendulaire - Emissions'!Q22</f>
        <v>0</v>
      </c>
      <c r="O15" s="115">
        <f>'Mobilité pendulaire - Emissions'!R22</f>
        <v>884.47548348874886</v>
      </c>
      <c r="P15" s="231">
        <f>'Mobilité pendulaire - Emissions'!S22</f>
        <v>884.47548348874886</v>
      </c>
      <c r="Q15" s="115">
        <f>'Mobilité pendulaire - Emissions'!T22</f>
        <v>0</v>
      </c>
      <c r="R15" s="115">
        <f>'Mobilité pendulaire - Emissions'!U22</f>
        <v>0</v>
      </c>
      <c r="S15" s="115">
        <f>'Mobilité pendulaire - Emissions'!V22</f>
        <v>884.47548348874886</v>
      </c>
      <c r="T15" s="15"/>
      <c r="U15" s="461">
        <f t="shared" ca="1" si="0"/>
        <v>0</v>
      </c>
      <c r="V15" s="462">
        <f t="shared" si="1"/>
        <v>0</v>
      </c>
      <c r="W15" s="463">
        <f t="shared" si="3"/>
        <v>1.0041863848171609E-2</v>
      </c>
      <c r="X15" s="463">
        <f t="shared" ca="1" si="2"/>
        <v>8.3033545797023944E-3</v>
      </c>
    </row>
    <row r="16" spans="2:25" x14ac:dyDescent="0.35">
      <c r="B16" s="578"/>
      <c r="C16" s="225" t="s">
        <v>285</v>
      </c>
      <c r="D16" s="231">
        <f>'Mobilité pendulaire - Emissions'!G22</f>
        <v>0</v>
      </c>
      <c r="E16" s="115">
        <f>'Mobilité pendulaire - Emissions'!H22</f>
        <v>0</v>
      </c>
      <c r="F16" s="115">
        <f>'Mobilité pendulaire - Emissions'!I22</f>
        <v>0</v>
      </c>
      <c r="G16" s="115">
        <f>'Mobilité pendulaire - Emissions'!J22</f>
        <v>0</v>
      </c>
      <c r="H16" s="231">
        <f>'Mobilité pendulaire - Emissions'!K22</f>
        <v>0</v>
      </c>
      <c r="I16" s="115">
        <f>'Mobilité pendulaire - Emissions'!L22</f>
        <v>0</v>
      </c>
      <c r="J16" s="115">
        <f>'Mobilité pendulaire - Emissions'!M22</f>
        <v>0</v>
      </c>
      <c r="K16" s="115">
        <f>'Mobilité pendulaire - Emissions'!N22</f>
        <v>0</v>
      </c>
      <c r="L16" s="231">
        <f>'Mobilité pendulaire - Emissions'!O17</f>
        <v>18922.783414671914</v>
      </c>
      <c r="M16" s="115">
        <f>'Mobilité pendulaire - Emissions'!P17</f>
        <v>0</v>
      </c>
      <c r="N16" s="115">
        <f>'Mobilité pendulaire - Emissions'!Q17</f>
        <v>0</v>
      </c>
      <c r="O16" s="115">
        <f>'Mobilité pendulaire - Emissions'!R17</f>
        <v>18922.783414671914</v>
      </c>
      <c r="P16" s="231">
        <f>'Mobilité pendulaire - Emissions'!S17</f>
        <v>18922.783414671914</v>
      </c>
      <c r="Q16" s="115">
        <f>'Mobilité pendulaire - Emissions'!T17</f>
        <v>0</v>
      </c>
      <c r="R16" s="115">
        <f>'Mobilité pendulaire - Emissions'!U17</f>
        <v>0</v>
      </c>
      <c r="S16" s="115">
        <f>'Mobilité pendulaire - Emissions'!V17</f>
        <v>18922.783414671914</v>
      </c>
      <c r="T16" s="15"/>
      <c r="U16" s="461">
        <f t="shared" ca="1" si="0"/>
        <v>0</v>
      </c>
      <c r="V16" s="462">
        <f t="shared" si="1"/>
        <v>0</v>
      </c>
      <c r="W16" s="463">
        <f t="shared" si="3"/>
        <v>0.21483921061220956</v>
      </c>
      <c r="X16" s="463">
        <f t="shared" ca="1" si="2"/>
        <v>0.17764492431963633</v>
      </c>
    </row>
    <row r="17" spans="2:39" x14ac:dyDescent="0.35">
      <c r="B17" s="446"/>
      <c r="C17" s="224" t="s">
        <v>23</v>
      </c>
      <c r="D17" s="232">
        <f>SUM(D14:D16)</f>
        <v>0</v>
      </c>
      <c r="E17" s="261">
        <f t="shared" ref="E17:S17" si="8">SUM(E14:E16)</f>
        <v>0</v>
      </c>
      <c r="F17" s="261">
        <f t="shared" si="8"/>
        <v>0</v>
      </c>
      <c r="G17" s="261">
        <f t="shared" si="8"/>
        <v>0</v>
      </c>
      <c r="H17" s="232">
        <f t="shared" si="8"/>
        <v>0</v>
      </c>
      <c r="I17" s="261">
        <f t="shared" si="8"/>
        <v>0</v>
      </c>
      <c r="J17" s="261">
        <f t="shared" si="8"/>
        <v>0</v>
      </c>
      <c r="K17" s="261">
        <f t="shared" si="8"/>
        <v>0</v>
      </c>
      <c r="L17" s="232">
        <f t="shared" si="8"/>
        <v>19815.988394262575</v>
      </c>
      <c r="M17" s="261">
        <f t="shared" si="8"/>
        <v>0</v>
      </c>
      <c r="N17" s="261">
        <f t="shared" si="8"/>
        <v>0</v>
      </c>
      <c r="O17" s="261">
        <f>SUM(O14:O16)</f>
        <v>19815.988394262575</v>
      </c>
      <c r="P17" s="232">
        <f t="shared" si="8"/>
        <v>19815.988394262575</v>
      </c>
      <c r="Q17" s="261">
        <f t="shared" si="8"/>
        <v>0</v>
      </c>
      <c r="R17" s="261">
        <f t="shared" si="8"/>
        <v>0</v>
      </c>
      <c r="S17" s="261">
        <f t="shared" si="8"/>
        <v>19815.988394262575</v>
      </c>
      <c r="T17" s="15"/>
      <c r="U17" s="464">
        <f t="shared" ca="1" si="0"/>
        <v>0</v>
      </c>
      <c r="V17" s="465">
        <f t="shared" si="1"/>
        <v>0</v>
      </c>
      <c r="W17" s="466">
        <f t="shared" si="3"/>
        <v>0.22498018451255897</v>
      </c>
      <c r="X17" s="466">
        <f t="shared" ca="1" si="2"/>
        <v>0.18603023040934599</v>
      </c>
    </row>
    <row r="18" spans="2:39" x14ac:dyDescent="0.35">
      <c r="B18" s="578" t="s">
        <v>259</v>
      </c>
      <c r="C18" s="200" t="s">
        <v>237</v>
      </c>
      <c r="D18" s="231">
        <f ca="1">'Alimentation - Emission'!G11</f>
        <v>0</v>
      </c>
      <c r="E18" s="82">
        <f ca="1">'Alimentation - Emission'!H11</f>
        <v>0</v>
      </c>
      <c r="F18" s="82">
        <f ca="1">'Alimentation - Emission'!I11</f>
        <v>0</v>
      </c>
      <c r="G18" s="82">
        <f ca="1">'Alimentation - Emission'!J11</f>
        <v>0</v>
      </c>
      <c r="H18" s="231">
        <v>0</v>
      </c>
      <c r="I18" s="82">
        <v>0</v>
      </c>
      <c r="J18" s="82">
        <v>0</v>
      </c>
      <c r="K18" s="82">
        <v>0</v>
      </c>
      <c r="L18" s="231">
        <f>'Alimentation - Emission'!O11</f>
        <v>2883.05983328</v>
      </c>
      <c r="M18" s="82">
        <f>'Alimentation - Emission'!P11</f>
        <v>0</v>
      </c>
      <c r="N18" s="82">
        <v>0</v>
      </c>
      <c r="O18" s="82">
        <f>'Alimentation - Emission'!R11</f>
        <v>2883.05983328</v>
      </c>
      <c r="P18" s="231">
        <f ca="1">'Alimentation - Emission'!S11</f>
        <v>2883.05983328</v>
      </c>
      <c r="Q18" s="82">
        <f ca="1">'Alimentation - Emission'!T11</f>
        <v>0</v>
      </c>
      <c r="R18" s="82">
        <f ca="1">'Alimentation - Emission'!U11</f>
        <v>0</v>
      </c>
      <c r="S18" s="82">
        <f ca="1">'Alimentation - Emission'!V11</f>
        <v>2883.05983328</v>
      </c>
      <c r="T18" s="15"/>
      <c r="U18" s="461">
        <f t="shared" ca="1" si="0"/>
        <v>0</v>
      </c>
      <c r="V18" s="462">
        <f t="shared" si="1"/>
        <v>0</v>
      </c>
      <c r="W18" s="463">
        <f t="shared" si="3"/>
        <v>3.2732726743011385E-2</v>
      </c>
      <c r="X18" s="463">
        <f t="shared" ca="1" si="2"/>
        <v>2.7065835647355208E-2</v>
      </c>
    </row>
    <row r="19" spans="2:39" x14ac:dyDescent="0.35">
      <c r="B19" s="578"/>
      <c r="C19" s="200" t="s">
        <v>625</v>
      </c>
      <c r="D19" s="231">
        <f>'Achats courants - Emissions '!G10</f>
        <v>0</v>
      </c>
      <c r="E19" s="82">
        <f>'Achats courants - Emissions '!H10</f>
        <v>0</v>
      </c>
      <c r="F19" s="82">
        <f>'Achats courants - Emissions '!I10</f>
        <v>0</v>
      </c>
      <c r="G19" s="82">
        <f>'Achats courants - Emissions '!J10</f>
        <v>0</v>
      </c>
      <c r="H19" s="231">
        <v>0</v>
      </c>
      <c r="I19" s="82">
        <v>0</v>
      </c>
      <c r="J19" s="82">
        <v>0</v>
      </c>
      <c r="K19" s="82">
        <v>0</v>
      </c>
      <c r="L19" s="231">
        <f>O19</f>
        <v>15109.057673254401</v>
      </c>
      <c r="M19" s="82">
        <f>'Achats courants - Emissions '!P10</f>
        <v>0</v>
      </c>
      <c r="N19" s="82">
        <f>'Achats courants - Emissions '!Q10</f>
        <v>0</v>
      </c>
      <c r="O19" s="82">
        <f>'Achats courants - Emissions '!R10</f>
        <v>15109.057673254401</v>
      </c>
      <c r="P19" s="231">
        <f>S19</f>
        <v>15109.057673254401</v>
      </c>
      <c r="Q19" s="82">
        <f>'Achats courants - Emissions '!T10</f>
        <v>0</v>
      </c>
      <c r="R19" s="82">
        <f>'Achats courants - Emissions '!U10</f>
        <v>0</v>
      </c>
      <c r="S19" s="82">
        <f>'Achats courants - Emissions '!V10</f>
        <v>15109.057673254401</v>
      </c>
      <c r="T19" s="15"/>
      <c r="U19" s="461">
        <f t="shared" ca="1" si="0"/>
        <v>0</v>
      </c>
      <c r="V19" s="462">
        <f t="shared" si="1"/>
        <v>0</v>
      </c>
      <c r="W19" s="463">
        <f t="shared" si="3"/>
        <v>0.17154019852594732</v>
      </c>
      <c r="X19" s="463">
        <f t="shared" ca="1" si="2"/>
        <v>0.14184210367409286</v>
      </c>
    </row>
    <row r="20" spans="2:39" x14ac:dyDescent="0.35">
      <c r="B20" s="578"/>
      <c r="C20" s="200" t="s">
        <v>596</v>
      </c>
      <c r="D20" s="231">
        <f>'Achats courants - Emissions '!G11</f>
        <v>0</v>
      </c>
      <c r="E20" s="115">
        <f>'Achats courants - Emissions '!H11</f>
        <v>0</v>
      </c>
      <c r="F20" s="115">
        <f>'Achats courants - Emissions '!I11</f>
        <v>0</v>
      </c>
      <c r="G20" s="115">
        <f>'Achats courants - Emissions '!J11</f>
        <v>0</v>
      </c>
      <c r="H20" s="231">
        <f>'Achats courants - Emissions '!K11</f>
        <v>0</v>
      </c>
      <c r="I20" s="115">
        <f>'Achats courants - Emissions '!L11</f>
        <v>0</v>
      </c>
      <c r="J20" s="115">
        <f>'Achats courants - Emissions '!M11</f>
        <v>0</v>
      </c>
      <c r="K20" s="115">
        <f>'Achats courants - Emissions '!N11</f>
        <v>0</v>
      </c>
      <c r="L20" s="231">
        <f>'Achats courants - Emissions '!O11</f>
        <v>1488.4958962321425</v>
      </c>
      <c r="M20" s="115">
        <f>'Achats courants - Emissions '!P11</f>
        <v>0</v>
      </c>
      <c r="N20" s="115">
        <f>'Achats courants - Emissions '!Q11</f>
        <v>0</v>
      </c>
      <c r="O20" s="335">
        <f>'Achats courants - Emissions '!R11</f>
        <v>1488.4958962321425</v>
      </c>
      <c r="P20" s="231">
        <f>'Achats courants - Emissions '!S11</f>
        <v>1488.4958962321425</v>
      </c>
      <c r="Q20" s="115">
        <f>'Achats courants - Emissions '!T11</f>
        <v>0</v>
      </c>
      <c r="R20" s="115">
        <f>'Achats courants - Emissions '!U11</f>
        <v>0</v>
      </c>
      <c r="S20" s="115">
        <f>'Achats courants - Emissions '!V11</f>
        <v>1488.4958962321425</v>
      </c>
      <c r="T20" s="15"/>
      <c r="U20" s="461">
        <f t="shared" ca="1" si="0"/>
        <v>0</v>
      </c>
      <c r="V20" s="462">
        <f t="shared" si="1"/>
        <v>0</v>
      </c>
      <c r="W20" s="463">
        <f t="shared" si="3"/>
        <v>1.6899590104597274E-2</v>
      </c>
      <c r="X20" s="463">
        <f t="shared" ca="1" si="2"/>
        <v>1.3973829063182397E-2</v>
      </c>
    </row>
    <row r="21" spans="2:39" x14ac:dyDescent="0.35">
      <c r="B21" s="578"/>
      <c r="C21" s="200" t="s">
        <v>244</v>
      </c>
      <c r="D21" s="231">
        <f>'Matériel infor.- Emission'!G10</f>
        <v>0</v>
      </c>
      <c r="E21" s="82">
        <f>'Matériel infor.- Emission'!H10</f>
        <v>0</v>
      </c>
      <c r="F21" s="82">
        <f>'Matériel infor.- Emission'!I10</f>
        <v>0</v>
      </c>
      <c r="G21" s="82">
        <f>'Matériel infor.- Emission'!J10</f>
        <v>0</v>
      </c>
      <c r="H21" s="231">
        <v>0</v>
      </c>
      <c r="I21" s="82">
        <v>0</v>
      </c>
      <c r="J21" s="82">
        <v>0</v>
      </c>
      <c r="K21" s="82">
        <v>0</v>
      </c>
      <c r="L21" s="231">
        <f>O21</f>
        <v>5371.0820621199437</v>
      </c>
      <c r="M21" s="82">
        <f>'Matériel infor.- Emission'!P10</f>
        <v>0</v>
      </c>
      <c r="N21" s="82">
        <f>'Matériel infor.- Emission'!Q10</f>
        <v>0</v>
      </c>
      <c r="O21" s="82">
        <f>'Matériel infor.- Emission'!R10</f>
        <v>5371.0820621199437</v>
      </c>
      <c r="P21" s="231">
        <f>S21</f>
        <v>5371.0820621199437</v>
      </c>
      <c r="Q21" s="115">
        <f>'Matériel infor.- Emission'!T10</f>
        <v>0</v>
      </c>
      <c r="R21" s="82">
        <f>'Matériel infor.- Emission'!U10</f>
        <v>0</v>
      </c>
      <c r="S21" s="82">
        <f>'Matériel infor.- Emission'!V10</f>
        <v>5371.0820621199437</v>
      </c>
      <c r="T21" s="15"/>
      <c r="U21" s="461">
        <f t="shared" ca="1" si="0"/>
        <v>0</v>
      </c>
      <c r="V21" s="462">
        <f t="shared" si="1"/>
        <v>0</v>
      </c>
      <c r="W21" s="463">
        <f t="shared" si="3"/>
        <v>6.0980406797054396E-2</v>
      </c>
      <c r="X21" s="463">
        <f t="shared" ca="1" si="2"/>
        <v>5.0423103490158334E-2</v>
      </c>
    </row>
    <row r="22" spans="2:39" x14ac:dyDescent="0.35">
      <c r="B22" s="578"/>
      <c r="C22" s="200" t="s">
        <v>185</v>
      </c>
      <c r="D22" s="231">
        <f>'Achat de véhicule - Emissions'!G10</f>
        <v>0</v>
      </c>
      <c r="E22" s="82">
        <f>'Achat de véhicule - Emissions'!H10</f>
        <v>0</v>
      </c>
      <c r="F22" s="82">
        <f>'Achat de véhicule - Emissions'!I10</f>
        <v>0</v>
      </c>
      <c r="G22" s="82">
        <f>'Achat de véhicule - Emissions'!J10</f>
        <v>0</v>
      </c>
      <c r="H22" s="231">
        <v>0</v>
      </c>
      <c r="I22" s="82">
        <v>0</v>
      </c>
      <c r="J22" s="82">
        <v>0</v>
      </c>
      <c r="K22" s="82">
        <v>0</v>
      </c>
      <c r="L22" s="231">
        <f>'Achat de véhicule - Emissions'!O10</f>
        <v>1146.017367521717</v>
      </c>
      <c r="M22" s="82">
        <f>'Achat de véhicule - Emissions'!P10</f>
        <v>0</v>
      </c>
      <c r="N22" s="82">
        <v>0</v>
      </c>
      <c r="O22" s="82">
        <f>'Achat de véhicule - Emissions'!R10</f>
        <v>1146.017367521717</v>
      </c>
      <c r="P22" s="231">
        <f>'Achat de véhicule - Emissions'!S10</f>
        <v>1146.017367521717</v>
      </c>
      <c r="Q22" s="82">
        <f>'Achat de véhicule - Emissions'!T10</f>
        <v>0</v>
      </c>
      <c r="R22" s="115">
        <f>'Achat de véhicule - Emissions'!U10</f>
        <v>0</v>
      </c>
      <c r="S22" s="82">
        <f>'Achat de véhicule - Emissions'!V10</f>
        <v>1146.017367521717</v>
      </c>
      <c r="T22" s="15"/>
      <c r="U22" s="461">
        <f t="shared" ca="1" si="0"/>
        <v>0</v>
      </c>
      <c r="V22" s="462">
        <f t="shared" si="1"/>
        <v>0</v>
      </c>
      <c r="W22" s="463">
        <f t="shared" si="3"/>
        <v>1.3011271185154922E-2</v>
      </c>
      <c r="X22" s="463">
        <f t="shared" ca="1" si="2"/>
        <v>1.0758679844347521E-2</v>
      </c>
    </row>
    <row r="23" spans="2:39" x14ac:dyDescent="0.35">
      <c r="B23" s="578"/>
      <c r="C23" s="200" t="s">
        <v>575</v>
      </c>
      <c r="D23" s="231">
        <v>0</v>
      </c>
      <c r="E23" s="82">
        <v>0</v>
      </c>
      <c r="F23" s="82">
        <v>0</v>
      </c>
      <c r="G23" s="82">
        <v>0</v>
      </c>
      <c r="H23" s="231">
        <v>0</v>
      </c>
      <c r="I23" s="82">
        <v>0</v>
      </c>
      <c r="J23" s="82">
        <v>0</v>
      </c>
      <c r="K23" s="82">
        <v>0</v>
      </c>
      <c r="L23" s="380">
        <f>'Construction - Emission'!O11</f>
        <v>28128.840976185238</v>
      </c>
      <c r="M23" s="358">
        <f>'Construction - Emission'!P11</f>
        <v>0</v>
      </c>
      <c r="N23" s="358">
        <f>'Construction - Emission'!Q11</f>
        <v>0</v>
      </c>
      <c r="O23" s="358">
        <f>'Construction - Emission'!R11</f>
        <v>28128.840976185238</v>
      </c>
      <c r="P23" s="380">
        <f>'Construction - Emission'!S11</f>
        <v>28128.840976185238</v>
      </c>
      <c r="Q23" s="358">
        <f>'Construction - Emission'!T11</f>
        <v>0</v>
      </c>
      <c r="R23" s="358">
        <f>'Construction - Emission'!U11</f>
        <v>0</v>
      </c>
      <c r="S23" s="358">
        <f>'Construction - Emission'!V11</f>
        <v>28128.840976185238</v>
      </c>
      <c r="T23" s="15"/>
      <c r="U23" s="461">
        <f t="shared" ca="1" si="0"/>
        <v>0</v>
      </c>
      <c r="V23" s="462">
        <f t="shared" si="1"/>
        <v>0</v>
      </c>
      <c r="W23" s="463">
        <f t="shared" si="3"/>
        <v>0.31935988793669701</v>
      </c>
      <c r="X23" s="463">
        <f t="shared" ca="1" si="2"/>
        <v>0.26407033875043429</v>
      </c>
    </row>
    <row r="24" spans="2:39" x14ac:dyDescent="0.35">
      <c r="B24" s="578"/>
      <c r="C24" s="200" t="s">
        <v>454</v>
      </c>
      <c r="D24" s="231">
        <v>0</v>
      </c>
      <c r="E24" s="82">
        <v>0</v>
      </c>
      <c r="F24" s="82">
        <v>0</v>
      </c>
      <c r="G24" s="82">
        <v>0</v>
      </c>
      <c r="H24" s="231">
        <v>0</v>
      </c>
      <c r="I24" s="82">
        <v>0</v>
      </c>
      <c r="J24" s="82">
        <v>0</v>
      </c>
      <c r="K24" s="82">
        <v>0</v>
      </c>
      <c r="L24" s="380">
        <f>'Construction - Emission'!O12</f>
        <v>5727</v>
      </c>
      <c r="M24" s="358">
        <f>'Construction - Emission'!P12</f>
        <v>0</v>
      </c>
      <c r="N24" s="358">
        <v>0</v>
      </c>
      <c r="O24" s="358">
        <f>'Construction - Emission'!R12</f>
        <v>5727</v>
      </c>
      <c r="P24" s="380">
        <f>'Construction - Emission'!S12</f>
        <v>5727</v>
      </c>
      <c r="Q24" s="358">
        <f>'Construction - Emission'!T12</f>
        <v>0</v>
      </c>
      <c r="R24" s="358">
        <f>'Construction - Emission'!U12</f>
        <v>0</v>
      </c>
      <c r="S24" s="358">
        <f>'Construction - Emission'!V12</f>
        <v>5727</v>
      </c>
      <c r="T24" s="15"/>
      <c r="U24" s="461">
        <f t="shared" ca="1" si="0"/>
        <v>0</v>
      </c>
      <c r="V24" s="462">
        <f t="shared" si="1"/>
        <v>0</v>
      </c>
      <c r="W24" s="463">
        <f t="shared" si="3"/>
        <v>6.5021309614638256E-2</v>
      </c>
      <c r="X24" s="463">
        <f t="shared" ca="1" si="2"/>
        <v>5.3764420343665208E-2</v>
      </c>
    </row>
    <row r="25" spans="2:39" x14ac:dyDescent="0.35">
      <c r="B25" s="578"/>
      <c r="C25" s="200" t="s">
        <v>576</v>
      </c>
      <c r="D25" s="231">
        <v>0</v>
      </c>
      <c r="E25" s="82">
        <v>0</v>
      </c>
      <c r="F25" s="82">
        <v>0</v>
      </c>
      <c r="G25" s="82">
        <v>0</v>
      </c>
      <c r="H25" s="231">
        <v>0</v>
      </c>
      <c r="I25" s="82">
        <v>0</v>
      </c>
      <c r="J25" s="82">
        <v>0</v>
      </c>
      <c r="K25" s="82">
        <v>0</v>
      </c>
      <c r="L25" s="380">
        <f>'Construction - Emission'!O13</f>
        <v>410.73001739999995</v>
      </c>
      <c r="M25" s="358">
        <f>'Construction - Emission'!P13</f>
        <v>0</v>
      </c>
      <c r="N25" s="358">
        <f>'Construction - Emission'!Q13</f>
        <v>0</v>
      </c>
      <c r="O25" s="358">
        <f>'Construction - Emission'!R13</f>
        <v>410.73001739999995</v>
      </c>
      <c r="P25" s="380">
        <f>'Construction - Emission'!S13</f>
        <v>410.73001739999995</v>
      </c>
      <c r="Q25" s="358">
        <f>'Construction - Emission'!T13</f>
        <v>0</v>
      </c>
      <c r="R25" s="358">
        <f>'Construction - Emission'!U13</f>
        <v>0</v>
      </c>
      <c r="S25" s="358">
        <f>'Construction - Emission'!V13</f>
        <v>410.73001739999995</v>
      </c>
      <c r="T25" s="15"/>
      <c r="U25" s="461">
        <f t="shared" ca="1" si="0"/>
        <v>0</v>
      </c>
      <c r="V25" s="462">
        <f t="shared" si="1"/>
        <v>0</v>
      </c>
      <c r="W25" s="463">
        <f t="shared" si="3"/>
        <v>4.6632099929092286E-3</v>
      </c>
      <c r="X25" s="463">
        <f t="shared" ca="1" si="2"/>
        <v>3.855886380872101E-3</v>
      </c>
    </row>
    <row r="26" spans="2:39" x14ac:dyDescent="0.35">
      <c r="B26" s="446"/>
      <c r="C26" s="224" t="s">
        <v>23</v>
      </c>
      <c r="D26" s="232">
        <f ca="1">SUM(D18:D25)</f>
        <v>0</v>
      </c>
      <c r="E26" s="226">
        <f t="shared" ref="E26:R26" ca="1" si="9">SUM(E18:E25)</f>
        <v>0</v>
      </c>
      <c r="F26" s="226">
        <f t="shared" ca="1" si="9"/>
        <v>0</v>
      </c>
      <c r="G26" s="226">
        <f t="shared" ca="1" si="9"/>
        <v>0</v>
      </c>
      <c r="H26" s="232">
        <v>0</v>
      </c>
      <c r="I26" s="226">
        <v>0</v>
      </c>
      <c r="J26" s="226">
        <v>0</v>
      </c>
      <c r="K26" s="226">
        <v>0</v>
      </c>
      <c r="L26" s="232">
        <f>SUM(L18:L25)</f>
        <v>60264.283825993436</v>
      </c>
      <c r="M26" s="261">
        <f t="shared" si="9"/>
        <v>0</v>
      </c>
      <c r="N26" s="261">
        <f>SUM(N18:N25)</f>
        <v>0</v>
      </c>
      <c r="O26" s="226">
        <f>SUM(O18:O25)</f>
        <v>60264.283825993436</v>
      </c>
      <c r="P26" s="232">
        <f ca="1">SUM(P18:P25)</f>
        <v>60264.283825993436</v>
      </c>
      <c r="Q26" s="261">
        <f t="shared" ca="1" si="9"/>
        <v>0</v>
      </c>
      <c r="R26" s="226">
        <f t="shared" ca="1" si="9"/>
        <v>0</v>
      </c>
      <c r="S26" s="226">
        <f ca="1">SUM(S18:S25)</f>
        <v>60264.283825993436</v>
      </c>
      <c r="T26" s="15"/>
      <c r="U26" s="464">
        <f t="shared" ca="1" si="0"/>
        <v>0</v>
      </c>
      <c r="V26" s="465">
        <f t="shared" si="1"/>
        <v>0</v>
      </c>
      <c r="W26" s="466">
        <f t="shared" si="3"/>
        <v>0.68420860090000968</v>
      </c>
      <c r="X26" s="466">
        <f t="shared" ca="1" si="2"/>
        <v>0.56575419719410791</v>
      </c>
    </row>
    <row r="27" spans="2:39" x14ac:dyDescent="0.35">
      <c r="B27" s="573" t="s">
        <v>260</v>
      </c>
      <c r="C27" s="200" t="str">
        <f>'Agriculture - Emissions'!D9</f>
        <v>Fermentation entérique</v>
      </c>
      <c r="D27" s="231">
        <f>'Agriculture - Emissions'!G9</f>
        <v>0</v>
      </c>
      <c r="E27" s="82">
        <f>'Agriculture - Emissions'!H9</f>
        <v>1098.1669216292908</v>
      </c>
      <c r="F27" s="82">
        <f>'Agriculture - Emissions'!I9</f>
        <v>0</v>
      </c>
      <c r="G27" s="82">
        <f>'Agriculture - Emissions'!J9</f>
        <v>1098.1669216292908</v>
      </c>
      <c r="H27" s="231">
        <v>0</v>
      </c>
      <c r="I27" s="82">
        <v>0</v>
      </c>
      <c r="J27" s="82">
        <v>0</v>
      </c>
      <c r="K27" s="82">
        <v>0</v>
      </c>
      <c r="L27" s="231">
        <f>'Agriculture - Emissions'!O9</f>
        <v>0</v>
      </c>
      <c r="M27" s="82">
        <f>'Agriculture - Emissions'!P9</f>
        <v>0</v>
      </c>
      <c r="N27" s="82">
        <f>'Agriculture - Emissions'!Q9</f>
        <v>0</v>
      </c>
      <c r="O27" s="82">
        <f>'Agriculture - Emissions'!R9</f>
        <v>0</v>
      </c>
      <c r="P27" s="231">
        <f>'Agriculture - Emissions'!S9</f>
        <v>0</v>
      </c>
      <c r="Q27" s="82">
        <f>'Agriculture - Emissions'!T9</f>
        <v>1098.1669216292908</v>
      </c>
      <c r="R27" s="82">
        <f>'Agriculture - Emissions'!U9</f>
        <v>0</v>
      </c>
      <c r="S27" s="82">
        <f>'Agriculture - Emissions'!V9</f>
        <v>1098.1669216292908</v>
      </c>
      <c r="T27" s="15"/>
      <c r="U27" s="461">
        <f t="shared" ca="1" si="0"/>
        <v>7.9813641638552285E-2</v>
      </c>
      <c r="V27" s="462">
        <f t="shared" si="1"/>
        <v>0</v>
      </c>
      <c r="W27" s="463">
        <f t="shared" si="3"/>
        <v>0</v>
      </c>
      <c r="X27" s="463">
        <f t="shared" ca="1" si="2"/>
        <v>1.0309465336473903E-2</v>
      </c>
    </row>
    <row r="28" spans="2:39" x14ac:dyDescent="0.35">
      <c r="B28" s="573"/>
      <c r="C28" s="200" t="str">
        <f>'Agriculture - Emissions'!D10</f>
        <v>Gestion des fumiers et lisiers</v>
      </c>
      <c r="D28" s="231">
        <f>'Agriculture - Emissions'!G10</f>
        <v>0</v>
      </c>
      <c r="E28" s="82">
        <f>'Agriculture - Emissions'!H10</f>
        <v>239.17660511562954</v>
      </c>
      <c r="F28" s="82">
        <f>'Agriculture - Emissions'!I10</f>
        <v>30.328630051228043</v>
      </c>
      <c r="G28" s="82">
        <f>'Agriculture - Emissions'!J10</f>
        <v>269.50523516685757</v>
      </c>
      <c r="H28" s="231">
        <v>0</v>
      </c>
      <c r="I28" s="82">
        <v>0</v>
      </c>
      <c r="J28" s="82">
        <v>0</v>
      </c>
      <c r="K28" s="82">
        <v>0</v>
      </c>
      <c r="L28" s="231">
        <v>0</v>
      </c>
      <c r="M28" s="82">
        <v>0</v>
      </c>
      <c r="N28" s="82">
        <v>0</v>
      </c>
      <c r="O28" s="82">
        <v>0</v>
      </c>
      <c r="P28" s="231">
        <f>'Agriculture - Emissions'!S10</f>
        <v>0</v>
      </c>
      <c r="Q28" s="82">
        <f>'Agriculture - Emissions'!T10</f>
        <v>239.17660511562954</v>
      </c>
      <c r="R28" s="82">
        <f>'Agriculture - Emissions'!U10</f>
        <v>30.328630051228043</v>
      </c>
      <c r="S28" s="82">
        <f>'Agriculture - Emissions'!V10</f>
        <v>269.50523516685757</v>
      </c>
      <c r="T28" s="15"/>
      <c r="U28" s="461">
        <f t="shared" ca="1" si="0"/>
        <v>1.9587363119085592E-2</v>
      </c>
      <c r="V28" s="462">
        <f t="shared" si="1"/>
        <v>0</v>
      </c>
      <c r="W28" s="463">
        <f t="shared" si="3"/>
        <v>0</v>
      </c>
      <c r="X28" s="463">
        <f t="shared" ca="1" si="2"/>
        <v>2.5300842934047971E-3</v>
      </c>
    </row>
    <row r="29" spans="2:39" x14ac:dyDescent="0.35">
      <c r="B29" s="573"/>
      <c r="C29" s="200" t="str">
        <f>'Agriculture - Emissions'!D11</f>
        <v>Fertilisants minéraux et pratiques agricoles</v>
      </c>
      <c r="D29" s="231">
        <f>'Agriculture - Emissions'!G11</f>
        <v>14.869790091435165</v>
      </c>
      <c r="E29" s="82">
        <f>'Agriculture - Emissions'!H11</f>
        <v>0</v>
      </c>
      <c r="F29" s="82">
        <f>'Agriculture - Emissions'!I11</f>
        <v>492.35757527136604</v>
      </c>
      <c r="G29" s="82">
        <f>'Agriculture - Emissions'!J11</f>
        <v>507.22736536280121</v>
      </c>
      <c r="H29" s="231">
        <v>0</v>
      </c>
      <c r="I29" s="82">
        <v>0</v>
      </c>
      <c r="J29" s="82">
        <v>0</v>
      </c>
      <c r="K29" s="82">
        <v>0</v>
      </c>
      <c r="L29" s="231">
        <f>'Agriculture - Emissions'!O10+'Agriculture - Emissions'!O11</f>
        <v>0</v>
      </c>
      <c r="M29" s="82">
        <f>'Agriculture - Emissions'!P10+'Agriculture - Emissions'!P11</f>
        <v>0</v>
      </c>
      <c r="N29" s="82">
        <f>'Agriculture - Emissions'!Q10+'Agriculture - Emissions'!Q11</f>
        <v>0</v>
      </c>
      <c r="O29" s="82">
        <f>'Agriculture - Emissions'!R10+'Agriculture - Emissions'!R11</f>
        <v>0</v>
      </c>
      <c r="P29" s="231">
        <f>'Agriculture - Emissions'!S11</f>
        <v>14.869790091435165</v>
      </c>
      <c r="Q29" s="82">
        <f>'Agriculture - Emissions'!T11</f>
        <v>0</v>
      </c>
      <c r="R29" s="82">
        <f>'Agriculture - Emissions'!U11</f>
        <v>492.35757527136604</v>
      </c>
      <c r="S29" s="82">
        <f>'Agriculture - Emissions'!V11</f>
        <v>507.22736536280121</v>
      </c>
      <c r="T29" s="15"/>
      <c r="U29" s="461">
        <f t="shared" ref="U29:U34" ca="1" si="10">G29/$G$34</f>
        <v>3.6864762879827255E-2</v>
      </c>
      <c r="V29" s="462">
        <f t="shared" si="1"/>
        <v>0</v>
      </c>
      <c r="W29" s="463">
        <f t="shared" ref="W29:W34" si="11">O29/$O$34</f>
        <v>0</v>
      </c>
      <c r="X29" s="463">
        <f t="shared" ref="X29:X34" ca="1" si="12">S29/$S$34</f>
        <v>4.7617924360355331E-3</v>
      </c>
    </row>
    <row r="30" spans="2:39" x14ac:dyDescent="0.35">
      <c r="B30" s="573"/>
      <c r="C30" s="200" t="str">
        <f>'Agriculture - Emissions'!D14</f>
        <v>Véhicule agricoles</v>
      </c>
      <c r="D30" s="231">
        <f>'Agriculture - Emissions'!G14</f>
        <v>122.50958895096159</v>
      </c>
      <c r="E30" s="115">
        <f>'Agriculture - Emissions'!H14</f>
        <v>0</v>
      </c>
      <c r="F30" s="115">
        <f>'Agriculture - Emissions'!I14</f>
        <v>0</v>
      </c>
      <c r="G30" s="335">
        <f>'Agriculture - Emissions'!J14</f>
        <v>122.50958895096159</v>
      </c>
      <c r="H30" s="231">
        <f>'Agriculture - Emissions'!K14</f>
        <v>0</v>
      </c>
      <c r="I30" s="115">
        <f>'Agriculture - Emissions'!L14</f>
        <v>0</v>
      </c>
      <c r="J30" s="115">
        <f>'Agriculture - Emissions'!M14</f>
        <v>0</v>
      </c>
      <c r="K30" s="115">
        <f>'Agriculture - Emissions'!N14</f>
        <v>0</v>
      </c>
      <c r="L30" s="231">
        <f>'Agriculture - Emissions'!O14</f>
        <v>0</v>
      </c>
      <c r="M30" s="115">
        <f>'Agriculture - Emissions'!P14</f>
        <v>0</v>
      </c>
      <c r="N30" s="115">
        <f>'Agriculture - Emissions'!Q14</f>
        <v>0</v>
      </c>
      <c r="O30" s="335">
        <f>'Agriculture - Emissions'!R14</f>
        <v>0</v>
      </c>
      <c r="P30" s="231">
        <f>'Agriculture - Emissions'!S14</f>
        <v>0</v>
      </c>
      <c r="Q30" s="115">
        <f>'Agriculture - Emissions'!T14</f>
        <v>0</v>
      </c>
      <c r="R30" s="115">
        <f>'Agriculture - Emissions'!U14</f>
        <v>0</v>
      </c>
      <c r="S30" s="115">
        <f>'Agriculture - Emissions'!V14</f>
        <v>122.50958895096159</v>
      </c>
      <c r="T30" s="15"/>
      <c r="U30" s="461">
        <f t="shared" ca="1" si="10"/>
        <v>8.9038708389717267E-3</v>
      </c>
      <c r="V30" s="462">
        <f t="shared" si="1"/>
        <v>0</v>
      </c>
      <c r="W30" s="463">
        <f t="shared" si="11"/>
        <v>0</v>
      </c>
      <c r="X30" s="463">
        <f t="shared" ca="1" si="12"/>
        <v>1.1501059955455111E-3</v>
      </c>
    </row>
    <row r="31" spans="2:39" x14ac:dyDescent="0.35">
      <c r="B31" s="446"/>
      <c r="C31" s="410" t="s">
        <v>23</v>
      </c>
      <c r="D31" s="232">
        <f>SUM(D27:D30)</f>
        <v>137.37937904239675</v>
      </c>
      <c r="E31" s="261">
        <f>SUM(E27:E30)</f>
        <v>1337.3435267449204</v>
      </c>
      <c r="F31" s="261">
        <f>SUM(F27:F30)</f>
        <v>522.68620532259411</v>
      </c>
      <c r="G31" s="261">
        <f>SUM(G27:G30)</f>
        <v>1997.4091111099112</v>
      </c>
      <c r="H31" s="232">
        <v>0</v>
      </c>
      <c r="I31" s="261">
        <v>0</v>
      </c>
      <c r="J31" s="261">
        <v>0</v>
      </c>
      <c r="K31" s="261">
        <v>0</v>
      </c>
      <c r="L31" s="232">
        <f t="shared" ref="L31:S31" si="13">SUM(L27:L30)</f>
        <v>0</v>
      </c>
      <c r="M31" s="261">
        <f t="shared" si="13"/>
        <v>0</v>
      </c>
      <c r="N31" s="261">
        <f t="shared" si="13"/>
        <v>0</v>
      </c>
      <c r="O31" s="261">
        <f t="shared" si="13"/>
        <v>0</v>
      </c>
      <c r="P31" s="232">
        <f t="shared" si="13"/>
        <v>14.869790091435165</v>
      </c>
      <c r="Q31" s="261">
        <f t="shared" si="13"/>
        <v>1337.3435267449204</v>
      </c>
      <c r="R31" s="261">
        <f t="shared" si="13"/>
        <v>522.68620532259411</v>
      </c>
      <c r="S31" s="261">
        <f t="shared" si="13"/>
        <v>1997.4091111099112</v>
      </c>
      <c r="T31" s="15"/>
      <c r="U31" s="464">
        <f t="shared" ca="1" si="10"/>
        <v>0.14516963847643685</v>
      </c>
      <c r="V31" s="465">
        <f t="shared" si="1"/>
        <v>0</v>
      </c>
      <c r="W31" s="466">
        <f>O31/$O$34</f>
        <v>0</v>
      </c>
      <c r="X31" s="466">
        <f t="shared" ca="1" si="12"/>
        <v>1.8751448061459744E-2</v>
      </c>
      <c r="Y31" s="524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2:39" x14ac:dyDescent="0.35">
      <c r="B32" s="447" t="s">
        <v>287</v>
      </c>
      <c r="C32" s="411" t="s">
        <v>319</v>
      </c>
      <c r="D32" s="231">
        <f>'Déchet - émissions'!G11</f>
        <v>0</v>
      </c>
      <c r="E32" s="115">
        <f>'Déchet - émissions'!H11</f>
        <v>0</v>
      </c>
      <c r="F32" s="115">
        <f>'Déchet - émissions'!I11</f>
        <v>0</v>
      </c>
      <c r="G32" s="115">
        <f>'Déchet - émissions'!J11</f>
        <v>0</v>
      </c>
      <c r="H32" s="231">
        <f>'Déchet - émissions'!K11</f>
        <v>0</v>
      </c>
      <c r="I32" s="115">
        <f>'Déchet - émissions'!L11</f>
        <v>0</v>
      </c>
      <c r="J32" s="115">
        <f>'Déchet - émissions'!M11</f>
        <v>0</v>
      </c>
      <c r="K32" s="115">
        <f>'Déchet - émissions'!N11</f>
        <v>0</v>
      </c>
      <c r="L32" s="231">
        <f>'Déchet - émissions'!O11</f>
        <v>0</v>
      </c>
      <c r="M32" s="115">
        <f>'Déchet - émissions'!P11</f>
        <v>897.16344428365801</v>
      </c>
      <c r="N32" s="115">
        <f>'Déchet - émissions'!Q11</f>
        <v>497.04869327306113</v>
      </c>
      <c r="O32" s="115">
        <f>'Déchet - émissions'!R11</f>
        <v>1394.212137556719</v>
      </c>
      <c r="P32" s="231">
        <f>'Déchet - émissions'!S11</f>
        <v>0</v>
      </c>
      <c r="Q32" s="115">
        <f>'Déchet - émissions'!T11</f>
        <v>897.16344428365801</v>
      </c>
      <c r="R32" s="115">
        <f>'Déchet - émissions'!U11</f>
        <v>497.04869327306113</v>
      </c>
      <c r="S32" s="115">
        <f>'Déchet - émissions'!V11</f>
        <v>1394.212137556719</v>
      </c>
      <c r="T32" s="15"/>
      <c r="U32" s="461">
        <f t="shared" ca="1" si="10"/>
        <v>0</v>
      </c>
      <c r="V32" s="462">
        <f t="shared" si="1"/>
        <v>0</v>
      </c>
      <c r="W32" s="463">
        <f t="shared" si="11"/>
        <v>1.5829142494248653E-2</v>
      </c>
      <c r="X32" s="463">
        <f t="shared" ca="1" si="12"/>
        <v>1.3088703930825811E-2</v>
      </c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2:24" x14ac:dyDescent="0.35">
      <c r="B33" s="448"/>
      <c r="C33" s="234" t="s">
        <v>23</v>
      </c>
      <c r="D33" s="235">
        <f>D32</f>
        <v>0</v>
      </c>
      <c r="E33" s="236">
        <f t="shared" ref="E33:S33" si="14">E32</f>
        <v>0</v>
      </c>
      <c r="F33" s="236">
        <f t="shared" si="14"/>
        <v>0</v>
      </c>
      <c r="G33" s="333">
        <f t="shared" si="14"/>
        <v>0</v>
      </c>
      <c r="H33" s="235">
        <f t="shared" si="14"/>
        <v>0</v>
      </c>
      <c r="I33" s="236">
        <f t="shared" si="14"/>
        <v>0</v>
      </c>
      <c r="J33" s="236">
        <f t="shared" si="14"/>
        <v>0</v>
      </c>
      <c r="K33" s="333">
        <f t="shared" si="14"/>
        <v>0</v>
      </c>
      <c r="L33" s="235">
        <f t="shared" si="14"/>
        <v>0</v>
      </c>
      <c r="M33" s="236">
        <f t="shared" si="14"/>
        <v>897.16344428365801</v>
      </c>
      <c r="N33" s="236">
        <f>N32</f>
        <v>497.04869327306113</v>
      </c>
      <c r="O33" s="333">
        <f t="shared" si="14"/>
        <v>1394.212137556719</v>
      </c>
      <c r="P33" s="235">
        <f t="shared" si="14"/>
        <v>0</v>
      </c>
      <c r="Q33" s="236">
        <f t="shared" si="14"/>
        <v>897.16344428365801</v>
      </c>
      <c r="R33" s="236">
        <f t="shared" si="14"/>
        <v>497.04869327306113</v>
      </c>
      <c r="S33" s="236">
        <f t="shared" si="14"/>
        <v>1394.212137556719</v>
      </c>
      <c r="T33" s="15"/>
      <c r="U33" s="467">
        <f t="shared" ca="1" si="10"/>
        <v>0</v>
      </c>
      <c r="V33" s="468">
        <f t="shared" si="1"/>
        <v>0</v>
      </c>
      <c r="W33" s="469">
        <f t="shared" si="11"/>
        <v>1.5829142494248653E-2</v>
      </c>
      <c r="X33" s="469">
        <f t="shared" ca="1" si="12"/>
        <v>1.3088703930825811E-2</v>
      </c>
    </row>
    <row r="34" spans="2:24" x14ac:dyDescent="0.35">
      <c r="B34" s="449"/>
      <c r="C34" s="237" t="s">
        <v>24</v>
      </c>
      <c r="D34" s="238">
        <f t="shared" ref="D34:S34" ca="1" si="15">D9+D13+D17+D26+D31+D33</f>
        <v>11899.108418807744</v>
      </c>
      <c r="E34" s="239">
        <f t="shared" ca="1" si="15"/>
        <v>1337.3435267449204</v>
      </c>
      <c r="F34" s="239">
        <f t="shared" ca="1" si="15"/>
        <v>522.68620532259411</v>
      </c>
      <c r="G34" s="334">
        <f t="shared" ca="1" si="15"/>
        <v>13759.138150875258</v>
      </c>
      <c r="H34" s="238">
        <f t="shared" si="15"/>
        <v>4682.5670819231891</v>
      </c>
      <c r="I34" s="239">
        <f t="shared" si="15"/>
        <v>0</v>
      </c>
      <c r="J34" s="239">
        <f t="shared" si="15"/>
        <v>0</v>
      </c>
      <c r="K34" s="334">
        <f t="shared" si="15"/>
        <v>4682.5670819231891</v>
      </c>
      <c r="L34" s="238">
        <f t="shared" si="15"/>
        <v>86684.604391089146</v>
      </c>
      <c r="M34" s="239">
        <f t="shared" si="15"/>
        <v>897.16344428365801</v>
      </c>
      <c r="N34" s="239">
        <f t="shared" si="15"/>
        <v>497.04869327306113</v>
      </c>
      <c r="O34" s="334">
        <f t="shared" si="15"/>
        <v>88078.816528645868</v>
      </c>
      <c r="P34" s="238">
        <f t="shared" ca="1" si="15"/>
        <v>103143.5079135652</v>
      </c>
      <c r="Q34" s="239">
        <f t="shared" ca="1" si="15"/>
        <v>2234.5069710285784</v>
      </c>
      <c r="R34" s="239">
        <f t="shared" ca="1" si="15"/>
        <v>1019.7348985956553</v>
      </c>
      <c r="S34" s="239">
        <f t="shared" ca="1" si="15"/>
        <v>106520.2593721404</v>
      </c>
      <c r="T34" s="15"/>
      <c r="U34" s="470">
        <f t="shared" ca="1" si="10"/>
        <v>1</v>
      </c>
      <c r="V34" s="471">
        <f t="shared" si="1"/>
        <v>1</v>
      </c>
      <c r="W34" s="472">
        <f t="shared" si="11"/>
        <v>1</v>
      </c>
      <c r="X34" s="472">
        <f t="shared" ca="1" si="12"/>
        <v>1</v>
      </c>
    </row>
    <row r="35" spans="2:24" x14ac:dyDescent="0.35">
      <c r="B35" s="4"/>
      <c r="G35" s="518">
        <f ca="1">G34/$S$34</f>
        <v>0.12916921374370838</v>
      </c>
      <c r="H35" s="519"/>
      <c r="I35" s="519"/>
      <c r="J35" s="519"/>
      <c r="K35" s="518">
        <f ca="1">K34/$S$34</f>
        <v>4.3959403680797648E-2</v>
      </c>
      <c r="L35" s="519"/>
      <c r="M35" s="519"/>
      <c r="N35" s="519"/>
      <c r="O35" s="518">
        <f ca="1">O34/$S$34</f>
        <v>0.82687384585623946</v>
      </c>
      <c r="S35" s="473">
        <f ca="1">S34/$S$34</f>
        <v>1</v>
      </c>
    </row>
    <row r="36" spans="2:24" x14ac:dyDescent="0.35">
      <c r="B36" s="4"/>
      <c r="G36" s="82"/>
      <c r="N36" s="82"/>
      <c r="O36" s="82"/>
      <c r="S36" s="115"/>
    </row>
    <row r="37" spans="2:24" x14ac:dyDescent="0.35">
      <c r="B37" s="4"/>
      <c r="G37" s="82"/>
      <c r="S37" s="82"/>
    </row>
    <row r="38" spans="2:24" x14ac:dyDescent="0.35">
      <c r="C38" s="4" t="s">
        <v>525</v>
      </c>
      <c r="O38" s="82"/>
      <c r="P38" s="82"/>
      <c r="R38" s="28"/>
    </row>
    <row r="39" spans="2:24" x14ac:dyDescent="0.35">
      <c r="C39" s="200" t="s">
        <v>324</v>
      </c>
      <c r="D39" s="82">
        <f>G9+K7</f>
        <v>9706.1237768654082</v>
      </c>
      <c r="E39" s="76">
        <f>D39/D$43</f>
        <v>0.52632127861347733</v>
      </c>
    </row>
    <row r="40" spans="2:24" x14ac:dyDescent="0.35">
      <c r="C40" s="200" t="s">
        <v>177</v>
      </c>
      <c r="D40" s="82">
        <f>K8</f>
        <v>2737.7822571241727</v>
      </c>
      <c r="E40" s="76">
        <f t="shared" ref="E40:E42" si="16">D40/D$43</f>
        <v>0.14845813748732578</v>
      </c>
      <c r="H40" s="82"/>
    </row>
    <row r="41" spans="2:24" x14ac:dyDescent="0.35">
      <c r="C41" s="200" t="s">
        <v>325</v>
      </c>
      <c r="D41" s="82">
        <f>G10</f>
        <v>4000.1276983950497</v>
      </c>
      <c r="E41" s="76">
        <f t="shared" si="16"/>
        <v>0.21690969260608298</v>
      </c>
      <c r="R41" s="28"/>
    </row>
    <row r="42" spans="2:24" x14ac:dyDescent="0.35">
      <c r="C42" s="200" t="s">
        <v>326</v>
      </c>
      <c r="D42" s="82">
        <f>G31</f>
        <v>1997.4091111099112</v>
      </c>
      <c r="E42" s="76">
        <f t="shared" si="16"/>
        <v>0.10831089129311394</v>
      </c>
    </row>
    <row r="43" spans="2:24" x14ac:dyDescent="0.35">
      <c r="C43" s="4" t="s">
        <v>24</v>
      </c>
      <c r="D43" s="359">
        <f>SUM(D39:D42)</f>
        <v>18441.44284349454</v>
      </c>
      <c r="P43" s="28"/>
    </row>
    <row r="45" spans="2:24" x14ac:dyDescent="0.35">
      <c r="Q45" s="28"/>
    </row>
  </sheetData>
  <sheetProtection algorithmName="SHA-512" hashValue="EX/YIIUMbuo4qXoKstHPZTFUxPfB1v/sSjYZrE6Ob6on+zJaB2zdMJ+S98rMkhRpeX5f0eUGenz3akS6S6NgmA==" saltValue="DvO/lJHorc8RL+EFbjt5gA==" spinCount="100000" sheet="1" objects="1" scenarios="1"/>
  <mergeCells count="10">
    <mergeCell ref="U4:X4"/>
    <mergeCell ref="B27:B30"/>
    <mergeCell ref="D4:G4"/>
    <mergeCell ref="L4:O4"/>
    <mergeCell ref="P4:S4"/>
    <mergeCell ref="B6:B8"/>
    <mergeCell ref="B10:B12"/>
    <mergeCell ref="B14:B16"/>
    <mergeCell ref="B18:B25"/>
    <mergeCell ref="H4:K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6D0B-4105-4731-83D8-3315C80173B1}">
  <sheetPr codeName="Feuil10">
    <tabColor theme="4" tint="0.39997558519241921"/>
  </sheetPr>
  <dimension ref="B2:N64"/>
  <sheetViews>
    <sheetView topLeftCell="B8" workbookViewId="0">
      <selection activeCell="E22" sqref="E22"/>
    </sheetView>
  </sheetViews>
  <sheetFormatPr baseColWidth="10" defaultRowHeight="14.5" x14ac:dyDescent="0.35"/>
  <cols>
    <col min="2" max="2" width="40.7265625" customWidth="1"/>
    <col min="3" max="3" width="19.1796875" customWidth="1"/>
    <col min="4" max="4" width="23.26953125" customWidth="1"/>
    <col min="5" max="5" width="24.1796875" customWidth="1"/>
    <col min="6" max="6" width="18.81640625" customWidth="1"/>
    <col min="7" max="7" width="22.81640625" customWidth="1"/>
    <col min="8" max="8" width="16.1796875" customWidth="1"/>
    <col min="9" max="9" width="42.1796875" customWidth="1"/>
    <col min="12" max="12" width="21.81640625" bestFit="1" customWidth="1"/>
  </cols>
  <sheetData>
    <row r="2" spans="2:14" s="342" customFormat="1" ht="28.5" x14ac:dyDescent="0.65">
      <c r="B2" s="342" t="s">
        <v>366</v>
      </c>
    </row>
    <row r="4" spans="2:14" s="187" customFormat="1" x14ac:dyDescent="0.35">
      <c r="B4" s="188" t="s">
        <v>428</v>
      </c>
    </row>
    <row r="5" spans="2:14" s="29" customFormat="1" x14ac:dyDescent="0.35">
      <c r="F5" s="29" t="s">
        <v>567</v>
      </c>
    </row>
    <row r="6" spans="2:14" x14ac:dyDescent="0.35">
      <c r="B6" s="188"/>
      <c r="C6" s="188" t="s">
        <v>375</v>
      </c>
      <c r="D6" s="188" t="s">
        <v>430</v>
      </c>
      <c r="F6" s="188"/>
      <c r="G6" s="188" t="s">
        <v>562</v>
      </c>
      <c r="H6" s="188" t="s">
        <v>239</v>
      </c>
    </row>
    <row r="7" spans="2:14" x14ac:dyDescent="0.35">
      <c r="B7" t="s">
        <v>429</v>
      </c>
      <c r="C7">
        <f>260.7-25-5-1-2.1</f>
        <v>227.6</v>
      </c>
      <c r="D7" s="76">
        <f>1-D8</f>
        <v>0.43319610402650865</v>
      </c>
      <c r="F7" t="s">
        <v>566</v>
      </c>
      <c r="G7">
        <v>260.7</v>
      </c>
      <c r="H7">
        <f>G7</f>
        <v>260.7</v>
      </c>
    </row>
    <row r="8" spans="2:14" x14ac:dyDescent="0.35">
      <c r="B8" t="s">
        <v>239</v>
      </c>
      <c r="C8">
        <f>H11</f>
        <v>187.7</v>
      </c>
      <c r="D8" s="76">
        <f>11289.6/EPT_2023</f>
        <v>0.56680389597349135</v>
      </c>
      <c r="F8" t="s">
        <v>563</v>
      </c>
      <c r="G8">
        <v>25</v>
      </c>
      <c r="H8">
        <f>14*5</f>
        <v>70</v>
      </c>
    </row>
    <row r="9" spans="2:14" x14ac:dyDescent="0.35">
      <c r="B9" t="s">
        <v>431</v>
      </c>
      <c r="C9" s="110">
        <f>54.6/8.3</f>
        <v>6.5783132530120474</v>
      </c>
      <c r="F9" t="s">
        <v>564</v>
      </c>
      <c r="G9">
        <v>6</v>
      </c>
      <c r="H9">
        <v>3</v>
      </c>
    </row>
    <row r="10" spans="2:14" x14ac:dyDescent="0.35">
      <c r="F10" t="s">
        <v>565</v>
      </c>
      <c r="G10">
        <v>2.1</v>
      </c>
      <c r="H10">
        <v>0</v>
      </c>
    </row>
    <row r="11" spans="2:14" x14ac:dyDescent="0.35">
      <c r="B11" t="s">
        <v>24</v>
      </c>
      <c r="C11" s="38">
        <f>C7*D7+C8*D8-C9</f>
        <v>198.40621129764563</v>
      </c>
      <c r="F11" s="4" t="s">
        <v>71</v>
      </c>
      <c r="G11" s="4">
        <f>G7-G8-G9-G10</f>
        <v>227.6</v>
      </c>
      <c r="H11" s="4">
        <f>H7-H8-H9</f>
        <v>187.7</v>
      </c>
    </row>
    <row r="13" spans="2:14" s="187" customFormat="1" x14ac:dyDescent="0.35">
      <c r="B13" s="188">
        <v>2023</v>
      </c>
    </row>
    <row r="16" spans="2:14" x14ac:dyDescent="0.35">
      <c r="B16" s="344"/>
      <c r="C16" s="344" t="s">
        <v>535</v>
      </c>
      <c r="D16" s="344" t="s">
        <v>537</v>
      </c>
      <c r="E16" s="344" t="s">
        <v>539</v>
      </c>
      <c r="F16" s="344" t="s">
        <v>544</v>
      </c>
      <c r="G16" s="344" t="s">
        <v>536</v>
      </c>
      <c r="N16">
        <f>14.4 / (14.4+3.42+1.06)</f>
        <v>0.76271186440677974</v>
      </c>
    </row>
    <row r="17" spans="2:12" x14ac:dyDescent="0.35">
      <c r="B17" s="76" t="s">
        <v>368</v>
      </c>
      <c r="C17" s="76">
        <v>5.3431637587350962E-3</v>
      </c>
      <c r="D17" s="80">
        <f>C17*$J$21</f>
        <v>9.3505365777864183E-2</v>
      </c>
      <c r="E17" s="80">
        <f>D17</f>
        <v>9.3505365777864183E-2</v>
      </c>
      <c r="F17" s="35">
        <f xml:space="preserve"> $J$19* (1-$J$20)*2</f>
        <v>365.06742878766795</v>
      </c>
      <c r="G17" s="82">
        <f>E17*F17*EPT_2023</f>
        <v>679916.13664359064</v>
      </c>
      <c r="J17" s="76"/>
    </row>
    <row r="18" spans="2:12" x14ac:dyDescent="0.35">
      <c r="B18" s="76" t="s">
        <v>527</v>
      </c>
      <c r="C18" s="76">
        <v>3.5493311765972174E-4</v>
      </c>
      <c r="D18" s="80">
        <f>C18*$J$21</f>
        <v>6.2113295590451303E-3</v>
      </c>
      <c r="E18" s="80">
        <f t="shared" ref="E18:E28" si="0">D18</f>
        <v>6.2113295590451303E-3</v>
      </c>
      <c r="F18" s="35">
        <f xml:space="preserve"> $J$19* (1-$J$20)*2</f>
        <v>365.06742878766795</v>
      </c>
      <c r="G18" s="82">
        <f>E18*F18*EPT_2023</f>
        <v>45165.142792328079</v>
      </c>
      <c r="I18" s="344" t="s">
        <v>541</v>
      </c>
      <c r="J18" s="416"/>
      <c r="K18" s="111"/>
    </row>
    <row r="19" spans="2:12" x14ac:dyDescent="0.35">
      <c r="B19" s="76" t="s">
        <v>528</v>
      </c>
      <c r="C19" s="76">
        <v>1.2294069632857726E-2</v>
      </c>
      <c r="D19" s="80">
        <f>C19*$J$21</f>
        <v>0.21514621857501021</v>
      </c>
      <c r="E19" s="80">
        <f t="shared" si="0"/>
        <v>0.21514621857501021</v>
      </c>
      <c r="F19" s="35">
        <f xml:space="preserve"> $J$19* (1-$J$20)*2</f>
        <v>365.06742878766795</v>
      </c>
      <c r="G19" s="82">
        <f>E19*F19*EPT_2023</f>
        <v>1564417.0206714289</v>
      </c>
      <c r="I19" t="s">
        <v>369</v>
      </c>
      <c r="J19" s="38">
        <f>C11</f>
        <v>198.40621129764563</v>
      </c>
    </row>
    <row r="20" spans="2:12" x14ac:dyDescent="0.35">
      <c r="B20" s="76"/>
      <c r="C20" s="76"/>
      <c r="D20" s="80"/>
      <c r="E20" s="80"/>
      <c r="F20" s="35"/>
      <c r="G20" s="82"/>
      <c r="I20" t="s">
        <v>370</v>
      </c>
      <c r="J20" s="387">
        <v>0.08</v>
      </c>
    </row>
    <row r="21" spans="2:12" x14ac:dyDescent="0.35">
      <c r="B21" s="76" t="s">
        <v>529</v>
      </c>
      <c r="C21" s="76">
        <v>6.6528699787913219E-3</v>
      </c>
      <c r="D21" s="80">
        <f>C21*$J$21</f>
        <v>0.11642522462884813</v>
      </c>
      <c r="E21" s="80">
        <f t="shared" si="0"/>
        <v>0.11642522462884813</v>
      </c>
      <c r="F21" s="35">
        <f xml:space="preserve"> $J$19* (1-$J$20)*2</f>
        <v>365.06742878766795</v>
      </c>
      <c r="G21" s="82">
        <f>E21*F21*EPT_2023</f>
        <v>846575.89731870021</v>
      </c>
      <c r="I21" t="s">
        <v>372</v>
      </c>
      <c r="J21">
        <f>17.5</f>
        <v>17.5</v>
      </c>
      <c r="K21" t="s">
        <v>289</v>
      </c>
      <c r="L21" s="1" t="s">
        <v>292</v>
      </c>
    </row>
    <row r="22" spans="2:12" x14ac:dyDescent="0.35">
      <c r="B22" s="76" t="s">
        <v>530</v>
      </c>
      <c r="C22" s="76">
        <v>0.55447071601350051</v>
      </c>
      <c r="D22" s="80">
        <f>C22*$J$21</f>
        <v>9.7032375302362581</v>
      </c>
      <c r="E22" s="80">
        <f>D22/J23</f>
        <v>8.6636049377109448</v>
      </c>
      <c r="F22" s="35">
        <f xml:space="preserve"> $J$19* (1-$J$20)*2</f>
        <v>365.06742878766795</v>
      </c>
      <c r="G22" s="82">
        <f>E22*F22*EPT_2023</f>
        <v>62996649.97459691</v>
      </c>
      <c r="I22" t="s">
        <v>540</v>
      </c>
      <c r="J22">
        <v>1.33</v>
      </c>
      <c r="L22" s="1" t="s">
        <v>561</v>
      </c>
    </row>
    <row r="23" spans="2:12" x14ac:dyDescent="0.35">
      <c r="B23" s="76" t="s">
        <v>599</v>
      </c>
      <c r="C23" s="76">
        <v>3.7930064634823741E-4</v>
      </c>
      <c r="D23" s="80">
        <f>C23*$J$21</f>
        <v>6.6377613110941546E-3</v>
      </c>
      <c r="E23" s="80">
        <f t="shared" si="0"/>
        <v>6.6377613110941546E-3</v>
      </c>
      <c r="F23" s="35">
        <f xml:space="preserve"> $J$19* (1-$J$20)*2</f>
        <v>365.06742878766795</v>
      </c>
      <c r="G23" s="82">
        <f>E23*F23*EPT_2023</f>
        <v>48265.904197658769</v>
      </c>
      <c r="I23" t="s">
        <v>426</v>
      </c>
      <c r="J23">
        <v>1.1200000000000001</v>
      </c>
      <c r="L23" s="1" t="s">
        <v>589</v>
      </c>
    </row>
    <row r="24" spans="2:12" x14ac:dyDescent="0.35">
      <c r="B24" s="76"/>
      <c r="C24" s="76"/>
      <c r="D24" s="80"/>
      <c r="E24" s="80"/>
      <c r="F24" s="35"/>
      <c r="G24" s="82"/>
    </row>
    <row r="25" spans="2:12" x14ac:dyDescent="0.35">
      <c r="B25" s="76" t="s">
        <v>425</v>
      </c>
      <c r="C25" s="76">
        <v>0.35108569189356276</v>
      </c>
      <c r="D25" s="80">
        <f>C25*$J$21</f>
        <v>6.1439996081373485</v>
      </c>
      <c r="E25" s="80">
        <f t="shared" si="0"/>
        <v>6.1439996081373485</v>
      </c>
      <c r="F25" s="35">
        <f xml:space="preserve"> $J$19* (1-$J$20)*2</f>
        <v>365.06742878766795</v>
      </c>
      <c r="G25" s="82">
        <f>E25*F25*EPT_2023</f>
        <v>44675558.908870779</v>
      </c>
    </row>
    <row r="26" spans="2:12" x14ac:dyDescent="0.35">
      <c r="B26" s="76" t="s">
        <v>532</v>
      </c>
      <c r="C26" s="76">
        <v>3.3102877000321586E-2</v>
      </c>
      <c r="D26" s="80">
        <f>C26*$J$21</f>
        <v>0.57930034750562776</v>
      </c>
      <c r="E26" s="80">
        <f t="shared" si="0"/>
        <v>0.57930034750562776</v>
      </c>
      <c r="F26" s="35">
        <f xml:space="preserve"> $J$19* (1-$J$20)*2</f>
        <v>365.06742878766795</v>
      </c>
      <c r="G26" s="82">
        <f>E26*F26*EPT_2023</f>
        <v>4212332.1047481466</v>
      </c>
    </row>
    <row r="27" spans="2:12" x14ac:dyDescent="0.35">
      <c r="B27" s="76" t="s">
        <v>533</v>
      </c>
      <c r="C27" s="76">
        <v>3.6094083798309744E-2</v>
      </c>
      <c r="D27" s="80">
        <f>C27*$J$21</f>
        <v>0.63164646647042055</v>
      </c>
      <c r="E27" s="80">
        <f t="shared" si="0"/>
        <v>0.63164646647042055</v>
      </c>
      <c r="F27" s="35">
        <f xml:space="preserve"> $J$19* (1-$J$20)*2</f>
        <v>365.06742878766795</v>
      </c>
      <c r="G27" s="82">
        <f>E27*F27*EPT_2023</f>
        <v>4592962.357127239</v>
      </c>
    </row>
    <row r="28" spans="2:12" x14ac:dyDescent="0.35">
      <c r="B28" s="76" t="s">
        <v>534</v>
      </c>
      <c r="C28" s="76">
        <v>2.2229415991346064E-4</v>
      </c>
      <c r="D28" s="80">
        <f>C28*$J$21</f>
        <v>3.8901477984855611E-3</v>
      </c>
      <c r="E28" s="80">
        <f t="shared" si="0"/>
        <v>3.8901477984855611E-3</v>
      </c>
      <c r="F28" s="35">
        <f xml:space="preserve"> $J$19* (1-$J$20)*2</f>
        <v>365.06742878766795</v>
      </c>
      <c r="G28" s="82">
        <f>E28*F28*EPT_2023</f>
        <v>28286.871455082051</v>
      </c>
    </row>
    <row r="29" spans="2:12" x14ac:dyDescent="0.35">
      <c r="G29" s="82"/>
    </row>
    <row r="30" spans="2:12" x14ac:dyDescent="0.35">
      <c r="G30" s="82"/>
    </row>
    <row r="31" spans="2:12" x14ac:dyDescent="0.35">
      <c r="G31" s="82"/>
    </row>
    <row r="32" spans="2:12" x14ac:dyDescent="0.35">
      <c r="G32" s="82"/>
    </row>
    <row r="33" spans="2:13" s="187" customFormat="1" x14ac:dyDescent="0.35">
      <c r="B33" s="188">
        <v>2019</v>
      </c>
      <c r="G33" s="417"/>
    </row>
    <row r="34" spans="2:13" x14ac:dyDescent="0.35">
      <c r="G34" s="82"/>
    </row>
    <row r="35" spans="2:13" x14ac:dyDescent="0.35">
      <c r="B35" s="344"/>
      <c r="C35" s="344" t="s">
        <v>535</v>
      </c>
      <c r="D35" s="344" t="s">
        <v>538</v>
      </c>
      <c r="E35" s="344" t="s">
        <v>539</v>
      </c>
      <c r="F35" s="344" t="s">
        <v>544</v>
      </c>
      <c r="G35" s="418" t="s">
        <v>536</v>
      </c>
      <c r="I35" s="344" t="s">
        <v>542</v>
      </c>
      <c r="J35" s="416"/>
      <c r="K35" s="111"/>
    </row>
    <row r="36" spans="2:13" x14ac:dyDescent="0.35">
      <c r="B36" s="76" t="s">
        <v>368</v>
      </c>
      <c r="C36" s="76">
        <v>4.2713972646105302E-3</v>
      </c>
      <c r="D36" s="35">
        <f>C36*$J$38</f>
        <v>6.8598640069645125E-2</v>
      </c>
      <c r="E36" s="35">
        <f>D36</f>
        <v>6.8598640069645125E-2</v>
      </c>
      <c r="F36" s="35">
        <f xml:space="preserve"> $J$36* (1-$J$37)*2</f>
        <v>396.81242259529125</v>
      </c>
      <c r="G36" s="82">
        <f>E36*F36*EPT_2019</f>
        <v>495472.86604567064</v>
      </c>
      <c r="I36" t="s">
        <v>375</v>
      </c>
      <c r="J36" s="38">
        <f>C11</f>
        <v>198.40621129764563</v>
      </c>
    </row>
    <row r="37" spans="2:13" x14ac:dyDescent="0.35">
      <c r="B37" s="76" t="s">
        <v>527</v>
      </c>
      <c r="C37" s="76">
        <v>2.3202420968754248E-4</v>
      </c>
      <c r="D37" s="35">
        <f>C37*$J$38</f>
        <v>3.7263088075819325E-3</v>
      </c>
      <c r="E37" s="35">
        <f t="shared" ref="E37:E47" si="1">D37</f>
        <v>3.7263088075819325E-3</v>
      </c>
      <c r="F37" s="35">
        <f xml:space="preserve"> $J$36* (1-$J$37)*2</f>
        <v>396.81242259529125</v>
      </c>
      <c r="G37" s="82">
        <f>E37*F37*EPT_2019</f>
        <v>26914.307671251139</v>
      </c>
      <c r="I37" t="s">
        <v>371</v>
      </c>
      <c r="J37" s="387">
        <v>0</v>
      </c>
    </row>
    <row r="38" spans="2:13" x14ac:dyDescent="0.35">
      <c r="B38" s="76" t="s">
        <v>528</v>
      </c>
      <c r="C38" s="76">
        <v>7.2973838032518246E-3</v>
      </c>
      <c r="D38" s="35">
        <f>C38*$J$38</f>
        <v>0.11719598388022431</v>
      </c>
      <c r="E38" s="35">
        <f t="shared" si="1"/>
        <v>0.11719598388022431</v>
      </c>
      <c r="F38" s="35">
        <f xml:space="preserve"> $J$36* (1-$J$37)*2</f>
        <v>396.81242259529125</v>
      </c>
      <c r="G38" s="82">
        <f>E38*F38*EPT_2019</f>
        <v>846480.77517606318</v>
      </c>
      <c r="I38" t="s">
        <v>373</v>
      </c>
      <c r="J38" s="38">
        <f>29.2/2*J39</f>
        <v>16.060000000000002</v>
      </c>
      <c r="L38" s="1" t="s">
        <v>374</v>
      </c>
    </row>
    <row r="39" spans="2:13" x14ac:dyDescent="0.35">
      <c r="B39" s="76"/>
      <c r="C39" s="76"/>
      <c r="D39" s="35"/>
      <c r="E39" s="35"/>
      <c r="F39" s="35"/>
      <c r="G39" s="82"/>
      <c r="I39" t="s">
        <v>540</v>
      </c>
      <c r="J39" s="35">
        <v>1.1000000000000001</v>
      </c>
      <c r="L39" s="1"/>
    </row>
    <row r="40" spans="2:13" x14ac:dyDescent="0.35">
      <c r="B40" s="76" t="s">
        <v>529</v>
      </c>
      <c r="C40" s="76">
        <v>6.8758047349412564E-3</v>
      </c>
      <c r="D40" s="35">
        <f>C40*$J$38</f>
        <v>0.1104254240431566</v>
      </c>
      <c r="E40" s="35">
        <f t="shared" si="1"/>
        <v>0.1104254240431566</v>
      </c>
      <c r="F40" s="35">
        <f xml:space="preserve"> $J$36* (1-$J$37)*2</f>
        <v>396.81242259529125</v>
      </c>
      <c r="G40" s="82">
        <f>E40*F40*EPT_2019</f>
        <v>797578.51291838801</v>
      </c>
      <c r="I40" t="s">
        <v>543</v>
      </c>
      <c r="J40">
        <v>1.1000000000000001</v>
      </c>
    </row>
    <row r="41" spans="2:13" x14ac:dyDescent="0.35">
      <c r="B41" s="76" t="s">
        <v>530</v>
      </c>
      <c r="C41" s="76">
        <v>0.59192988533028612</v>
      </c>
      <c r="D41" s="35">
        <f>C41*$J$38</f>
        <v>9.5063939584043968</v>
      </c>
      <c r="E41" s="35">
        <f>D41/J41</f>
        <v>8.4878517485753537</v>
      </c>
      <c r="F41" s="35">
        <f xml:space="preserve"> $J$36* (1-$J$37)*2</f>
        <v>396.81242259529125</v>
      </c>
      <c r="G41" s="82">
        <f>E41*F41*EPT_2019</f>
        <v>61305883.442699909</v>
      </c>
      <c r="I41" t="s">
        <v>426</v>
      </c>
      <c r="J41">
        <v>1.1200000000000001</v>
      </c>
      <c r="L41" s="1" t="s">
        <v>589</v>
      </c>
    </row>
    <row r="42" spans="2:13" x14ac:dyDescent="0.35">
      <c r="B42" s="76" t="s">
        <v>531</v>
      </c>
      <c r="C42" s="76">
        <v>7.0274367837033769E-4</v>
      </c>
      <c r="D42" s="35">
        <f>C42*$J$38</f>
        <v>1.1286063474627624E-2</v>
      </c>
      <c r="E42" s="35">
        <f t="shared" si="1"/>
        <v>1.1286063474627624E-2</v>
      </c>
      <c r="F42" s="35">
        <f xml:space="preserve"> $J$36* (1-$J$37)*2</f>
        <v>396.81242259529125</v>
      </c>
      <c r="G42" s="82">
        <f>E42*F42*EPT_2019</f>
        <v>81516.750338926024</v>
      </c>
    </row>
    <row r="43" spans="2:13" x14ac:dyDescent="0.35">
      <c r="B43" s="76"/>
      <c r="C43" s="76"/>
      <c r="D43" s="35"/>
      <c r="E43" s="35"/>
      <c r="F43" s="35"/>
      <c r="G43" s="82"/>
    </row>
    <row r="44" spans="2:13" x14ac:dyDescent="0.35">
      <c r="B44" s="76" t="s">
        <v>425</v>
      </c>
      <c r="C44" s="76">
        <v>0.3219555948141189</v>
      </c>
      <c r="D44" s="35">
        <f>C44*$J$38</f>
        <v>5.1706068527147506</v>
      </c>
      <c r="E44" s="35">
        <f t="shared" si="1"/>
        <v>5.1706068527147506</v>
      </c>
      <c r="F44" s="35">
        <f xml:space="preserve"> $J$36* (1-$J$37)*2</f>
        <v>396.81242259529125</v>
      </c>
      <c r="G44" s="82">
        <f>E44*F44*EPT_2019</f>
        <v>37346154.29560972</v>
      </c>
    </row>
    <row r="45" spans="2:13" x14ac:dyDescent="0.35">
      <c r="B45" s="76" t="s">
        <v>532</v>
      </c>
      <c r="C45" s="76">
        <v>3.1093533124670409E-2</v>
      </c>
      <c r="D45" s="35">
        <f>C45*$J$38</f>
        <v>0.49936214198220685</v>
      </c>
      <c r="E45" s="35">
        <f t="shared" si="1"/>
        <v>0.49936214198220685</v>
      </c>
      <c r="F45" s="35">
        <f xml:space="preserve"> $J$36* (1-$J$37)*2</f>
        <v>396.81242259529125</v>
      </c>
      <c r="G45" s="82">
        <f>E45*F45*EPT_2019</f>
        <v>3606782.7500870908</v>
      </c>
    </row>
    <row r="46" spans="2:13" x14ac:dyDescent="0.35">
      <c r="B46" s="76" t="s">
        <v>533</v>
      </c>
      <c r="C46" s="76">
        <v>3.5488729192704717E-2</v>
      </c>
      <c r="D46" s="35">
        <f>C46*$J$38</f>
        <v>0.56994899083483785</v>
      </c>
      <c r="E46" s="35">
        <f t="shared" si="1"/>
        <v>0.56994899083483785</v>
      </c>
      <c r="F46" s="35">
        <f xml:space="preserve"> $J$36* (1-$J$37)*2</f>
        <v>396.81242259529125</v>
      </c>
      <c r="G46" s="82">
        <f>E46*F46*EPT_2019</f>
        <v>4116616.0102018425</v>
      </c>
    </row>
    <row r="47" spans="2:13" x14ac:dyDescent="0.35">
      <c r="B47" s="76" t="s">
        <v>534</v>
      </c>
      <c r="C47" s="76">
        <v>1.5290384735814006E-4</v>
      </c>
      <c r="D47" s="35">
        <f>C47*$J$38</f>
        <v>2.4556357885717299E-3</v>
      </c>
      <c r="E47" s="35">
        <f t="shared" si="1"/>
        <v>2.4556357885717299E-3</v>
      </c>
      <c r="F47" s="35">
        <f xml:space="preserve"> $J$36* (1-$J$37)*2</f>
        <v>396.81242259529125</v>
      </c>
      <c r="G47" s="82">
        <f>E47*F47*EPT_2019</f>
        <v>17736.516363774757</v>
      </c>
    </row>
    <row r="48" spans="2:13" x14ac:dyDescent="0.35">
      <c r="B48" s="76"/>
      <c r="C48" s="76"/>
      <c r="D48" s="35"/>
      <c r="F48" s="80"/>
      <c r="G48" s="38"/>
      <c r="J48" s="34"/>
      <c r="K48" s="34"/>
      <c r="L48" s="34"/>
      <c r="M48" s="34"/>
    </row>
    <row r="51" spans="2:8" s="310" customFormat="1" x14ac:dyDescent="0.35">
      <c r="B51" s="310" t="s">
        <v>526</v>
      </c>
    </row>
    <row r="54" spans="2:8" x14ac:dyDescent="0.35">
      <c r="B54" s="415"/>
      <c r="C54" s="415">
        <v>2017</v>
      </c>
      <c r="D54" s="415">
        <v>2018</v>
      </c>
      <c r="E54" s="415">
        <v>2019</v>
      </c>
      <c r="F54" s="415">
        <v>2020</v>
      </c>
      <c r="G54" s="415">
        <v>2021</v>
      </c>
      <c r="H54" s="415">
        <v>2023</v>
      </c>
    </row>
    <row r="55" spans="2:8" x14ac:dyDescent="0.35">
      <c r="B55" s="76" t="s">
        <v>368</v>
      </c>
      <c r="C55" s="76">
        <v>5.4900960946780101E-3</v>
      </c>
      <c r="D55" s="76">
        <v>4.3272987570657021E-3</v>
      </c>
      <c r="E55" s="76">
        <v>4.2713972646105302E-3</v>
      </c>
      <c r="F55" s="76">
        <v>5.939743179017562E-3</v>
      </c>
      <c r="G55" s="76">
        <v>5.1639268065120621E-3</v>
      </c>
      <c r="H55" s="76">
        <v>5.3431637587350962E-3</v>
      </c>
    </row>
    <row r="56" spans="2:8" x14ac:dyDescent="0.35">
      <c r="B56" s="76" t="s">
        <v>527</v>
      </c>
      <c r="C56" s="76">
        <v>1.9816565784287613E-4</v>
      </c>
      <c r="D56" s="76">
        <v>1.6877710099874268E-4</v>
      </c>
      <c r="E56" s="76">
        <v>2.3202420968754248E-4</v>
      </c>
      <c r="F56" s="76">
        <v>2.1318086443319185E-4</v>
      </c>
      <c r="G56" s="76">
        <v>3.8876006258084972E-4</v>
      </c>
      <c r="H56" s="76">
        <v>3.5493311765972174E-4</v>
      </c>
    </row>
    <row r="57" spans="2:8" x14ac:dyDescent="0.35">
      <c r="B57" s="76" t="s">
        <v>528</v>
      </c>
      <c r="C57" s="76">
        <v>5.332299738086509E-3</v>
      </c>
      <c r="D57" s="76">
        <v>5.6560657397001354E-3</v>
      </c>
      <c r="E57" s="76">
        <v>7.2973838032518246E-3</v>
      </c>
      <c r="F57" s="76">
        <v>9.0180380344797514E-3</v>
      </c>
      <c r="G57" s="76">
        <v>1.0458007766540937E-2</v>
      </c>
      <c r="H57" s="76">
        <v>1.2294069632857726E-2</v>
      </c>
    </row>
    <row r="58" spans="2:8" x14ac:dyDescent="0.35">
      <c r="B58" s="76" t="s">
        <v>529</v>
      </c>
      <c r="C58" s="76">
        <v>3.9288446693980707E-3</v>
      </c>
      <c r="D58" s="76">
        <v>4.796020818465801E-3</v>
      </c>
      <c r="E58" s="76">
        <v>6.8758047349412564E-3</v>
      </c>
      <c r="F58" s="76">
        <v>7.6619902787973546E-3</v>
      </c>
      <c r="G58" s="76">
        <v>6.3049362439850307E-3</v>
      </c>
      <c r="H58" s="76">
        <v>6.6528699787913219E-3</v>
      </c>
    </row>
    <row r="59" spans="2:8" x14ac:dyDescent="0.35">
      <c r="B59" s="76" t="s">
        <v>530</v>
      </c>
      <c r="C59" s="76">
        <v>0.57118623102035737</v>
      </c>
      <c r="D59" s="76">
        <v>0.57620989038666148</v>
      </c>
      <c r="E59" s="76">
        <v>0.59192988533028612</v>
      </c>
      <c r="F59" s="76">
        <v>0.60447372146057476</v>
      </c>
      <c r="G59" s="76">
        <v>0.60009804171780168</v>
      </c>
      <c r="H59" s="76">
        <v>0.55447071601350051</v>
      </c>
    </row>
    <row r="60" spans="2:8" x14ac:dyDescent="0.35">
      <c r="B60" s="76" t="s">
        <v>531</v>
      </c>
      <c r="C60" s="76">
        <v>7.4965544744007805E-4</v>
      </c>
      <c r="D60" s="76">
        <v>4.6880441426723528E-4</v>
      </c>
      <c r="E60" s="76">
        <v>7.0274367837033769E-4</v>
      </c>
      <c r="F60" s="76">
        <v>8.7210392862250912E-4</v>
      </c>
      <c r="G60" s="76">
        <v>5.697525834117373E-4</v>
      </c>
      <c r="H60" s="76">
        <v>3.7930064634823741E-4</v>
      </c>
    </row>
    <row r="61" spans="2:8" x14ac:dyDescent="0.35">
      <c r="B61" s="76" t="s">
        <v>425</v>
      </c>
      <c r="C61" s="76">
        <v>0.3498934753703109</v>
      </c>
      <c r="D61" s="76">
        <v>0.35467196246923582</v>
      </c>
      <c r="E61" s="76">
        <v>0.3219555948141189</v>
      </c>
      <c r="F61" s="76">
        <v>0.31235585854699233</v>
      </c>
      <c r="G61" s="76">
        <v>0.32110069364352795</v>
      </c>
      <c r="H61" s="76">
        <v>0.35108569189356276</v>
      </c>
    </row>
    <row r="62" spans="2:8" x14ac:dyDescent="0.35">
      <c r="B62" s="76" t="s">
        <v>532</v>
      </c>
      <c r="C62" s="76">
        <v>2.8182953077586181E-2</v>
      </c>
      <c r="D62" s="76">
        <v>1.954779715985136E-2</v>
      </c>
      <c r="E62" s="76">
        <v>3.1093533124670409E-2</v>
      </c>
      <c r="F62" s="76">
        <v>2.7380825390519933E-2</v>
      </c>
      <c r="G62" s="76">
        <v>2.1891910380572355E-2</v>
      </c>
      <c r="H62" s="76">
        <v>3.3102877000321586E-2</v>
      </c>
    </row>
    <row r="63" spans="2:8" x14ac:dyDescent="0.35">
      <c r="B63" s="76" t="s">
        <v>533</v>
      </c>
      <c r="C63" s="76">
        <v>3.4811942056811832E-2</v>
      </c>
      <c r="D63" s="76">
        <v>3.3852561312518417E-2</v>
      </c>
      <c r="E63" s="76">
        <v>3.5488729192704717E-2</v>
      </c>
      <c r="F63" s="76">
        <v>3.1636490668028462E-2</v>
      </c>
      <c r="G63" s="76">
        <v>3.3681395166273449E-2</v>
      </c>
      <c r="H63" s="76">
        <v>3.6094083798309744E-2</v>
      </c>
    </row>
    <row r="64" spans="2:8" x14ac:dyDescent="0.35">
      <c r="B64" s="76" t="s">
        <v>534</v>
      </c>
      <c r="C64" s="76">
        <v>2.2633686748817287E-4</v>
      </c>
      <c r="D64" s="76">
        <v>3.0082184123534305E-4</v>
      </c>
      <c r="E64" s="76">
        <v>1.5290384735814006E-4</v>
      </c>
      <c r="F64" s="76">
        <v>4.4804764853415674E-4</v>
      </c>
      <c r="G64" s="76">
        <v>3.4257562879380648E-4</v>
      </c>
      <c r="H64" s="76">
        <v>2.2229415991346064E-4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B530-2365-48D2-8783-7B9202087315}">
  <sheetPr codeName="Feuil11">
    <tabColor theme="9"/>
  </sheetPr>
  <dimension ref="A1:W33"/>
  <sheetViews>
    <sheetView topLeftCell="C1" workbookViewId="0">
      <selection activeCell="G34" sqref="G34"/>
    </sheetView>
  </sheetViews>
  <sheetFormatPr baseColWidth="10" defaultRowHeight="14.5" x14ac:dyDescent="0.35"/>
  <cols>
    <col min="3" max="3" width="30.453125" customWidth="1"/>
    <col min="4" max="4" width="41.453125" customWidth="1"/>
    <col min="5" max="5" width="22.81640625" hidden="1" customWidth="1"/>
    <col min="6" max="6" width="11.1796875" hidden="1" customWidth="1"/>
  </cols>
  <sheetData>
    <row r="1" spans="1:23" ht="15.65" customHeight="1" x14ac:dyDescent="0.35"/>
    <row r="2" spans="1:23" s="37" customFormat="1" ht="36" x14ac:dyDescent="0.8">
      <c r="A2" s="144" t="s">
        <v>14</v>
      </c>
    </row>
    <row r="5" spans="1:23" x14ac:dyDescent="0.35">
      <c r="A5" s="6">
        <v>2023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x14ac:dyDescent="0.35">
      <c r="C6" s="8"/>
    </row>
    <row r="7" spans="1:23" x14ac:dyDescent="0.35">
      <c r="E7" s="20"/>
      <c r="F7" s="19"/>
      <c r="G7" s="574" t="s">
        <v>523</v>
      </c>
      <c r="H7" s="575"/>
      <c r="I7" s="575"/>
      <c r="J7" s="576"/>
      <c r="K7" s="574" t="s">
        <v>520</v>
      </c>
      <c r="L7" s="575"/>
      <c r="M7" s="575"/>
      <c r="N7" s="576"/>
      <c r="O7" s="574" t="s">
        <v>547</v>
      </c>
      <c r="P7" s="575"/>
      <c r="Q7" s="575"/>
      <c r="R7" s="576"/>
      <c r="S7" s="574" t="s">
        <v>522</v>
      </c>
      <c r="T7" s="575"/>
      <c r="U7" s="575"/>
      <c r="V7" s="575"/>
    </row>
    <row r="8" spans="1:23" ht="15" thickBot="1" x14ac:dyDescent="0.4">
      <c r="B8" s="9" t="s">
        <v>16</v>
      </c>
      <c r="C8" s="10" t="s">
        <v>246</v>
      </c>
      <c r="D8" s="11" t="s">
        <v>17</v>
      </c>
      <c r="E8" s="13" t="s">
        <v>26</v>
      </c>
      <c r="F8" s="13" t="s">
        <v>27</v>
      </c>
      <c r="G8" s="12" t="s">
        <v>55</v>
      </c>
      <c r="H8" s="13" t="s">
        <v>18</v>
      </c>
      <c r="I8" s="13" t="s">
        <v>59</v>
      </c>
      <c r="J8" s="14" t="s">
        <v>19</v>
      </c>
      <c r="K8" s="12" t="s">
        <v>55</v>
      </c>
      <c r="L8" s="13" t="s">
        <v>18</v>
      </c>
      <c r="M8" s="13" t="s">
        <v>59</v>
      </c>
      <c r="N8" s="14" t="s">
        <v>19</v>
      </c>
      <c r="O8" s="12" t="s">
        <v>55</v>
      </c>
      <c r="P8" s="13" t="s">
        <v>18</v>
      </c>
      <c r="Q8" s="13" t="s">
        <v>59</v>
      </c>
      <c r="R8" s="14" t="s">
        <v>19</v>
      </c>
      <c r="S8" s="12" t="s">
        <v>55</v>
      </c>
      <c r="T8" s="13" t="s">
        <v>18</v>
      </c>
      <c r="U8" s="13" t="s">
        <v>59</v>
      </c>
      <c r="V8" s="14" t="s">
        <v>19</v>
      </c>
    </row>
    <row r="9" spans="1:23" ht="15" thickTop="1" x14ac:dyDescent="0.35">
      <c r="B9" s="15">
        <v>2023</v>
      </c>
      <c r="C9" s="16"/>
      <c r="D9" s="17" t="s">
        <v>21</v>
      </c>
      <c r="F9" s="28"/>
      <c r="G9" s="231">
        <v>0</v>
      </c>
      <c r="H9" s="82">
        <f>SUM('Agriculture - Calcul'!AB9:AE16)</f>
        <v>1098.1669216292908</v>
      </c>
      <c r="I9" s="82">
        <v>0</v>
      </c>
      <c r="J9" s="432">
        <f>SUM(G9:I9)</f>
        <v>1098.1669216292908</v>
      </c>
      <c r="K9" s="358">
        <v>0</v>
      </c>
      <c r="L9" s="358">
        <v>0</v>
      </c>
      <c r="M9" s="358">
        <v>0</v>
      </c>
      <c r="N9" s="359">
        <v>0</v>
      </c>
      <c r="O9" s="233">
        <v>0</v>
      </c>
      <c r="P9" s="297">
        <v>0</v>
      </c>
      <c r="Q9" s="297">
        <v>0</v>
      </c>
      <c r="R9" s="359">
        <v>0</v>
      </c>
      <c r="S9" s="233">
        <f>G9+O9</f>
        <v>0</v>
      </c>
      <c r="T9" s="297">
        <f>H9+P9</f>
        <v>1098.1669216292908</v>
      </c>
      <c r="U9" s="297">
        <f>I9+Q9</f>
        <v>0</v>
      </c>
      <c r="V9" s="550">
        <f>J9+R9</f>
        <v>1098.1669216292908</v>
      </c>
      <c r="W9" s="15"/>
    </row>
    <row r="10" spans="1:23" x14ac:dyDescent="0.35">
      <c r="B10" s="15">
        <v>2023</v>
      </c>
      <c r="C10" s="16"/>
      <c r="D10" s="17" t="s">
        <v>22</v>
      </c>
      <c r="E10" s="28" t="e">
        <f>SUM('Agriculture - Calcul'!#REF!)</f>
        <v>#REF!</v>
      </c>
      <c r="F10" s="28" t="s">
        <v>72</v>
      </c>
      <c r="G10" s="231">
        <v>0</v>
      </c>
      <c r="H10" s="82">
        <f>SUM('Agriculture - Calcul'!AB19:AE26)</f>
        <v>239.17660511562954</v>
      </c>
      <c r="I10" s="82">
        <f>SUM('Agriculture - Calcul'!AB29:AD36)</f>
        <v>30.328630051228043</v>
      </c>
      <c r="J10" s="432">
        <f t="shared" ref="J10:J13" si="0">SUM(G10:I10)</f>
        <v>269.50523516685757</v>
      </c>
      <c r="K10" s="358">
        <v>0</v>
      </c>
      <c r="L10" s="358">
        <v>0</v>
      </c>
      <c r="M10" s="358">
        <v>0</v>
      </c>
      <c r="N10" s="359">
        <v>0</v>
      </c>
      <c r="O10" s="231">
        <v>0</v>
      </c>
      <c r="P10" s="115">
        <v>0</v>
      </c>
      <c r="Q10" s="115">
        <v>0</v>
      </c>
      <c r="R10" s="359">
        <v>0</v>
      </c>
      <c r="S10" s="231">
        <f t="shared" ref="S10:S13" si="1">G10+O10</f>
        <v>0</v>
      </c>
      <c r="T10" s="115">
        <f t="shared" ref="T10:V14" si="2">H10+P10</f>
        <v>239.17660511562954</v>
      </c>
      <c r="U10" s="115">
        <f t="shared" si="2"/>
        <v>30.328630051228043</v>
      </c>
      <c r="V10" s="359">
        <f t="shared" si="2"/>
        <v>269.50523516685757</v>
      </c>
      <c r="W10" s="15"/>
    </row>
    <row r="11" spans="1:23" x14ac:dyDescent="0.35">
      <c r="B11" s="15">
        <v>2023</v>
      </c>
      <c r="C11" s="16"/>
      <c r="D11" s="17" t="s">
        <v>600</v>
      </c>
      <c r="E11" s="28" t="e">
        <f>SUM('Agriculture - Calcul'!#REF!)</f>
        <v>#REF!</v>
      </c>
      <c r="F11" s="28" t="s">
        <v>72</v>
      </c>
      <c r="G11" s="231">
        <f>SUM('Agriculture - Calcul'!AB43:AE44)</f>
        <v>14.869790091435165</v>
      </c>
      <c r="H11" s="82">
        <v>0</v>
      </c>
      <c r="I11" s="82">
        <f>SUM('Agriculture - Calcul'!AB39:AE40)</f>
        <v>492.35757527136604</v>
      </c>
      <c r="J11" s="432">
        <f>SUM(G11:I11)</f>
        <v>507.22736536280121</v>
      </c>
      <c r="K11" s="358">
        <v>0</v>
      </c>
      <c r="L11" s="358">
        <v>0</v>
      </c>
      <c r="M11" s="358">
        <v>0</v>
      </c>
      <c r="N11" s="359">
        <v>0</v>
      </c>
      <c r="O11" s="231">
        <v>0</v>
      </c>
      <c r="P11" s="115">
        <v>0</v>
      </c>
      <c r="Q11" s="115">
        <v>0</v>
      </c>
      <c r="R11" s="359">
        <f>SUM(O11:Q11)</f>
        <v>0</v>
      </c>
      <c r="S11" s="231">
        <f>G11+O11</f>
        <v>14.869790091435165</v>
      </c>
      <c r="T11" s="115">
        <f t="shared" si="2"/>
        <v>0</v>
      </c>
      <c r="U11" s="115">
        <f t="shared" si="2"/>
        <v>492.35757527136604</v>
      </c>
      <c r="V11" s="359">
        <f t="shared" si="2"/>
        <v>507.22736536280121</v>
      </c>
      <c r="W11" s="15"/>
    </row>
    <row r="12" spans="1:23" hidden="1" x14ac:dyDescent="0.35">
      <c r="B12" s="15">
        <v>2023</v>
      </c>
      <c r="C12" s="16"/>
      <c r="D12" s="474" t="s">
        <v>25</v>
      </c>
      <c r="E12" s="475" t="e">
        <f>SUM('Agriculture - Calcul'!#REF!)</f>
        <v>#REF!</v>
      </c>
      <c r="F12" s="475" t="s">
        <v>72</v>
      </c>
      <c r="G12" s="551">
        <v>0</v>
      </c>
      <c r="H12" s="552">
        <v>0</v>
      </c>
      <c r="I12" s="552">
        <v>0</v>
      </c>
      <c r="J12" s="553">
        <v>0</v>
      </c>
      <c r="K12" s="554">
        <v>0</v>
      </c>
      <c r="L12" s="554">
        <v>0</v>
      </c>
      <c r="M12" s="554">
        <v>0</v>
      </c>
      <c r="N12" s="555">
        <v>0</v>
      </c>
      <c r="O12" s="551">
        <v>0</v>
      </c>
      <c r="P12" s="554">
        <v>0</v>
      </c>
      <c r="Q12" s="554">
        <v>0</v>
      </c>
      <c r="R12" s="555">
        <v>0</v>
      </c>
      <c r="S12" s="551">
        <v>0</v>
      </c>
      <c r="T12" s="554">
        <f t="shared" si="2"/>
        <v>0</v>
      </c>
      <c r="U12" s="554">
        <f t="shared" si="2"/>
        <v>0</v>
      </c>
      <c r="V12" s="555">
        <f t="shared" si="2"/>
        <v>0</v>
      </c>
      <c r="W12" s="15"/>
    </row>
    <row r="13" spans="1:23" hidden="1" x14ac:dyDescent="0.35">
      <c r="B13" s="15">
        <v>2023</v>
      </c>
      <c r="C13" s="16"/>
      <c r="D13" s="17" t="s">
        <v>28</v>
      </c>
      <c r="E13" s="28"/>
      <c r="F13" s="28"/>
      <c r="G13" s="536">
        <v>0</v>
      </c>
      <c r="H13" s="82">
        <v>0</v>
      </c>
      <c r="I13" s="82">
        <v>0</v>
      </c>
      <c r="J13" s="432">
        <f t="shared" si="0"/>
        <v>0</v>
      </c>
      <c r="K13" s="358">
        <v>0</v>
      </c>
      <c r="L13" s="358">
        <v>0</v>
      </c>
      <c r="M13" s="358">
        <v>0</v>
      </c>
      <c r="N13" s="359">
        <v>0</v>
      </c>
      <c r="O13" s="231">
        <v>0</v>
      </c>
      <c r="P13" s="115">
        <v>0</v>
      </c>
      <c r="Q13" s="115">
        <v>0</v>
      </c>
      <c r="R13" s="359">
        <v>0</v>
      </c>
      <c r="S13" s="231">
        <f t="shared" si="1"/>
        <v>0</v>
      </c>
      <c r="T13" s="115">
        <f t="shared" si="2"/>
        <v>0</v>
      </c>
      <c r="U13" s="115">
        <f t="shared" si="2"/>
        <v>0</v>
      </c>
      <c r="V13" s="359">
        <f t="shared" si="2"/>
        <v>0</v>
      </c>
      <c r="W13" s="15"/>
    </row>
    <row r="14" spans="1:23" x14ac:dyDescent="0.35">
      <c r="B14" s="15">
        <v>2023</v>
      </c>
      <c r="C14" s="16"/>
      <c r="D14" s="17" t="s">
        <v>585</v>
      </c>
      <c r="E14" s="28"/>
      <c r="F14" s="28"/>
      <c r="G14" s="536">
        <f>'Agriculture - Calcul'!D120</f>
        <v>122.50958895096159</v>
      </c>
      <c r="H14" s="82">
        <v>0</v>
      </c>
      <c r="I14" s="82">
        <v>0</v>
      </c>
      <c r="J14" s="432">
        <f>SUM(G14:I14)</f>
        <v>122.50958895096159</v>
      </c>
      <c r="K14" s="358">
        <v>0</v>
      </c>
      <c r="L14" s="358">
        <v>0</v>
      </c>
      <c r="M14" s="358">
        <v>0</v>
      </c>
      <c r="N14" s="359">
        <v>0</v>
      </c>
      <c r="O14" s="231">
        <v>0</v>
      </c>
      <c r="P14" s="113">
        <v>0</v>
      </c>
      <c r="Q14" s="113">
        <v>0</v>
      </c>
      <c r="R14" s="359">
        <v>0</v>
      </c>
      <c r="S14" s="231"/>
      <c r="T14" s="115">
        <f t="shared" si="2"/>
        <v>0</v>
      </c>
      <c r="U14" s="115">
        <f t="shared" si="2"/>
        <v>0</v>
      </c>
      <c r="V14" s="359">
        <f t="shared" si="2"/>
        <v>122.50958895096159</v>
      </c>
      <c r="W14" s="15"/>
    </row>
    <row r="15" spans="1:23" x14ac:dyDescent="0.35">
      <c r="B15" s="21" t="s">
        <v>23</v>
      </c>
      <c r="C15" s="22"/>
      <c r="D15" s="23"/>
      <c r="E15" s="24"/>
      <c r="F15" s="24"/>
      <c r="G15" s="62">
        <f>SUM(G9:G14)</f>
        <v>137.37937904239675</v>
      </c>
      <c r="H15" s="62">
        <f>SUM(H9:H14)</f>
        <v>1337.3435267449204</v>
      </c>
      <c r="I15" s="62">
        <f>SUM(I9:I14)</f>
        <v>522.68620532259411</v>
      </c>
      <c r="J15" s="63">
        <f>SUM(J9:J14)</f>
        <v>1997.4091111099112</v>
      </c>
      <c r="K15" s="281">
        <v>0</v>
      </c>
      <c r="L15" s="281">
        <v>0</v>
      </c>
      <c r="M15" s="281">
        <v>0</v>
      </c>
      <c r="N15" s="65">
        <v>0</v>
      </c>
      <c r="O15" s="61">
        <f>SUM(O9:O14)</f>
        <v>0</v>
      </c>
      <c r="P15" s="62">
        <f>SUM(P9:P14)</f>
        <v>0</v>
      </c>
      <c r="Q15" s="62">
        <f>SUM(Q9:Q14)</f>
        <v>0</v>
      </c>
      <c r="R15" s="64">
        <f>SUM(R9:R14)</f>
        <v>0</v>
      </c>
      <c r="S15" s="61">
        <f t="shared" ref="S15" si="3">SUM(S9:S13)</f>
        <v>14.869790091435165</v>
      </c>
      <c r="T15" s="62">
        <f>SUM(T9:T14)</f>
        <v>1337.3435267449204</v>
      </c>
      <c r="U15" s="62">
        <f>SUM(U9:U14)</f>
        <v>522.68620532259411</v>
      </c>
      <c r="V15" s="65">
        <f>SUM(V9:V14)</f>
        <v>1997.4091111099112</v>
      </c>
      <c r="W15" s="15"/>
    </row>
    <row r="16" spans="1:23" x14ac:dyDescent="0.35">
      <c r="B16" s="25" t="s">
        <v>24</v>
      </c>
      <c r="C16" s="2"/>
      <c r="D16" s="26"/>
      <c r="E16" s="27"/>
      <c r="F16" s="27"/>
      <c r="G16" s="556">
        <f t="shared" ref="G16:V16" si="4">G15</f>
        <v>137.37937904239675</v>
      </c>
      <c r="H16" s="557">
        <f t="shared" si="4"/>
        <v>1337.3435267449204</v>
      </c>
      <c r="I16" s="557">
        <f t="shared" si="4"/>
        <v>522.68620532259411</v>
      </c>
      <c r="J16" s="558">
        <f t="shared" si="4"/>
        <v>1997.4091111099112</v>
      </c>
      <c r="K16" s="556">
        <f t="shared" si="4"/>
        <v>0</v>
      </c>
      <c r="L16" s="557">
        <f t="shared" si="4"/>
        <v>0</v>
      </c>
      <c r="M16" s="557">
        <f t="shared" si="4"/>
        <v>0</v>
      </c>
      <c r="N16" s="558">
        <f t="shared" si="4"/>
        <v>0</v>
      </c>
      <c r="O16" s="556">
        <f t="shared" si="4"/>
        <v>0</v>
      </c>
      <c r="P16" s="557">
        <f t="shared" si="4"/>
        <v>0</v>
      </c>
      <c r="Q16" s="557">
        <f t="shared" si="4"/>
        <v>0</v>
      </c>
      <c r="R16" s="558">
        <f t="shared" si="4"/>
        <v>0</v>
      </c>
      <c r="S16" s="556">
        <f t="shared" si="4"/>
        <v>14.869790091435165</v>
      </c>
      <c r="T16" s="557">
        <f t="shared" si="4"/>
        <v>1337.3435267449204</v>
      </c>
      <c r="U16" s="557">
        <f t="shared" si="4"/>
        <v>522.68620532259411</v>
      </c>
      <c r="V16" s="558">
        <f t="shared" si="4"/>
        <v>1997.4091111099112</v>
      </c>
      <c r="W16" s="15"/>
    </row>
    <row r="17" spans="1:23" x14ac:dyDescent="0.35"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3" x14ac:dyDescent="0.35">
      <c r="A18" s="6">
        <v>2019</v>
      </c>
      <c r="B18" s="7"/>
      <c r="C18" s="7"/>
      <c r="D18" s="7"/>
      <c r="E18" s="7"/>
      <c r="F18" s="7"/>
      <c r="G18" s="559"/>
      <c r="H18" s="559"/>
      <c r="I18" s="559"/>
      <c r="J18" s="559"/>
      <c r="K18" s="559"/>
      <c r="L18" s="559"/>
      <c r="M18" s="559"/>
      <c r="N18" s="559"/>
      <c r="O18" s="559"/>
      <c r="P18" s="559"/>
      <c r="Q18" s="559"/>
      <c r="R18" s="559"/>
      <c r="S18" s="559"/>
      <c r="T18" s="559"/>
      <c r="U18" s="559"/>
      <c r="V18" s="559"/>
    </row>
    <row r="19" spans="1:23" x14ac:dyDescent="0.35"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</row>
    <row r="20" spans="1:23" x14ac:dyDescent="0.35">
      <c r="G20" s="574" t="s">
        <v>523</v>
      </c>
      <c r="H20" s="575"/>
      <c r="I20" s="575"/>
      <c r="J20" s="576"/>
      <c r="K20" s="574" t="s">
        <v>520</v>
      </c>
      <c r="L20" s="575"/>
      <c r="M20" s="575"/>
      <c r="N20" s="576"/>
      <c r="O20" s="574" t="s">
        <v>547</v>
      </c>
      <c r="P20" s="575"/>
      <c r="Q20" s="575"/>
      <c r="R20" s="576"/>
      <c r="S20" s="574" t="s">
        <v>522</v>
      </c>
      <c r="T20" s="575"/>
      <c r="U20" s="575"/>
      <c r="V20" s="575"/>
    </row>
    <row r="21" spans="1:23" ht="15" thickBot="1" x14ac:dyDescent="0.4">
      <c r="B21" s="9" t="s">
        <v>16</v>
      </c>
      <c r="C21" s="10" t="s">
        <v>246</v>
      </c>
      <c r="D21" s="11" t="s">
        <v>17</v>
      </c>
      <c r="E21" s="13"/>
      <c r="F21" s="13"/>
      <c r="G21" s="543" t="s">
        <v>55</v>
      </c>
      <c r="H21" s="542" t="s">
        <v>18</v>
      </c>
      <c r="I21" s="542" t="s">
        <v>59</v>
      </c>
      <c r="J21" s="544" t="s">
        <v>19</v>
      </c>
      <c r="K21" s="543" t="s">
        <v>55</v>
      </c>
      <c r="L21" s="542" t="s">
        <v>18</v>
      </c>
      <c r="M21" s="542" t="s">
        <v>59</v>
      </c>
      <c r="N21" s="544" t="s">
        <v>19</v>
      </c>
      <c r="O21" s="543" t="s">
        <v>55</v>
      </c>
      <c r="P21" s="542" t="s">
        <v>18</v>
      </c>
      <c r="Q21" s="542" t="s">
        <v>59</v>
      </c>
      <c r="R21" s="544" t="s">
        <v>19</v>
      </c>
      <c r="S21" s="543" t="s">
        <v>55</v>
      </c>
      <c r="T21" s="542" t="s">
        <v>18</v>
      </c>
      <c r="U21" s="542" t="s">
        <v>59</v>
      </c>
      <c r="V21" s="542" t="s">
        <v>19</v>
      </c>
      <c r="W21" s="15"/>
    </row>
    <row r="22" spans="1:23" ht="15" thickTop="1" x14ac:dyDescent="0.35">
      <c r="B22" s="15">
        <v>2019</v>
      </c>
      <c r="C22" s="16"/>
      <c r="D22" s="17" t="s">
        <v>21</v>
      </c>
      <c r="E22" s="28"/>
      <c r="F22" s="28"/>
      <c r="G22" s="231">
        <v>0</v>
      </c>
      <c r="H22" s="82">
        <f>SUM('Agriculture - Calcul'!AA66:AD73)</f>
        <v>1053.2539984905218</v>
      </c>
      <c r="I22" s="82">
        <v>0</v>
      </c>
      <c r="J22" s="432">
        <f>SUM(G22:I22)</f>
        <v>1053.2539984905218</v>
      </c>
      <c r="K22" s="358">
        <v>0</v>
      </c>
      <c r="L22" s="358">
        <v>0</v>
      </c>
      <c r="M22" s="358">
        <v>0</v>
      </c>
      <c r="N22" s="359">
        <v>0</v>
      </c>
      <c r="O22" s="231">
        <v>0</v>
      </c>
      <c r="P22" s="82">
        <v>0</v>
      </c>
      <c r="Q22" s="82">
        <v>0</v>
      </c>
      <c r="R22" s="335">
        <v>0</v>
      </c>
      <c r="S22" s="233">
        <f>G22+O22</f>
        <v>0</v>
      </c>
      <c r="T22" s="297">
        <f>H22+P22</f>
        <v>1053.2539984905218</v>
      </c>
      <c r="U22" s="297">
        <f>I22+Q22</f>
        <v>0</v>
      </c>
      <c r="V22" s="359">
        <f>J22+R22</f>
        <v>1053.2539984905218</v>
      </c>
      <c r="W22" s="15"/>
    </row>
    <row r="23" spans="1:23" x14ac:dyDescent="0.35">
      <c r="B23" s="15">
        <v>2019</v>
      </c>
      <c r="C23" s="16"/>
      <c r="D23" s="17" t="s">
        <v>22</v>
      </c>
      <c r="E23" s="28"/>
      <c r="F23" s="28"/>
      <c r="G23" s="231">
        <v>0</v>
      </c>
      <c r="H23" s="82">
        <f>SUM('Agriculture - Calcul'!AA76:AD83)</f>
        <v>231.42949374284808</v>
      </c>
      <c r="I23" s="82">
        <f>SUM('Agriculture - Calcul'!AA86:AD93)</f>
        <v>30.012525234843071</v>
      </c>
      <c r="J23" s="432">
        <f t="shared" ref="J23:J26" si="5">SUM(G23:I23)</f>
        <v>261.44201897769113</v>
      </c>
      <c r="K23" s="358">
        <v>0</v>
      </c>
      <c r="L23" s="358">
        <v>0</v>
      </c>
      <c r="M23" s="358">
        <v>0</v>
      </c>
      <c r="N23" s="359">
        <v>0</v>
      </c>
      <c r="O23" s="231">
        <v>0</v>
      </c>
      <c r="P23" s="82">
        <v>0</v>
      </c>
      <c r="Q23" s="82">
        <v>0</v>
      </c>
      <c r="R23" s="335">
        <v>0</v>
      </c>
      <c r="S23" s="231">
        <f t="shared" ref="S23:S26" si="6">G23+O23</f>
        <v>0</v>
      </c>
      <c r="T23" s="115">
        <f t="shared" ref="T23:T27" si="7">H23+P23</f>
        <v>231.42949374284808</v>
      </c>
      <c r="U23" s="115">
        <f t="shared" ref="U23:U27" si="8">I23+Q23</f>
        <v>30.012525234843071</v>
      </c>
      <c r="V23" s="359">
        <f t="shared" ref="V23:V27" si="9">J23+R23</f>
        <v>261.44201897769113</v>
      </c>
      <c r="W23" s="15"/>
    </row>
    <row r="24" spans="1:23" x14ac:dyDescent="0.35">
      <c r="B24" s="15">
        <v>2019</v>
      </c>
      <c r="C24" s="16"/>
      <c r="D24" s="17" t="s">
        <v>66</v>
      </c>
      <c r="E24" s="28"/>
      <c r="F24" s="28"/>
      <c r="G24" s="231">
        <f>SUM('Agriculture - Calcul'!AA100:AD101)</f>
        <v>14.596024741666453</v>
      </c>
      <c r="H24" s="82">
        <v>0</v>
      </c>
      <c r="I24" s="82">
        <f>SUM('Agriculture - Calcul'!AA96:AD97)</f>
        <v>507.66072463209542</v>
      </c>
      <c r="J24" s="432">
        <f t="shared" si="5"/>
        <v>522.25674937376186</v>
      </c>
      <c r="K24" s="358">
        <v>0</v>
      </c>
      <c r="L24" s="358">
        <v>0</v>
      </c>
      <c r="M24" s="358">
        <v>0</v>
      </c>
      <c r="N24" s="359">
        <v>0</v>
      </c>
      <c r="O24" s="231">
        <v>0</v>
      </c>
      <c r="P24" s="82">
        <v>0</v>
      </c>
      <c r="Q24" s="82">
        <v>0</v>
      </c>
      <c r="R24" s="335">
        <v>0</v>
      </c>
      <c r="S24" s="231">
        <f t="shared" si="6"/>
        <v>14.596024741666453</v>
      </c>
      <c r="T24" s="115">
        <f t="shared" si="7"/>
        <v>0</v>
      </c>
      <c r="U24" s="115">
        <f t="shared" si="8"/>
        <v>507.66072463209542</v>
      </c>
      <c r="V24" s="359">
        <f t="shared" si="9"/>
        <v>522.25674937376186</v>
      </c>
      <c r="W24" s="15"/>
    </row>
    <row r="25" spans="1:23" hidden="1" x14ac:dyDescent="0.35">
      <c r="B25" s="15">
        <v>2019</v>
      </c>
      <c r="C25" s="16"/>
      <c r="D25" s="474" t="s">
        <v>25</v>
      </c>
      <c r="E25" s="475"/>
      <c r="F25" s="475"/>
      <c r="G25" s="551">
        <v>0</v>
      </c>
      <c r="H25" s="552">
        <v>0</v>
      </c>
      <c r="I25" s="552">
        <v>0</v>
      </c>
      <c r="J25" s="553">
        <v>0</v>
      </c>
      <c r="K25" s="554">
        <v>0</v>
      </c>
      <c r="L25" s="554">
        <v>0</v>
      </c>
      <c r="M25" s="554">
        <v>0</v>
      </c>
      <c r="N25" s="555">
        <v>0</v>
      </c>
      <c r="O25" s="551">
        <v>0</v>
      </c>
      <c r="P25" s="552">
        <v>0</v>
      </c>
      <c r="Q25" s="552">
        <v>0</v>
      </c>
      <c r="R25" s="560">
        <v>0</v>
      </c>
      <c r="S25" s="551">
        <v>0</v>
      </c>
      <c r="T25" s="554">
        <f t="shared" si="7"/>
        <v>0</v>
      </c>
      <c r="U25" s="554">
        <f t="shared" si="8"/>
        <v>0</v>
      </c>
      <c r="V25" s="555">
        <f t="shared" si="9"/>
        <v>0</v>
      </c>
      <c r="W25" s="15"/>
    </row>
    <row r="26" spans="1:23" hidden="1" x14ac:dyDescent="0.35">
      <c r="B26" s="15">
        <v>2019</v>
      </c>
      <c r="C26" s="16"/>
      <c r="D26" s="17" t="s">
        <v>28</v>
      </c>
      <c r="E26" s="28"/>
      <c r="F26" s="28"/>
      <c r="G26" s="231">
        <v>0</v>
      </c>
      <c r="H26" s="82">
        <v>0</v>
      </c>
      <c r="I26" s="82">
        <v>0</v>
      </c>
      <c r="J26" s="432">
        <f t="shared" si="5"/>
        <v>0</v>
      </c>
      <c r="K26" s="358">
        <v>0</v>
      </c>
      <c r="L26" s="358">
        <v>0</v>
      </c>
      <c r="M26" s="358">
        <v>0</v>
      </c>
      <c r="N26" s="359">
        <v>0</v>
      </c>
      <c r="O26" s="231">
        <v>0</v>
      </c>
      <c r="P26" s="82">
        <v>0</v>
      </c>
      <c r="Q26" s="82">
        <v>0</v>
      </c>
      <c r="R26" s="335">
        <v>0</v>
      </c>
      <c r="S26" s="231">
        <f t="shared" si="6"/>
        <v>0</v>
      </c>
      <c r="T26" s="115">
        <f t="shared" si="7"/>
        <v>0</v>
      </c>
      <c r="U26" s="115">
        <f t="shared" si="8"/>
        <v>0</v>
      </c>
      <c r="V26" s="359">
        <f t="shared" si="9"/>
        <v>0</v>
      </c>
      <c r="W26" s="15"/>
    </row>
    <row r="27" spans="1:23" x14ac:dyDescent="0.35">
      <c r="B27" s="15">
        <v>2019</v>
      </c>
      <c r="C27" s="16"/>
      <c r="D27" s="17" t="s">
        <v>29</v>
      </c>
      <c r="E27" s="28"/>
      <c r="F27" s="28"/>
      <c r="G27" s="231">
        <f>'Agriculture - Calcul'!C120</f>
        <v>123.6881281774393</v>
      </c>
      <c r="H27" s="82">
        <v>0</v>
      </c>
      <c r="I27" s="82">
        <v>0</v>
      </c>
      <c r="J27" s="432">
        <f>SUM(G27:I27)</f>
        <v>123.6881281774393</v>
      </c>
      <c r="K27" s="358">
        <v>0</v>
      </c>
      <c r="L27" s="358">
        <v>0</v>
      </c>
      <c r="M27" s="358">
        <v>0</v>
      </c>
      <c r="N27" s="359">
        <v>0</v>
      </c>
      <c r="O27" s="231">
        <v>0</v>
      </c>
      <c r="P27" s="82">
        <v>0</v>
      </c>
      <c r="Q27" s="82">
        <v>0</v>
      </c>
      <c r="R27" s="335">
        <v>0</v>
      </c>
      <c r="S27" s="231"/>
      <c r="T27" s="115">
        <f t="shared" si="7"/>
        <v>0</v>
      </c>
      <c r="U27" s="115">
        <f t="shared" si="8"/>
        <v>0</v>
      </c>
      <c r="V27" s="359">
        <f t="shared" si="9"/>
        <v>123.6881281774393</v>
      </c>
      <c r="W27" s="15"/>
    </row>
    <row r="28" spans="1:23" x14ac:dyDescent="0.35">
      <c r="B28" s="21" t="s">
        <v>23</v>
      </c>
      <c r="C28" s="22"/>
      <c r="D28" s="23"/>
      <c r="E28" s="24"/>
      <c r="F28" s="24"/>
      <c r="G28" s="62">
        <f>SUM(G22:G27)</f>
        <v>138.28415291910574</v>
      </c>
      <c r="H28" s="62">
        <f>SUM(H22:H27)</f>
        <v>1284.6834922333699</v>
      </c>
      <c r="I28" s="62">
        <f>SUM(I22:I27)</f>
        <v>537.67324986693848</v>
      </c>
      <c r="J28" s="63">
        <f>SUM(J22:J27)</f>
        <v>1960.6408950194138</v>
      </c>
      <c r="K28" s="281">
        <v>0</v>
      </c>
      <c r="L28" s="281">
        <v>0</v>
      </c>
      <c r="M28" s="281">
        <v>0</v>
      </c>
      <c r="N28" s="65">
        <v>0</v>
      </c>
      <c r="O28" s="61">
        <f>SUM(O22:O27)</f>
        <v>0</v>
      </c>
      <c r="P28" s="62">
        <f>SUM(P22:P27)</f>
        <v>0</v>
      </c>
      <c r="Q28" s="62">
        <f>SUM(Q22:Q27)</f>
        <v>0</v>
      </c>
      <c r="R28" s="64">
        <f>SUM(R22:R27)</f>
        <v>0</v>
      </c>
      <c r="S28" s="61">
        <f t="shared" ref="S28" si="10">SUM(S22:S26)</f>
        <v>14.596024741666453</v>
      </c>
      <c r="T28" s="62">
        <f>SUM(T22:T27)</f>
        <v>1284.6834922333699</v>
      </c>
      <c r="U28" s="62">
        <f>SUM(U22:U27)</f>
        <v>537.67324986693848</v>
      </c>
      <c r="V28" s="65">
        <f>SUM(V22:V27)</f>
        <v>1960.6408950194138</v>
      </c>
      <c r="W28" s="15"/>
    </row>
    <row r="29" spans="1:23" x14ac:dyDescent="0.35">
      <c r="B29" s="25" t="s">
        <v>24</v>
      </c>
      <c r="C29" s="2"/>
      <c r="D29" s="26"/>
      <c r="E29" s="27"/>
      <c r="F29" s="27"/>
      <c r="G29" s="556">
        <f t="shared" ref="G29:V29" si="11">G28</f>
        <v>138.28415291910574</v>
      </c>
      <c r="H29" s="557">
        <f t="shared" si="11"/>
        <v>1284.6834922333699</v>
      </c>
      <c r="I29" s="557">
        <f t="shared" si="11"/>
        <v>537.67324986693848</v>
      </c>
      <c r="J29" s="558">
        <f t="shared" si="11"/>
        <v>1960.6408950194138</v>
      </c>
      <c r="K29" s="556">
        <f t="shared" si="11"/>
        <v>0</v>
      </c>
      <c r="L29" s="557">
        <f t="shared" si="11"/>
        <v>0</v>
      </c>
      <c r="M29" s="557">
        <f t="shared" si="11"/>
        <v>0</v>
      </c>
      <c r="N29" s="558">
        <f t="shared" si="11"/>
        <v>0</v>
      </c>
      <c r="O29" s="556">
        <f t="shared" si="11"/>
        <v>0</v>
      </c>
      <c r="P29" s="557">
        <f t="shared" si="11"/>
        <v>0</v>
      </c>
      <c r="Q29" s="557">
        <f t="shared" si="11"/>
        <v>0</v>
      </c>
      <c r="R29" s="558">
        <f t="shared" si="11"/>
        <v>0</v>
      </c>
      <c r="S29" s="556">
        <f t="shared" si="11"/>
        <v>14.596024741666453</v>
      </c>
      <c r="T29" s="557">
        <f t="shared" si="11"/>
        <v>1284.6834922333699</v>
      </c>
      <c r="U29" s="557">
        <f t="shared" si="11"/>
        <v>537.67324986693848</v>
      </c>
      <c r="V29" s="558">
        <f t="shared" si="11"/>
        <v>1960.6408950194138</v>
      </c>
      <c r="W29" s="15"/>
    </row>
    <row r="33" spans="22:22" x14ac:dyDescent="0.35">
      <c r="V33" s="76">
        <f>-1+V15/V28</f>
        <v>1.8753161878801494E-2</v>
      </c>
    </row>
  </sheetData>
  <sheetProtection algorithmName="SHA-512" hashValue="rvpaLViA1zzbvfNPcaxz1FNB8JqR6gGGaazfn1mi28RCmBbsUNQOBeDgAu0Yr2SVqLwTx9vAj5agr+RsBVULNA==" saltValue="yhUck3UyEJW41H4zWCD3Tw==" spinCount="100000" sheet="1" objects="1" scenarios="1"/>
  <mergeCells count="8">
    <mergeCell ref="G7:J7"/>
    <mergeCell ref="O7:R7"/>
    <mergeCell ref="S7:V7"/>
    <mergeCell ref="G20:J20"/>
    <mergeCell ref="O20:R20"/>
    <mergeCell ref="S20:V20"/>
    <mergeCell ref="K7:N7"/>
    <mergeCell ref="K20:N20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E7AC-17D5-4AE0-9FC0-96C12AA994C5}">
  <sheetPr codeName="Feuil12">
    <tabColor theme="9"/>
  </sheetPr>
  <dimension ref="B2:AG120"/>
  <sheetViews>
    <sheetView topLeftCell="A67" zoomScale="70" zoomScaleNormal="70" workbookViewId="0">
      <selection activeCell="E123" sqref="E123"/>
    </sheetView>
  </sheetViews>
  <sheetFormatPr baseColWidth="10" defaultRowHeight="14.5" x14ac:dyDescent="0.35"/>
  <cols>
    <col min="1" max="1" width="9.453125" customWidth="1"/>
    <col min="2" max="2" width="40.54296875" customWidth="1"/>
    <col min="3" max="3" width="20.453125" customWidth="1"/>
    <col min="4" max="4" width="18.453125" customWidth="1"/>
    <col min="5" max="5" width="21.54296875" customWidth="1"/>
    <col min="6" max="6" width="25.26953125" customWidth="1"/>
    <col min="7" max="7" width="30" customWidth="1"/>
    <col min="8" max="8" width="13.08984375" customWidth="1"/>
    <col min="9" max="9" width="15.08984375" customWidth="1"/>
    <col min="10" max="10" width="26" customWidth="1"/>
    <col min="11" max="11" width="22.1796875" customWidth="1"/>
    <col min="12" max="12" width="20.453125" customWidth="1"/>
    <col min="13" max="13" width="21.453125" customWidth="1"/>
    <col min="14" max="14" width="22.81640625" customWidth="1"/>
    <col min="18" max="18" width="26.54296875" customWidth="1"/>
    <col min="19" max="19" width="31.7265625" customWidth="1"/>
    <col min="20" max="20" width="17.453125" customWidth="1"/>
    <col min="21" max="22" width="28.453125" customWidth="1"/>
    <col min="23" max="23" width="22.54296875" customWidth="1"/>
    <col min="25" max="25" width="19.1796875" bestFit="1" customWidth="1"/>
    <col min="26" max="26" width="16.453125" customWidth="1"/>
    <col min="27" max="27" width="20.81640625" customWidth="1"/>
    <col min="28" max="28" width="22" customWidth="1"/>
    <col min="29" max="29" width="20.453125" customWidth="1"/>
    <col min="30" max="31" width="24.1796875" customWidth="1"/>
  </cols>
  <sheetData>
    <row r="2" spans="2:32" s="5" customFormat="1" ht="46" x14ac:dyDescent="1">
      <c r="B2" s="371" t="s">
        <v>449</v>
      </c>
    </row>
    <row r="4" spans="2:32" s="67" customFormat="1" ht="23.5" x14ac:dyDescent="0.55000000000000004">
      <c r="B4" s="68">
        <v>2023</v>
      </c>
    </row>
    <row r="5" spans="2:32" x14ac:dyDescent="0.35">
      <c r="O5">
        <v>198</v>
      </c>
      <c r="P5">
        <v>0</v>
      </c>
      <c r="Q5">
        <v>50</v>
      </c>
    </row>
    <row r="6" spans="2:32" ht="18.5" x14ac:dyDescent="0.45">
      <c r="B6" s="583" t="s">
        <v>83</v>
      </c>
      <c r="C6" s="583"/>
      <c r="D6" s="583"/>
      <c r="E6" s="583"/>
      <c r="F6" s="583"/>
      <c r="G6" s="583"/>
      <c r="I6" s="582" t="s">
        <v>84</v>
      </c>
      <c r="J6" s="582"/>
      <c r="K6" s="582"/>
      <c r="L6" s="582"/>
      <c r="M6" s="582"/>
      <c r="N6" s="364"/>
      <c r="Q6" s="583" t="s">
        <v>64</v>
      </c>
      <c r="R6" s="583"/>
      <c r="S6" s="583"/>
      <c r="T6" s="583"/>
      <c r="U6" s="583"/>
      <c r="V6" s="365"/>
      <c r="Y6" s="583" t="s">
        <v>79</v>
      </c>
      <c r="Z6" s="583"/>
      <c r="AA6" s="583"/>
      <c r="AB6" s="583"/>
      <c r="AC6" s="583"/>
      <c r="AD6" s="365"/>
    </row>
    <row r="7" spans="2:32" ht="15.5" x14ac:dyDescent="0.35">
      <c r="H7" s="36"/>
      <c r="K7" s="1" t="s">
        <v>46</v>
      </c>
      <c r="W7" s="74"/>
      <c r="X7" s="74"/>
      <c r="AA7" s="75"/>
      <c r="AB7" s="75"/>
      <c r="AC7" s="75"/>
      <c r="AD7" s="364"/>
      <c r="AE7" s="93" t="s">
        <v>82</v>
      </c>
      <c r="AF7" s="75"/>
    </row>
    <row r="8" spans="2:32" x14ac:dyDescent="0.35">
      <c r="B8" s="30" t="s">
        <v>30</v>
      </c>
      <c r="C8" s="30"/>
      <c r="D8" s="30">
        <v>1990</v>
      </c>
      <c r="E8" s="30">
        <v>2015</v>
      </c>
      <c r="F8" s="30">
        <v>2019</v>
      </c>
      <c r="G8" s="30">
        <v>2023</v>
      </c>
      <c r="H8" s="37" t="s">
        <v>587</v>
      </c>
      <c r="J8" s="30" t="s">
        <v>30</v>
      </c>
      <c r="K8" s="30"/>
      <c r="L8" s="37" t="s">
        <v>47</v>
      </c>
      <c r="M8" s="37" t="s">
        <v>13</v>
      </c>
      <c r="N8" s="37" t="s">
        <v>48</v>
      </c>
      <c r="O8" s="37" t="s">
        <v>455</v>
      </c>
      <c r="P8" s="37" t="s">
        <v>587</v>
      </c>
      <c r="R8" s="30" t="s">
        <v>30</v>
      </c>
      <c r="S8" s="30"/>
      <c r="T8" s="37" t="s">
        <v>47</v>
      </c>
      <c r="U8" s="37" t="s">
        <v>13</v>
      </c>
      <c r="V8" s="37" t="s">
        <v>48</v>
      </c>
      <c r="W8" s="37" t="s">
        <v>455</v>
      </c>
      <c r="Z8" s="30" t="s">
        <v>21</v>
      </c>
      <c r="AA8" s="30"/>
      <c r="AB8" s="37" t="s">
        <v>47</v>
      </c>
      <c r="AC8" s="37" t="s">
        <v>13</v>
      </c>
      <c r="AD8" s="37" t="s">
        <v>48</v>
      </c>
      <c r="AE8" s="37" t="s">
        <v>455</v>
      </c>
      <c r="AF8" s="94"/>
    </row>
    <row r="9" spans="2:32" x14ac:dyDescent="0.35">
      <c r="B9" s="31" t="s">
        <v>603</v>
      </c>
      <c r="C9" s="31"/>
      <c r="D9" s="39">
        <v>1.1434706980088609E-4</v>
      </c>
      <c r="E9" s="39">
        <v>1.1506841609320993E-4</v>
      </c>
      <c r="F9" s="39">
        <v>1.1323173237158592E-4</v>
      </c>
      <c r="G9" s="39">
        <v>1.1156209309891455E-4</v>
      </c>
      <c r="H9" s="486" t="s">
        <v>586</v>
      </c>
      <c r="J9" s="31" t="s">
        <v>31</v>
      </c>
      <c r="K9" s="31"/>
      <c r="L9">
        <v>198</v>
      </c>
      <c r="M9">
        <v>0</v>
      </c>
      <c r="N9">
        <v>50</v>
      </c>
      <c r="O9">
        <v>0</v>
      </c>
      <c r="P9" s="486" t="s">
        <v>586</v>
      </c>
      <c r="R9" s="31" t="s">
        <v>31</v>
      </c>
      <c r="S9" s="31"/>
      <c r="T9" s="39">
        <f>$G9*L9</f>
        <v>2.208929443358508E-2</v>
      </c>
      <c r="U9" s="39">
        <f>$G9*M9</f>
        <v>0</v>
      </c>
      <c r="V9" s="39">
        <f>$G9*N9</f>
        <v>5.5781046549457274E-3</v>
      </c>
      <c r="W9" s="39">
        <f>$G9*O9</f>
        <v>0</v>
      </c>
      <c r="Z9" s="31" t="s">
        <v>31</v>
      </c>
      <c r="AA9" s="31"/>
      <c r="AB9" s="38">
        <f t="shared" ref="AB9:AE16" si="0">T9*PRG_CH4*1000</f>
        <v>618.50024414038216</v>
      </c>
      <c r="AC9" s="38">
        <f t="shared" si="0"/>
        <v>0</v>
      </c>
      <c r="AD9" s="38">
        <f t="shared" si="0"/>
        <v>156.18693033848035</v>
      </c>
      <c r="AE9" s="38">
        <f t="shared" si="0"/>
        <v>0</v>
      </c>
      <c r="AF9" s="94"/>
    </row>
    <row r="10" spans="2:32" x14ac:dyDescent="0.35">
      <c r="B10" s="31" t="s">
        <v>32</v>
      </c>
      <c r="C10" s="31"/>
      <c r="D10" s="39">
        <v>2.8853134574227479E-6</v>
      </c>
      <c r="E10" s="39">
        <v>3.562200123928542E-5</v>
      </c>
      <c r="F10" s="39">
        <v>3.9698048118810157E-5</v>
      </c>
      <c r="G10" s="39">
        <v>4.2697049569955252E-5</v>
      </c>
      <c r="H10" s="486" t="s">
        <v>586</v>
      </c>
      <c r="J10" s="31" t="s">
        <v>32</v>
      </c>
      <c r="K10" s="31"/>
      <c r="L10">
        <v>50</v>
      </c>
      <c r="M10">
        <v>0</v>
      </c>
      <c r="N10">
        <v>3</v>
      </c>
      <c r="O10">
        <v>0</v>
      </c>
      <c r="P10" s="486" t="s">
        <v>586</v>
      </c>
      <c r="R10" s="31" t="s">
        <v>32</v>
      </c>
      <c r="S10" s="31"/>
      <c r="T10" s="39">
        <f t="shared" ref="T10:T16" si="1">$G10*L10</f>
        <v>2.1348524784977627E-3</v>
      </c>
      <c r="U10" s="39">
        <f t="shared" ref="U10:U16" si="2">$G10*M10</f>
        <v>0</v>
      </c>
      <c r="V10" s="39">
        <f t="shared" ref="V10:V16" si="3">$G10*N10</f>
        <v>1.2809114870986576E-4</v>
      </c>
      <c r="W10" s="39">
        <f t="shared" ref="W10:W16" si="4">$G10*O10</f>
        <v>0</v>
      </c>
      <c r="X10" s="35"/>
      <c r="Y10" s="35"/>
      <c r="Z10" s="84" t="s">
        <v>32</v>
      </c>
      <c r="AA10" s="84"/>
      <c r="AB10" s="38">
        <f t="shared" si="0"/>
        <v>59.775869397937356</v>
      </c>
      <c r="AC10" s="38">
        <f t="shared" si="0"/>
        <v>0</v>
      </c>
      <c r="AD10" s="38">
        <f t="shared" si="0"/>
        <v>3.5865521638762412</v>
      </c>
      <c r="AE10" s="38">
        <f t="shared" si="0"/>
        <v>0</v>
      </c>
      <c r="AF10" s="94"/>
    </row>
    <row r="11" spans="2:32" x14ac:dyDescent="0.35">
      <c r="B11" s="31" t="s">
        <v>33</v>
      </c>
      <c r="C11" s="31"/>
      <c r="D11" s="39">
        <v>6.7513512269457365E-5</v>
      </c>
      <c r="E11" s="39">
        <v>6.3516623756285399E-5</v>
      </c>
      <c r="F11" s="39">
        <v>6.1678431405163032E-5</v>
      </c>
      <c r="G11" s="39">
        <v>6.0382471423333258E-5</v>
      </c>
      <c r="H11" s="486" t="s">
        <v>586</v>
      </c>
      <c r="J11" s="31" t="s">
        <v>33</v>
      </c>
      <c r="K11" s="31"/>
      <c r="L11">
        <v>113</v>
      </c>
      <c r="M11">
        <v>0</v>
      </c>
      <c r="N11">
        <v>22</v>
      </c>
      <c r="O11">
        <v>0</v>
      </c>
      <c r="P11" s="486" t="s">
        <v>586</v>
      </c>
      <c r="R11" s="31" t="s">
        <v>33</v>
      </c>
      <c r="S11" s="31"/>
      <c r="T11" s="39">
        <f t="shared" si="1"/>
        <v>6.8232192708366579E-3</v>
      </c>
      <c r="U11" s="39">
        <f t="shared" si="2"/>
        <v>0</v>
      </c>
      <c r="V11" s="39">
        <f t="shared" si="3"/>
        <v>1.3284143713133316E-3</v>
      </c>
      <c r="W11" s="39">
        <f t="shared" si="4"/>
        <v>0</v>
      </c>
      <c r="X11" s="35"/>
      <c r="Y11" s="35"/>
      <c r="Z11" s="84" t="s">
        <v>33</v>
      </c>
      <c r="AA11" s="84"/>
      <c r="AB11" s="38">
        <f t="shared" si="0"/>
        <v>191.05013958342641</v>
      </c>
      <c r="AC11" s="38">
        <f t="shared" si="0"/>
        <v>0</v>
      </c>
      <c r="AD11" s="38">
        <f t="shared" si="0"/>
        <v>37.195602396773289</v>
      </c>
      <c r="AE11" s="38">
        <f t="shared" si="0"/>
        <v>0</v>
      </c>
      <c r="AF11" s="94"/>
    </row>
    <row r="12" spans="2:32" x14ac:dyDescent="0.35">
      <c r="B12" s="31" t="s">
        <v>34</v>
      </c>
      <c r="C12" s="31"/>
      <c r="D12" s="39">
        <v>7.5295868086616948E-6</v>
      </c>
      <c r="E12" s="39">
        <v>7.9793143623889959E-6</v>
      </c>
      <c r="F12" s="39">
        <v>8.3388666035481675E-6</v>
      </c>
      <c r="G12" s="39">
        <v>7.7366176930559858E-6</v>
      </c>
      <c r="H12" s="486" t="s">
        <v>586</v>
      </c>
      <c r="J12" s="31" t="s">
        <v>34</v>
      </c>
      <c r="K12" s="31"/>
      <c r="L12">
        <v>15</v>
      </c>
      <c r="M12">
        <v>0</v>
      </c>
      <c r="N12">
        <v>0</v>
      </c>
      <c r="O12">
        <v>0</v>
      </c>
      <c r="P12" s="486" t="s">
        <v>586</v>
      </c>
      <c r="R12" s="31" t="s">
        <v>34</v>
      </c>
      <c r="S12" s="31"/>
      <c r="T12" s="39">
        <f t="shared" si="1"/>
        <v>1.1604926539583979E-4</v>
      </c>
      <c r="U12" s="39">
        <f t="shared" si="2"/>
        <v>0</v>
      </c>
      <c r="V12" s="39">
        <f t="shared" si="3"/>
        <v>0</v>
      </c>
      <c r="W12" s="39">
        <f t="shared" si="4"/>
        <v>0</v>
      </c>
      <c r="X12" s="35"/>
      <c r="Y12" s="35"/>
      <c r="Z12" s="84" t="s">
        <v>34</v>
      </c>
      <c r="AA12" s="84"/>
      <c r="AB12" s="38">
        <f t="shared" si="0"/>
        <v>3.249379431083514</v>
      </c>
      <c r="AC12" s="38">
        <f t="shared" si="0"/>
        <v>0</v>
      </c>
      <c r="AD12" s="38">
        <f t="shared" si="0"/>
        <v>0</v>
      </c>
      <c r="AE12" s="38">
        <f t="shared" si="0"/>
        <v>0</v>
      </c>
      <c r="AF12" s="94"/>
    </row>
    <row r="13" spans="2:32" x14ac:dyDescent="0.35">
      <c r="B13" s="31" t="s">
        <v>35</v>
      </c>
      <c r="C13" s="31"/>
      <c r="D13" s="39">
        <v>1.1199689763915058E-6</v>
      </c>
      <c r="E13" s="39">
        <v>1.0733780432124965E-6</v>
      </c>
      <c r="F13" s="39">
        <v>1.0660271102053271E-6</v>
      </c>
      <c r="G13" s="39">
        <v>1.1273852787575045E-6</v>
      </c>
      <c r="H13" s="486" t="s">
        <v>586</v>
      </c>
      <c r="J13" s="31" t="s">
        <v>35</v>
      </c>
      <c r="K13" s="31"/>
      <c r="L13">
        <v>645</v>
      </c>
      <c r="M13">
        <v>0</v>
      </c>
      <c r="N13">
        <v>221</v>
      </c>
      <c r="O13">
        <v>0</v>
      </c>
      <c r="P13" s="486" t="s">
        <v>586</v>
      </c>
      <c r="R13" s="31" t="s">
        <v>35</v>
      </c>
      <c r="S13" s="31"/>
      <c r="T13" s="39">
        <f t="shared" si="1"/>
        <v>7.2716350479859037E-4</v>
      </c>
      <c r="U13" s="39">
        <f t="shared" si="2"/>
        <v>0</v>
      </c>
      <c r="V13" s="39">
        <f t="shared" si="3"/>
        <v>2.4915214660540847E-4</v>
      </c>
      <c r="W13" s="39">
        <f t="shared" si="4"/>
        <v>0</v>
      </c>
      <c r="X13" s="35"/>
      <c r="Y13" s="35"/>
      <c r="Z13" s="84" t="s">
        <v>35</v>
      </c>
      <c r="AA13" s="84"/>
      <c r="AB13" s="38">
        <f t="shared" si="0"/>
        <v>20.36057813436053</v>
      </c>
      <c r="AC13" s="38">
        <f t="shared" si="0"/>
        <v>0</v>
      </c>
      <c r="AD13" s="38">
        <f t="shared" si="0"/>
        <v>6.9762601049514368</v>
      </c>
      <c r="AE13" s="38">
        <f t="shared" si="0"/>
        <v>0</v>
      </c>
      <c r="AF13" s="94"/>
    </row>
    <row r="14" spans="2:32" x14ac:dyDescent="0.35">
      <c r="B14" s="31" t="s">
        <v>36</v>
      </c>
      <c r="C14" s="31"/>
      <c r="D14" s="39">
        <v>3.5580876105629165E-6</v>
      </c>
      <c r="E14" s="39">
        <v>7.2283792790546175E-6</v>
      </c>
      <c r="F14" s="39">
        <v>1.0334678060418417E-5</v>
      </c>
      <c r="G14" s="39">
        <v>1.8079311635567857E-5</v>
      </c>
      <c r="H14" s="486" t="s">
        <v>586</v>
      </c>
      <c r="J14" s="31" t="s">
        <v>36</v>
      </c>
      <c r="K14" s="31"/>
      <c r="L14">
        <v>0</v>
      </c>
      <c r="M14">
        <v>0</v>
      </c>
      <c r="N14">
        <v>0</v>
      </c>
      <c r="O14">
        <v>0</v>
      </c>
      <c r="P14" s="486" t="s">
        <v>586</v>
      </c>
      <c r="R14" s="31" t="s">
        <v>36</v>
      </c>
      <c r="S14" s="31"/>
      <c r="T14" s="39">
        <f t="shared" si="1"/>
        <v>0</v>
      </c>
      <c r="U14" s="39">
        <f t="shared" si="2"/>
        <v>0</v>
      </c>
      <c r="V14" s="39">
        <f t="shared" si="3"/>
        <v>0</v>
      </c>
      <c r="W14" s="39">
        <f t="shared" si="4"/>
        <v>0</v>
      </c>
      <c r="X14" s="35"/>
      <c r="Y14" s="35"/>
      <c r="Z14" s="84" t="s">
        <v>36</v>
      </c>
      <c r="AA14" s="84"/>
      <c r="AB14" s="38">
        <f t="shared" si="0"/>
        <v>0</v>
      </c>
      <c r="AC14" s="38">
        <f t="shared" si="0"/>
        <v>0</v>
      </c>
      <c r="AD14" s="38">
        <f t="shared" si="0"/>
        <v>0</v>
      </c>
      <c r="AE14" s="38">
        <f t="shared" si="0"/>
        <v>0</v>
      </c>
      <c r="AF14" s="94"/>
    </row>
    <row r="15" spans="2:32" x14ac:dyDescent="0.35">
      <c r="B15" s="31" t="s">
        <v>37</v>
      </c>
      <c r="C15" s="31"/>
      <c r="D15" s="39">
        <v>1.1086921753661744E-5</v>
      </c>
      <c r="E15" s="39">
        <v>1.2856094289974307E-5</v>
      </c>
      <c r="F15" s="39">
        <v>1.0167460851355063E-5</v>
      </c>
      <c r="G15" s="39">
        <v>1.0274091207651697E-5</v>
      </c>
      <c r="H15" s="486" t="s">
        <v>586</v>
      </c>
      <c r="J15" s="31" t="s">
        <v>37</v>
      </c>
      <c r="K15" s="31"/>
      <c r="L15">
        <v>0</v>
      </c>
      <c r="M15">
        <v>0</v>
      </c>
      <c r="N15">
        <v>0</v>
      </c>
      <c r="O15">
        <v>0</v>
      </c>
      <c r="P15" s="486" t="s">
        <v>586</v>
      </c>
      <c r="R15" s="31" t="s">
        <v>37</v>
      </c>
      <c r="S15" s="31"/>
      <c r="T15" s="39">
        <f t="shared" si="1"/>
        <v>0</v>
      </c>
      <c r="U15" s="39">
        <f t="shared" si="2"/>
        <v>0</v>
      </c>
      <c r="V15" s="39">
        <f t="shared" si="3"/>
        <v>0</v>
      </c>
      <c r="W15" s="39">
        <f t="shared" si="4"/>
        <v>0</v>
      </c>
      <c r="X15" s="35"/>
      <c r="Y15" s="35"/>
      <c r="Z15" s="84" t="s">
        <v>37</v>
      </c>
      <c r="AA15" s="84"/>
      <c r="AB15" s="38">
        <f t="shared" si="0"/>
        <v>0</v>
      </c>
      <c r="AC15" s="38">
        <f t="shared" si="0"/>
        <v>0</v>
      </c>
      <c r="AD15" s="38">
        <f t="shared" si="0"/>
        <v>0</v>
      </c>
      <c r="AE15" s="38">
        <f t="shared" si="0"/>
        <v>0</v>
      </c>
      <c r="AF15" s="94"/>
    </row>
    <row r="16" spans="2:32" x14ac:dyDescent="0.35">
      <c r="B16" s="31" t="s">
        <v>38</v>
      </c>
      <c r="C16" s="31"/>
      <c r="D16" s="39">
        <v>1.4507108589493728E-8</v>
      </c>
      <c r="E16" s="39">
        <v>1.3060529061485414E-8</v>
      </c>
      <c r="F16" s="39">
        <v>8.3773111599438584E-8</v>
      </c>
      <c r="G16" s="39">
        <v>1.3910886775101314E-8</v>
      </c>
      <c r="H16" s="486" t="s">
        <v>586</v>
      </c>
      <c r="J16" s="31" t="s">
        <v>38</v>
      </c>
      <c r="K16" s="31"/>
      <c r="L16">
        <v>3300</v>
      </c>
      <c r="M16">
        <v>0</v>
      </c>
      <c r="N16">
        <v>0</v>
      </c>
      <c r="O16">
        <v>0</v>
      </c>
      <c r="P16" s="486" t="s">
        <v>586</v>
      </c>
      <c r="R16" s="31" t="s">
        <v>38</v>
      </c>
      <c r="S16" s="31"/>
      <c r="T16" s="39">
        <f t="shared" si="1"/>
        <v>4.5905926357834335E-5</v>
      </c>
      <c r="U16" s="39">
        <f t="shared" si="2"/>
        <v>0</v>
      </c>
      <c r="V16" s="39">
        <f t="shared" si="3"/>
        <v>0</v>
      </c>
      <c r="W16" s="39">
        <f t="shared" si="4"/>
        <v>0</v>
      </c>
      <c r="X16" s="35"/>
      <c r="Y16" s="35"/>
      <c r="Z16" s="84" t="s">
        <v>38</v>
      </c>
      <c r="AA16" s="84"/>
      <c r="AB16" s="38">
        <f t="shared" si="0"/>
        <v>1.2853659380193614</v>
      </c>
      <c r="AC16" s="38">
        <f t="shared" si="0"/>
        <v>0</v>
      </c>
      <c r="AD16" s="38">
        <f t="shared" si="0"/>
        <v>0</v>
      </c>
      <c r="AE16" s="38">
        <f t="shared" si="0"/>
        <v>0</v>
      </c>
      <c r="AF16" s="95">
        <f>SUM(AB9:AE16)</f>
        <v>1098.1669216292908</v>
      </c>
    </row>
    <row r="17" spans="2:32" x14ac:dyDescent="0.35">
      <c r="H17" s="486"/>
      <c r="L17" s="35"/>
      <c r="M17" s="35"/>
      <c r="N17" s="35"/>
      <c r="O17" s="35"/>
      <c r="P17" s="486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95"/>
    </row>
    <row r="18" spans="2:32" x14ac:dyDescent="0.35">
      <c r="B18" s="30" t="s">
        <v>39</v>
      </c>
      <c r="C18" s="30"/>
      <c r="D18" s="30">
        <v>1990</v>
      </c>
      <c r="E18" s="30">
        <v>2015</v>
      </c>
      <c r="F18" s="30">
        <v>2019</v>
      </c>
      <c r="G18" s="30">
        <v>2023</v>
      </c>
      <c r="H18" s="486"/>
      <c r="J18" s="30" t="s">
        <v>39</v>
      </c>
      <c r="K18" s="30"/>
      <c r="L18" s="66" t="s">
        <v>47</v>
      </c>
      <c r="M18" s="66" t="s">
        <v>13</v>
      </c>
      <c r="N18" s="66" t="s">
        <v>48</v>
      </c>
      <c r="O18" s="37" t="s">
        <v>455</v>
      </c>
      <c r="P18" s="486"/>
      <c r="R18" s="30" t="s">
        <v>39</v>
      </c>
      <c r="S18" s="30"/>
      <c r="T18" s="66" t="s">
        <v>47</v>
      </c>
      <c r="U18" s="66" t="s">
        <v>13</v>
      </c>
      <c r="V18" s="66" t="s">
        <v>48</v>
      </c>
      <c r="W18" s="37" t="s">
        <v>455</v>
      </c>
      <c r="X18" s="35"/>
      <c r="Y18" s="35"/>
      <c r="Z18" s="85" t="s">
        <v>22</v>
      </c>
      <c r="AA18" s="85"/>
      <c r="AB18" s="66"/>
      <c r="AC18" s="66"/>
      <c r="AD18" s="66"/>
      <c r="AE18" s="66"/>
      <c r="AF18" s="95"/>
    </row>
    <row r="19" spans="2:32" x14ac:dyDescent="0.35">
      <c r="B19" s="31" t="s">
        <v>603</v>
      </c>
      <c r="C19" s="31"/>
      <c r="D19">
        <v>1.5099770866598221E-5</v>
      </c>
      <c r="E19">
        <v>1.6785281759768674E-5</v>
      </c>
      <c r="F19">
        <v>1.5997447851792319E-5</v>
      </c>
      <c r="G19">
        <v>1.5496402663606833E-5</v>
      </c>
      <c r="H19" s="486" t="s">
        <v>586</v>
      </c>
      <c r="J19" s="31" t="s">
        <v>31</v>
      </c>
      <c r="K19" s="31"/>
      <c r="L19" s="38">
        <f>L9</f>
        <v>198</v>
      </c>
      <c r="M19" s="38">
        <f t="shared" ref="M19:N19" si="5">M9</f>
        <v>0</v>
      </c>
      <c r="N19" s="38">
        <f t="shared" si="5"/>
        <v>50</v>
      </c>
      <c r="O19" s="38">
        <v>0</v>
      </c>
      <c r="P19" s="486" t="s">
        <v>586</v>
      </c>
      <c r="R19" s="31" t="s">
        <v>31</v>
      </c>
      <c r="S19" s="31"/>
      <c r="T19" s="39">
        <f>$G19*L19</f>
        <v>3.068287727394153E-3</v>
      </c>
      <c r="U19" s="39">
        <f>$G19*M19</f>
        <v>0</v>
      </c>
      <c r="V19" s="39">
        <f>$G19*N19</f>
        <v>7.748201331803416E-4</v>
      </c>
      <c r="W19" s="39">
        <f>$G19*O19</f>
        <v>0</v>
      </c>
      <c r="X19" s="35"/>
      <c r="Y19" s="35"/>
      <c r="Z19" s="84" t="s">
        <v>31</v>
      </c>
      <c r="AA19" s="84"/>
      <c r="AB19" s="35">
        <f t="shared" ref="AB19:AE26" si="6">T19*PRG_CH4*1000</f>
        <v>85.912056367036271</v>
      </c>
      <c r="AC19" s="35">
        <f t="shared" si="6"/>
        <v>0</v>
      </c>
      <c r="AD19" s="35">
        <f t="shared" si="6"/>
        <v>21.694963729049565</v>
      </c>
      <c r="AE19" s="35">
        <f t="shared" si="6"/>
        <v>0</v>
      </c>
      <c r="AF19" s="95"/>
    </row>
    <row r="20" spans="2:32" x14ac:dyDescent="0.35">
      <c r="B20" s="31" t="s">
        <v>32</v>
      </c>
      <c r="C20" s="31"/>
      <c r="D20">
        <v>2.8194037793935958E-7</v>
      </c>
      <c r="E20">
        <v>3.9491466225938683E-6</v>
      </c>
      <c r="F20">
        <v>3.9255462315764013E-6</v>
      </c>
      <c r="G20">
        <v>4.1512972088056778E-6</v>
      </c>
      <c r="H20" s="486" t="s">
        <v>586</v>
      </c>
      <c r="J20" s="31" t="s">
        <v>32</v>
      </c>
      <c r="K20" s="31"/>
      <c r="L20" s="38">
        <f t="shared" ref="L20:N20" si="7">L10</f>
        <v>50</v>
      </c>
      <c r="M20" s="38">
        <f t="shared" si="7"/>
        <v>0</v>
      </c>
      <c r="N20" s="38">
        <f t="shared" si="7"/>
        <v>3</v>
      </c>
      <c r="O20" s="38">
        <v>0</v>
      </c>
      <c r="P20" s="486" t="s">
        <v>586</v>
      </c>
      <c r="R20" s="31" t="s">
        <v>32</v>
      </c>
      <c r="S20" s="31"/>
      <c r="T20" s="39">
        <f t="shared" ref="T20:T26" si="8">$G20*L20</f>
        <v>2.0756486044028389E-4</v>
      </c>
      <c r="U20" s="39">
        <f t="shared" ref="U20:U26" si="9">$G20*M20</f>
        <v>0</v>
      </c>
      <c r="V20" s="39">
        <f t="shared" ref="V20:V26" si="10">$G20*N20</f>
        <v>1.2453891626417034E-5</v>
      </c>
      <c r="W20" s="39">
        <f t="shared" ref="W20:W26" si="11">$G20*O20</f>
        <v>0</v>
      </c>
      <c r="X20" s="35"/>
      <c r="Y20" s="35"/>
      <c r="Z20" s="84" t="s">
        <v>32</v>
      </c>
      <c r="AA20" s="84"/>
      <c r="AB20" s="35">
        <f t="shared" si="6"/>
        <v>5.8118160923279492</v>
      </c>
      <c r="AC20" s="35">
        <f t="shared" si="6"/>
        <v>0</v>
      </c>
      <c r="AD20" s="35">
        <f t="shared" si="6"/>
        <v>0.34870896553967695</v>
      </c>
      <c r="AE20" s="35">
        <f t="shared" si="6"/>
        <v>0</v>
      </c>
      <c r="AF20" s="95"/>
    </row>
    <row r="21" spans="2:32" x14ac:dyDescent="0.35">
      <c r="B21" s="31" t="s">
        <v>33</v>
      </c>
      <c r="C21" s="31"/>
      <c r="D21">
        <v>7.7367661501399853E-6</v>
      </c>
      <c r="E21">
        <v>6.4551369860089679E-6</v>
      </c>
      <c r="F21">
        <v>6.2245402238436281E-6</v>
      </c>
      <c r="G21">
        <v>5.9984525978142987E-6</v>
      </c>
      <c r="H21" s="486" t="s">
        <v>586</v>
      </c>
      <c r="J21" s="31" t="s">
        <v>33</v>
      </c>
      <c r="K21" s="31"/>
      <c r="L21" s="38">
        <f t="shared" ref="L21:N21" si="12">L11</f>
        <v>113</v>
      </c>
      <c r="M21" s="38">
        <f t="shared" si="12"/>
        <v>0</v>
      </c>
      <c r="N21" s="38">
        <f t="shared" si="12"/>
        <v>22</v>
      </c>
      <c r="O21" s="38">
        <v>0</v>
      </c>
      <c r="P21" s="486" t="s">
        <v>586</v>
      </c>
      <c r="R21" s="31" t="s">
        <v>33</v>
      </c>
      <c r="S21" s="31"/>
      <c r="T21" s="39">
        <f t="shared" si="8"/>
        <v>6.7782514355301578E-4</v>
      </c>
      <c r="U21" s="39">
        <f t="shared" si="9"/>
        <v>0</v>
      </c>
      <c r="V21" s="39">
        <f t="shared" si="10"/>
        <v>1.3196595715191456E-4</v>
      </c>
      <c r="W21" s="39">
        <f t="shared" si="11"/>
        <v>0</v>
      </c>
      <c r="X21" s="35"/>
      <c r="Y21" s="35"/>
      <c r="Z21" s="84" t="s">
        <v>33</v>
      </c>
      <c r="AA21" s="84"/>
      <c r="AB21" s="35">
        <f t="shared" si="6"/>
        <v>18.979104019484442</v>
      </c>
      <c r="AC21" s="35">
        <f t="shared" si="6"/>
        <v>0</v>
      </c>
      <c r="AD21" s="35">
        <f t="shared" si="6"/>
        <v>3.6950468002536079</v>
      </c>
      <c r="AE21" s="35">
        <f t="shared" si="6"/>
        <v>0</v>
      </c>
      <c r="AF21" s="95"/>
    </row>
    <row r="22" spans="2:32" x14ac:dyDescent="0.35">
      <c r="B22" s="31" t="s">
        <v>34</v>
      </c>
      <c r="C22" s="31"/>
      <c r="D22">
        <v>1.1687118219354466E-6</v>
      </c>
      <c r="E22">
        <v>9.7496650976410772E-7</v>
      </c>
      <c r="F22">
        <v>1.0584790956977008E-6</v>
      </c>
      <c r="G22">
        <v>9.8171636661570542E-7</v>
      </c>
      <c r="H22" s="486" t="s">
        <v>586</v>
      </c>
      <c r="J22" s="31" t="s">
        <v>34</v>
      </c>
      <c r="K22" s="31"/>
      <c r="L22" s="38">
        <f t="shared" ref="L22:N22" si="13">L12</f>
        <v>15</v>
      </c>
      <c r="M22" s="38">
        <f t="shared" si="13"/>
        <v>0</v>
      </c>
      <c r="N22" s="38">
        <f t="shared" si="13"/>
        <v>0</v>
      </c>
      <c r="O22" s="38">
        <v>0</v>
      </c>
      <c r="P22" s="486" t="s">
        <v>586</v>
      </c>
      <c r="R22" s="31" t="s">
        <v>34</v>
      </c>
      <c r="S22" s="31"/>
      <c r="T22" s="39">
        <f t="shared" si="8"/>
        <v>1.4725745499235581E-5</v>
      </c>
      <c r="U22" s="39">
        <f t="shared" si="9"/>
        <v>0</v>
      </c>
      <c r="V22" s="39">
        <f t="shared" si="10"/>
        <v>0</v>
      </c>
      <c r="W22" s="39">
        <f t="shared" si="11"/>
        <v>0</v>
      </c>
      <c r="X22" s="35"/>
      <c r="Y22" s="35"/>
      <c r="Z22" s="84" t="s">
        <v>34</v>
      </c>
      <c r="AA22" s="84"/>
      <c r="AB22" s="35">
        <f t="shared" si="6"/>
        <v>0.41232087397859629</v>
      </c>
      <c r="AC22" s="35">
        <f t="shared" si="6"/>
        <v>0</v>
      </c>
      <c r="AD22" s="35">
        <f t="shared" si="6"/>
        <v>0</v>
      </c>
      <c r="AE22" s="35">
        <f t="shared" si="6"/>
        <v>0</v>
      </c>
      <c r="AF22" s="95"/>
    </row>
    <row r="23" spans="2:32" x14ac:dyDescent="0.35">
      <c r="B23" s="31" t="s">
        <v>35</v>
      </c>
      <c r="C23" s="31"/>
      <c r="D23">
        <v>5.6179702103280131E-6</v>
      </c>
      <c r="E23">
        <v>4.6870557474497585E-6</v>
      </c>
      <c r="F23">
        <v>4.3371960021253908E-6</v>
      </c>
      <c r="G23">
        <v>4.1420709169567098E-6</v>
      </c>
      <c r="H23" s="486" t="s">
        <v>586</v>
      </c>
      <c r="J23" s="31" t="s">
        <v>35</v>
      </c>
      <c r="K23" s="31"/>
      <c r="L23" s="38">
        <f t="shared" ref="L23:N23" si="14">L13</f>
        <v>645</v>
      </c>
      <c r="M23" s="38">
        <f t="shared" si="14"/>
        <v>0</v>
      </c>
      <c r="N23" s="38">
        <f t="shared" si="14"/>
        <v>221</v>
      </c>
      <c r="O23" s="38">
        <v>0</v>
      </c>
      <c r="P23" s="486" t="s">
        <v>586</v>
      </c>
      <c r="R23" s="31" t="s">
        <v>35</v>
      </c>
      <c r="S23" s="31"/>
      <c r="T23" s="39">
        <f t="shared" si="8"/>
        <v>2.6716357414370779E-3</v>
      </c>
      <c r="U23" s="39">
        <f t="shared" si="9"/>
        <v>0</v>
      </c>
      <c r="V23" s="39">
        <f t="shared" si="10"/>
        <v>9.1539767264743285E-4</v>
      </c>
      <c r="W23" s="39">
        <f t="shared" si="11"/>
        <v>0</v>
      </c>
      <c r="X23" s="35"/>
      <c r="Y23" s="35"/>
      <c r="Z23" s="84" t="s">
        <v>35</v>
      </c>
      <c r="AA23" s="84"/>
      <c r="AB23" s="35">
        <f t="shared" si="6"/>
        <v>74.805800760238185</v>
      </c>
      <c r="AC23" s="35">
        <f t="shared" si="6"/>
        <v>0</v>
      </c>
      <c r="AD23" s="35">
        <f t="shared" si="6"/>
        <v>25.631134834128119</v>
      </c>
      <c r="AE23" s="35">
        <f t="shared" si="6"/>
        <v>0</v>
      </c>
      <c r="AF23" s="95"/>
    </row>
    <row r="24" spans="2:32" x14ac:dyDescent="0.35">
      <c r="B24" s="31" t="s">
        <v>36</v>
      </c>
      <c r="C24" s="31"/>
      <c r="D24">
        <v>7.8631940488398039E-7</v>
      </c>
      <c r="E24">
        <v>1.0367358791989278E-6</v>
      </c>
      <c r="F24">
        <v>2.293447114419565E-6</v>
      </c>
      <c r="G24">
        <v>2.5044562781169548E-6</v>
      </c>
      <c r="H24" s="486" t="s">
        <v>586</v>
      </c>
      <c r="J24" s="31" t="s">
        <v>36</v>
      </c>
      <c r="K24" s="31"/>
      <c r="L24" s="38">
        <f t="shared" ref="L24:N24" si="15">L14</f>
        <v>0</v>
      </c>
      <c r="M24" s="38">
        <f t="shared" si="15"/>
        <v>0</v>
      </c>
      <c r="N24" s="38">
        <f t="shared" si="15"/>
        <v>0</v>
      </c>
      <c r="O24" s="38">
        <v>0</v>
      </c>
      <c r="P24" s="486" t="s">
        <v>586</v>
      </c>
      <c r="R24" s="31" t="s">
        <v>36</v>
      </c>
      <c r="S24" s="31"/>
      <c r="T24" s="39">
        <f t="shared" si="8"/>
        <v>0</v>
      </c>
      <c r="U24" s="39">
        <f t="shared" si="9"/>
        <v>0</v>
      </c>
      <c r="V24" s="39">
        <f t="shared" si="10"/>
        <v>0</v>
      </c>
      <c r="W24" s="39">
        <f t="shared" si="11"/>
        <v>0</v>
      </c>
      <c r="X24" s="35"/>
      <c r="Y24" s="35"/>
      <c r="Z24" s="84" t="s">
        <v>36</v>
      </c>
      <c r="AA24" s="84"/>
      <c r="AB24" s="35">
        <f t="shared" si="6"/>
        <v>0</v>
      </c>
      <c r="AC24" s="35">
        <f t="shared" si="6"/>
        <v>0</v>
      </c>
      <c r="AD24" s="35">
        <f t="shared" si="6"/>
        <v>0</v>
      </c>
      <c r="AE24" s="35">
        <f t="shared" si="6"/>
        <v>0</v>
      </c>
      <c r="AF24" s="95"/>
    </row>
    <row r="25" spans="2:32" x14ac:dyDescent="0.35">
      <c r="B25" s="31" t="s">
        <v>37</v>
      </c>
      <c r="C25" s="31"/>
      <c r="D25">
        <v>1.4083002312806172E-6</v>
      </c>
      <c r="E25">
        <v>1.4959126228862588E-6</v>
      </c>
      <c r="F25">
        <v>1.1606482195503781E-6</v>
      </c>
      <c r="G25">
        <v>1.1726118588289992E-6</v>
      </c>
      <c r="H25" s="486" t="s">
        <v>586</v>
      </c>
      <c r="J25" s="31" t="s">
        <v>37</v>
      </c>
      <c r="K25" s="31"/>
      <c r="L25" s="38">
        <f t="shared" ref="L25:N25" si="16">L15</f>
        <v>0</v>
      </c>
      <c r="M25" s="38">
        <f t="shared" si="16"/>
        <v>0</v>
      </c>
      <c r="N25" s="38">
        <f t="shared" si="16"/>
        <v>0</v>
      </c>
      <c r="O25" s="38">
        <v>0</v>
      </c>
      <c r="P25" s="486" t="s">
        <v>586</v>
      </c>
      <c r="R25" s="31" t="s">
        <v>37</v>
      </c>
      <c r="S25" s="31"/>
      <c r="T25" s="39">
        <f t="shared" si="8"/>
        <v>0</v>
      </c>
      <c r="U25" s="39">
        <f t="shared" si="9"/>
        <v>0</v>
      </c>
      <c r="V25" s="39">
        <f t="shared" si="10"/>
        <v>0</v>
      </c>
      <c r="W25" s="39">
        <f t="shared" si="11"/>
        <v>0</v>
      </c>
      <c r="X25" s="35"/>
      <c r="Y25" s="35"/>
      <c r="Z25" s="84" t="s">
        <v>37</v>
      </c>
      <c r="AA25" s="84"/>
      <c r="AB25" s="35">
        <f t="shared" si="6"/>
        <v>0</v>
      </c>
      <c r="AC25" s="35">
        <f t="shared" si="6"/>
        <v>0</v>
      </c>
      <c r="AD25" s="35">
        <f t="shared" si="6"/>
        <v>0</v>
      </c>
      <c r="AE25" s="35">
        <f t="shared" si="6"/>
        <v>0</v>
      </c>
      <c r="AF25" s="95"/>
    </row>
    <row r="26" spans="2:32" x14ac:dyDescent="0.35">
      <c r="B26" s="31" t="s">
        <v>38</v>
      </c>
      <c r="C26" s="31"/>
      <c r="D26">
        <v>2.325544474675243E-8</v>
      </c>
      <c r="E26">
        <v>1.9309756504284308E-8</v>
      </c>
      <c r="F26">
        <v>2.0508847763583333E-8</v>
      </c>
      <c r="G26">
        <v>2.0407496467458304E-8</v>
      </c>
      <c r="H26" s="486" t="s">
        <v>586</v>
      </c>
      <c r="J26" s="31" t="s">
        <v>38</v>
      </c>
      <c r="K26" s="31"/>
      <c r="L26" s="38">
        <f t="shared" ref="L26:N26" si="17">L16</f>
        <v>3300</v>
      </c>
      <c r="M26" s="38">
        <f t="shared" si="17"/>
        <v>0</v>
      </c>
      <c r="N26" s="38">
        <f t="shared" si="17"/>
        <v>0</v>
      </c>
      <c r="O26" s="38">
        <v>0</v>
      </c>
      <c r="P26" s="486" t="s">
        <v>586</v>
      </c>
      <c r="R26" s="31" t="s">
        <v>38</v>
      </c>
      <c r="S26" s="31"/>
      <c r="T26" s="39">
        <f t="shared" si="8"/>
        <v>6.7344738342612403E-5</v>
      </c>
      <c r="U26" s="39">
        <f t="shared" si="9"/>
        <v>0</v>
      </c>
      <c r="V26" s="39">
        <f t="shared" si="10"/>
        <v>0</v>
      </c>
      <c r="W26" s="39">
        <f t="shared" si="11"/>
        <v>0</v>
      </c>
      <c r="X26" s="35"/>
      <c r="Y26" s="35"/>
      <c r="Z26" s="84" t="s">
        <v>38</v>
      </c>
      <c r="AA26" s="84"/>
      <c r="AB26" s="35">
        <f t="shared" si="6"/>
        <v>1.8856526735931471</v>
      </c>
      <c r="AC26" s="35">
        <f t="shared" si="6"/>
        <v>0</v>
      </c>
      <c r="AD26" s="35">
        <f t="shared" si="6"/>
        <v>0</v>
      </c>
      <c r="AE26" s="35">
        <f t="shared" si="6"/>
        <v>0</v>
      </c>
      <c r="AF26" s="95">
        <f>SUM(AB19:AE26)</f>
        <v>239.17660511562954</v>
      </c>
    </row>
    <row r="27" spans="2:32" x14ac:dyDescent="0.35">
      <c r="H27" s="486"/>
      <c r="L27" s="35"/>
      <c r="M27" s="35"/>
      <c r="N27" s="35"/>
      <c r="O27" s="35"/>
      <c r="P27" s="486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95"/>
    </row>
    <row r="28" spans="2:32" x14ac:dyDescent="0.35">
      <c r="B28" s="30" t="s">
        <v>40</v>
      </c>
      <c r="C28" s="30"/>
      <c r="D28" s="30">
        <v>1990</v>
      </c>
      <c r="E28" s="30">
        <v>2015</v>
      </c>
      <c r="F28" s="30">
        <v>2019</v>
      </c>
      <c r="G28" s="30">
        <v>2023</v>
      </c>
      <c r="H28" s="486"/>
      <c r="J28" s="30" t="s">
        <v>40</v>
      </c>
      <c r="K28" s="30"/>
      <c r="L28" s="66" t="s">
        <v>47</v>
      </c>
      <c r="M28" s="66" t="s">
        <v>13</v>
      </c>
      <c r="N28" s="66" t="s">
        <v>48</v>
      </c>
      <c r="O28" s="37" t="s">
        <v>455</v>
      </c>
      <c r="P28" s="486"/>
      <c r="R28" s="30" t="s">
        <v>40</v>
      </c>
      <c r="S28" s="30"/>
      <c r="T28" s="66" t="s">
        <v>47</v>
      </c>
      <c r="U28" s="66" t="s">
        <v>13</v>
      </c>
      <c r="V28" s="66" t="s">
        <v>48</v>
      </c>
      <c r="W28" s="37" t="s">
        <v>455</v>
      </c>
      <c r="X28" s="35"/>
      <c r="Y28" s="35"/>
      <c r="Z28" s="85" t="s">
        <v>78</v>
      </c>
      <c r="AA28" s="85"/>
      <c r="AB28" s="66"/>
      <c r="AC28" s="66"/>
      <c r="AD28" s="66"/>
      <c r="AE28" s="66"/>
      <c r="AF28" s="95"/>
    </row>
    <row r="29" spans="2:32" x14ac:dyDescent="0.35">
      <c r="B29" s="31" t="s">
        <v>603</v>
      </c>
      <c r="C29" s="31"/>
      <c r="D29">
        <v>4.0497530483408857E-7</v>
      </c>
      <c r="E29">
        <v>2.735159846519256E-7</v>
      </c>
      <c r="F29">
        <v>2.5649144032596821E-7</v>
      </c>
      <c r="G29">
        <v>2.4374142294113249E-7</v>
      </c>
      <c r="H29" s="486" t="s">
        <v>586</v>
      </c>
      <c r="J29" s="31" t="s">
        <v>31</v>
      </c>
      <c r="K29" s="31"/>
      <c r="L29" s="38">
        <f>L19</f>
        <v>198</v>
      </c>
      <c r="M29" s="38">
        <f t="shared" ref="M29:N29" si="18">M19</f>
        <v>0</v>
      </c>
      <c r="N29" s="38">
        <f t="shared" si="18"/>
        <v>50</v>
      </c>
      <c r="O29" s="38">
        <v>0</v>
      </c>
      <c r="P29" s="486" t="s">
        <v>586</v>
      </c>
      <c r="R29" s="31" t="s">
        <v>31</v>
      </c>
      <c r="S29" s="31"/>
      <c r="T29" s="39">
        <f>$G29*L29</f>
        <v>4.8260801742344235E-5</v>
      </c>
      <c r="U29" s="39">
        <f>$G29*M29</f>
        <v>0</v>
      </c>
      <c r="V29" s="39">
        <f>$G29*N29</f>
        <v>1.2187071147056625E-5</v>
      </c>
      <c r="W29" s="39">
        <f>$G29*O29</f>
        <v>0</v>
      </c>
      <c r="X29" s="35"/>
      <c r="Y29" s="35"/>
      <c r="Z29" s="84" t="s">
        <v>31</v>
      </c>
      <c r="AA29" s="84"/>
      <c r="AB29" s="35">
        <f t="shared" ref="AB29:AE36" si="19">T29*PRG_N2O*1000</f>
        <v>12.789112461721222</v>
      </c>
      <c r="AC29" s="35">
        <f t="shared" si="19"/>
        <v>0</v>
      </c>
      <c r="AD29" s="35">
        <f t="shared" si="19"/>
        <v>3.2295738539700056</v>
      </c>
      <c r="AE29" s="35">
        <f t="shared" si="19"/>
        <v>0</v>
      </c>
      <c r="AF29" s="95"/>
    </row>
    <row r="30" spans="2:32" x14ac:dyDescent="0.35">
      <c r="B30" s="31" t="s">
        <v>32</v>
      </c>
      <c r="C30" s="31"/>
      <c r="D30">
        <v>8.16384633976735E-9</v>
      </c>
      <c r="E30">
        <v>7.5808305401476776E-8</v>
      </c>
      <c r="F30">
        <v>8.1671428797530867E-8</v>
      </c>
      <c r="G30">
        <v>8.5454170968405291E-8</v>
      </c>
      <c r="H30" s="486" t="s">
        <v>586</v>
      </c>
      <c r="J30" s="31" t="s">
        <v>32</v>
      </c>
      <c r="K30" s="31"/>
      <c r="L30" s="38">
        <f t="shared" ref="L30:N30" si="20">L20</f>
        <v>50</v>
      </c>
      <c r="M30" s="38">
        <f t="shared" si="20"/>
        <v>0</v>
      </c>
      <c r="N30" s="38">
        <f t="shared" si="20"/>
        <v>3</v>
      </c>
      <c r="O30" s="38">
        <v>0</v>
      </c>
      <c r="P30" s="486" t="s">
        <v>586</v>
      </c>
      <c r="R30" s="31" t="s">
        <v>32</v>
      </c>
      <c r="S30" s="31"/>
      <c r="T30" s="39">
        <f t="shared" ref="T30:T36" si="21">$G30*L30</f>
        <v>4.2727085484202646E-6</v>
      </c>
      <c r="U30" s="39">
        <f t="shared" ref="U30:U36" si="22">$G30*M30</f>
        <v>0</v>
      </c>
      <c r="V30" s="39">
        <f t="shared" ref="V30:V36" si="23">$G30*N30</f>
        <v>2.5636251290521586E-7</v>
      </c>
      <c r="W30" s="39">
        <f t="shared" ref="W30:W36" si="24">$G30*O30</f>
        <v>0</v>
      </c>
      <c r="X30" s="35"/>
      <c r="Y30" s="35"/>
      <c r="Z30" s="84" t="s">
        <v>32</v>
      </c>
      <c r="AA30" s="84"/>
      <c r="AB30" s="35">
        <f t="shared" si="19"/>
        <v>1.13226776533137</v>
      </c>
      <c r="AC30" s="35">
        <f t="shared" si="19"/>
        <v>0</v>
      </c>
      <c r="AD30" s="35">
        <f t="shared" si="19"/>
        <v>6.7936065919882202E-2</v>
      </c>
      <c r="AE30" s="35">
        <f t="shared" si="19"/>
        <v>0</v>
      </c>
      <c r="AF30" s="95"/>
    </row>
    <row r="31" spans="2:32" x14ac:dyDescent="0.35">
      <c r="B31" s="31" t="s">
        <v>33</v>
      </c>
      <c r="C31" s="31"/>
      <c r="D31">
        <v>2.5760739048201548E-7</v>
      </c>
      <c r="E31">
        <v>2.039041961012131E-7</v>
      </c>
      <c r="F31">
        <v>1.9227605263154292E-7</v>
      </c>
      <c r="G31">
        <v>1.8794839328465742E-7</v>
      </c>
      <c r="H31" s="486" t="s">
        <v>586</v>
      </c>
      <c r="J31" s="31" t="s">
        <v>33</v>
      </c>
      <c r="K31" s="31"/>
      <c r="L31" s="38">
        <f t="shared" ref="L31:N31" si="25">L21</f>
        <v>113</v>
      </c>
      <c r="M31" s="38">
        <f t="shared" si="25"/>
        <v>0</v>
      </c>
      <c r="N31" s="38">
        <f t="shared" si="25"/>
        <v>22</v>
      </c>
      <c r="O31" s="38">
        <v>0</v>
      </c>
      <c r="P31" s="486" t="s">
        <v>586</v>
      </c>
      <c r="R31" s="31" t="s">
        <v>33</v>
      </c>
      <c r="S31" s="31"/>
      <c r="T31" s="39">
        <f t="shared" si="21"/>
        <v>2.1238168441166287E-5</v>
      </c>
      <c r="U31" s="39">
        <f t="shared" si="22"/>
        <v>0</v>
      </c>
      <c r="V31" s="39">
        <f t="shared" si="23"/>
        <v>4.1348646522624634E-6</v>
      </c>
      <c r="W31" s="39">
        <f t="shared" si="24"/>
        <v>0</v>
      </c>
      <c r="X31" s="35"/>
      <c r="Y31" s="35"/>
      <c r="Z31" s="84" t="s">
        <v>33</v>
      </c>
      <c r="AA31" s="84"/>
      <c r="AB31" s="35">
        <f t="shared" si="19"/>
        <v>5.628114636909066</v>
      </c>
      <c r="AC31" s="35">
        <f t="shared" si="19"/>
        <v>0</v>
      </c>
      <c r="AD31" s="35">
        <f t="shared" si="19"/>
        <v>1.0957391328495529</v>
      </c>
      <c r="AE31" s="35">
        <f t="shared" si="19"/>
        <v>0</v>
      </c>
      <c r="AF31" s="95"/>
    </row>
    <row r="32" spans="2:32" x14ac:dyDescent="0.35">
      <c r="B32" s="31" t="s">
        <v>34</v>
      </c>
      <c r="C32" s="31"/>
      <c r="D32">
        <v>7.7835198813519333E-8</v>
      </c>
      <c r="E32">
        <v>6.8021258477951265E-8</v>
      </c>
      <c r="F32">
        <v>7.1780976428487199E-8</v>
      </c>
      <c r="G32">
        <v>6.9917066729661356E-8</v>
      </c>
      <c r="H32" s="486" t="s">
        <v>586</v>
      </c>
      <c r="J32" s="31" t="s">
        <v>34</v>
      </c>
      <c r="K32" s="31"/>
      <c r="L32" s="38">
        <f t="shared" ref="L32:N32" si="26">L22</f>
        <v>15</v>
      </c>
      <c r="M32" s="38">
        <f t="shared" si="26"/>
        <v>0</v>
      </c>
      <c r="N32" s="38">
        <f t="shared" si="26"/>
        <v>0</v>
      </c>
      <c r="O32" s="38">
        <v>0</v>
      </c>
      <c r="P32" s="486" t="s">
        <v>586</v>
      </c>
      <c r="R32" s="31" t="s">
        <v>34</v>
      </c>
      <c r="S32" s="31"/>
      <c r="T32" s="39">
        <f t="shared" si="21"/>
        <v>1.0487560009449204E-6</v>
      </c>
      <c r="U32" s="39">
        <f t="shared" si="22"/>
        <v>0</v>
      </c>
      <c r="V32" s="39">
        <f t="shared" si="23"/>
        <v>0</v>
      </c>
      <c r="W32" s="39">
        <f t="shared" si="24"/>
        <v>0</v>
      </c>
      <c r="X32" s="35"/>
      <c r="Y32" s="35"/>
      <c r="Z32" s="84" t="s">
        <v>34</v>
      </c>
      <c r="AA32" s="84"/>
      <c r="AB32" s="35">
        <f t="shared" si="19"/>
        <v>0.27792034025040391</v>
      </c>
      <c r="AC32" s="35">
        <f t="shared" si="19"/>
        <v>0</v>
      </c>
      <c r="AD32" s="35">
        <f t="shared" si="19"/>
        <v>0</v>
      </c>
      <c r="AE32" s="35">
        <f t="shared" si="19"/>
        <v>0</v>
      </c>
      <c r="AF32" s="95"/>
    </row>
    <row r="33" spans="2:33" x14ac:dyDescent="0.35">
      <c r="B33" s="31" t="s">
        <v>35</v>
      </c>
      <c r="C33" s="31"/>
      <c r="D33">
        <v>4.9350913821872838E-8</v>
      </c>
      <c r="E33">
        <v>2.7385465596057329E-8</v>
      </c>
      <c r="F33">
        <v>2.4892493454457062E-8</v>
      </c>
      <c r="G33">
        <v>2.3379079204492549E-8</v>
      </c>
      <c r="H33" s="486" t="s">
        <v>586</v>
      </c>
      <c r="J33" s="31" t="s">
        <v>35</v>
      </c>
      <c r="K33" s="31"/>
      <c r="L33" s="38">
        <f t="shared" ref="L33:N33" si="27">L23</f>
        <v>645</v>
      </c>
      <c r="M33" s="38">
        <f t="shared" si="27"/>
        <v>0</v>
      </c>
      <c r="N33" s="38">
        <f t="shared" si="27"/>
        <v>221</v>
      </c>
      <c r="O33" s="38">
        <v>0</v>
      </c>
      <c r="P33" s="486" t="s">
        <v>586</v>
      </c>
      <c r="R33" s="31" t="s">
        <v>35</v>
      </c>
      <c r="S33" s="31"/>
      <c r="T33" s="39">
        <f t="shared" si="21"/>
        <v>1.5079506086897694E-5</v>
      </c>
      <c r="U33" s="39">
        <f t="shared" si="22"/>
        <v>0</v>
      </c>
      <c r="V33" s="39">
        <f t="shared" si="23"/>
        <v>5.166776504192853E-6</v>
      </c>
      <c r="W33" s="39">
        <f t="shared" si="24"/>
        <v>0</v>
      </c>
      <c r="X33" s="35"/>
      <c r="Y33" s="35"/>
      <c r="Z33" s="84" t="s">
        <v>35</v>
      </c>
      <c r="AA33" s="84"/>
      <c r="AB33" s="35">
        <f t="shared" si="19"/>
        <v>3.9960691130278887</v>
      </c>
      <c r="AC33" s="35">
        <f t="shared" si="19"/>
        <v>0</v>
      </c>
      <c r="AD33" s="35">
        <f t="shared" si="19"/>
        <v>1.369195773611106</v>
      </c>
      <c r="AE33" s="35">
        <f t="shared" si="19"/>
        <v>0</v>
      </c>
      <c r="AF33" s="95"/>
    </row>
    <row r="34" spans="2:33" x14ac:dyDescent="0.35">
      <c r="B34" s="31" t="s">
        <v>36</v>
      </c>
      <c r="C34" s="31"/>
      <c r="D34">
        <v>6.1883843265572344E-8</v>
      </c>
      <c r="E34">
        <v>8.9614117844238981E-8</v>
      </c>
      <c r="F34">
        <v>1.8912342239245502E-7</v>
      </c>
      <c r="G34">
        <v>2.2436995294617347E-7</v>
      </c>
      <c r="H34" s="486" t="s">
        <v>586</v>
      </c>
      <c r="J34" s="31" t="s">
        <v>36</v>
      </c>
      <c r="K34" s="31"/>
      <c r="L34" s="38">
        <f t="shared" ref="L34:N34" si="28">L24</f>
        <v>0</v>
      </c>
      <c r="M34" s="38">
        <f t="shared" si="28"/>
        <v>0</v>
      </c>
      <c r="N34" s="38">
        <f t="shared" si="28"/>
        <v>0</v>
      </c>
      <c r="O34" s="38">
        <v>0</v>
      </c>
      <c r="P34" s="486" t="s">
        <v>586</v>
      </c>
      <c r="R34" s="31" t="s">
        <v>36</v>
      </c>
      <c r="S34" s="31"/>
      <c r="T34" s="39">
        <f t="shared" si="21"/>
        <v>0</v>
      </c>
      <c r="U34" s="39">
        <f t="shared" si="22"/>
        <v>0</v>
      </c>
      <c r="V34" s="39">
        <f t="shared" si="23"/>
        <v>0</v>
      </c>
      <c r="W34" s="39">
        <f t="shared" si="24"/>
        <v>0</v>
      </c>
      <c r="X34" s="35"/>
      <c r="Y34" s="35"/>
      <c r="Z34" s="84" t="s">
        <v>36</v>
      </c>
      <c r="AA34" s="84"/>
      <c r="AB34" s="35">
        <f t="shared" si="19"/>
        <v>0</v>
      </c>
      <c r="AC34" s="35">
        <f t="shared" si="19"/>
        <v>0</v>
      </c>
      <c r="AD34" s="35">
        <f t="shared" si="19"/>
        <v>0</v>
      </c>
      <c r="AE34" s="35">
        <f t="shared" si="19"/>
        <v>0</v>
      </c>
      <c r="AF34" s="95"/>
    </row>
    <row r="35" spans="2:33" x14ac:dyDescent="0.35">
      <c r="B35" s="31" t="s">
        <v>37</v>
      </c>
      <c r="C35" s="31"/>
      <c r="D35">
        <v>1.9192910329833133E-7</v>
      </c>
      <c r="E35">
        <v>1.9943445985382997E-7</v>
      </c>
      <c r="F35">
        <v>1.5399664126992192E-7</v>
      </c>
      <c r="G35">
        <v>1.5558235135684947E-7</v>
      </c>
      <c r="H35" s="486" t="s">
        <v>586</v>
      </c>
      <c r="J35" s="31" t="s">
        <v>37</v>
      </c>
      <c r="K35" s="31"/>
      <c r="L35" s="38">
        <f t="shared" ref="L35:N35" si="29">L25</f>
        <v>0</v>
      </c>
      <c r="M35" s="38">
        <f t="shared" si="29"/>
        <v>0</v>
      </c>
      <c r="N35" s="38">
        <f t="shared" si="29"/>
        <v>0</v>
      </c>
      <c r="O35" s="38">
        <v>0</v>
      </c>
      <c r="P35" s="486" t="s">
        <v>586</v>
      </c>
      <c r="R35" s="31" t="s">
        <v>37</v>
      </c>
      <c r="S35" s="31"/>
      <c r="T35" s="39">
        <f t="shared" si="21"/>
        <v>0</v>
      </c>
      <c r="U35" s="39">
        <f t="shared" si="22"/>
        <v>0</v>
      </c>
      <c r="V35" s="39">
        <f t="shared" si="23"/>
        <v>0</v>
      </c>
      <c r="W35" s="39">
        <f t="shared" si="24"/>
        <v>0</v>
      </c>
      <c r="X35" s="35"/>
      <c r="Y35" s="35"/>
      <c r="Z35" s="84" t="s">
        <v>37</v>
      </c>
      <c r="AA35" s="84"/>
      <c r="AB35" s="35">
        <f t="shared" si="19"/>
        <v>0</v>
      </c>
      <c r="AC35" s="35">
        <f t="shared" si="19"/>
        <v>0</v>
      </c>
      <c r="AD35" s="35">
        <f t="shared" si="19"/>
        <v>0</v>
      </c>
      <c r="AE35" s="35">
        <f t="shared" si="19"/>
        <v>0</v>
      </c>
      <c r="AF35" s="95"/>
    </row>
    <row r="36" spans="2:33" x14ac:dyDescent="0.35">
      <c r="B36" s="31" t="s">
        <v>38</v>
      </c>
      <c r="C36" s="31"/>
      <c r="D36">
        <v>9.4221949329792452E-10</v>
      </c>
      <c r="E36">
        <v>8.0935289155384353E-10</v>
      </c>
      <c r="F36">
        <v>9.7902224191442851E-10</v>
      </c>
      <c r="G36">
        <v>8.4928634378221253E-10</v>
      </c>
      <c r="H36" s="486" t="s">
        <v>586</v>
      </c>
      <c r="J36" s="31" t="s">
        <v>38</v>
      </c>
      <c r="K36" s="31"/>
      <c r="L36" s="38">
        <f t="shared" ref="L36:N36" si="30">L26</f>
        <v>3300</v>
      </c>
      <c r="M36" s="38">
        <f t="shared" si="30"/>
        <v>0</v>
      </c>
      <c r="N36" s="38">
        <f t="shared" si="30"/>
        <v>0</v>
      </c>
      <c r="O36" s="38">
        <v>0</v>
      </c>
      <c r="P36" s="486" t="s">
        <v>586</v>
      </c>
      <c r="R36" s="31" t="s">
        <v>38</v>
      </c>
      <c r="S36" s="31"/>
      <c r="T36" s="39">
        <f t="shared" si="21"/>
        <v>2.8026449344813013E-6</v>
      </c>
      <c r="U36" s="39">
        <f t="shared" si="22"/>
        <v>0</v>
      </c>
      <c r="V36" s="39">
        <f t="shared" si="23"/>
        <v>0</v>
      </c>
      <c r="W36" s="39">
        <f t="shared" si="24"/>
        <v>0</v>
      </c>
      <c r="X36" s="35"/>
      <c r="Y36" s="35"/>
      <c r="Z36" s="84" t="s">
        <v>38</v>
      </c>
      <c r="AA36" s="84"/>
      <c r="AB36" s="35">
        <f t="shared" si="19"/>
        <v>0.74270090763754493</v>
      </c>
      <c r="AC36" s="35">
        <f t="shared" si="19"/>
        <v>0</v>
      </c>
      <c r="AD36" s="35">
        <f t="shared" si="19"/>
        <v>0</v>
      </c>
      <c r="AE36" s="35">
        <f t="shared" si="19"/>
        <v>0</v>
      </c>
      <c r="AF36" s="95">
        <f>SUM(AB29:AE36)</f>
        <v>30.328630051228043</v>
      </c>
    </row>
    <row r="37" spans="2:33" x14ac:dyDescent="0.35">
      <c r="L37" s="35"/>
      <c r="M37" s="35"/>
      <c r="N37" s="35"/>
      <c r="O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95"/>
    </row>
    <row r="38" spans="2:33" x14ac:dyDescent="0.35">
      <c r="B38" s="30" t="s">
        <v>362</v>
      </c>
      <c r="C38" s="30"/>
      <c r="D38" s="32">
        <v>1990</v>
      </c>
      <c r="E38" s="32">
        <v>2015</v>
      </c>
      <c r="F38" s="32">
        <v>2019</v>
      </c>
      <c r="G38" s="32">
        <v>2023</v>
      </c>
      <c r="J38" s="30" t="s">
        <v>362</v>
      </c>
      <c r="K38" s="30"/>
      <c r="L38" s="66" t="s">
        <v>47</v>
      </c>
      <c r="M38" s="66" t="s">
        <v>13</v>
      </c>
      <c r="N38" s="66" t="s">
        <v>48</v>
      </c>
      <c r="O38" s="37" t="s">
        <v>455</v>
      </c>
      <c r="R38" s="30" t="s">
        <v>362</v>
      </c>
      <c r="S38" s="30"/>
      <c r="T38" s="66" t="s">
        <v>47</v>
      </c>
      <c r="U38" s="66" t="s">
        <v>13</v>
      </c>
      <c r="V38" s="66" t="s">
        <v>48</v>
      </c>
      <c r="W38" s="37" t="s">
        <v>455</v>
      </c>
      <c r="X38" s="35"/>
      <c r="Y38" s="35"/>
      <c r="Z38" s="85" t="s">
        <v>86</v>
      </c>
      <c r="AA38" s="85"/>
      <c r="AB38" s="66"/>
      <c r="AC38" s="66"/>
      <c r="AD38" s="66"/>
      <c r="AE38" s="66"/>
      <c r="AF38" s="95"/>
    </row>
    <row r="39" spans="2:33" x14ac:dyDescent="0.35">
      <c r="B39" s="33" t="s">
        <v>363</v>
      </c>
      <c r="C39" s="33"/>
      <c r="D39" s="39">
        <v>4.2362256146967983E-7</v>
      </c>
      <c r="E39" s="39">
        <v>5.7878244976679176E-7</v>
      </c>
      <c r="F39" s="39">
        <v>5.734813164415735E-7</v>
      </c>
      <c r="G39" s="39">
        <v>5.6764169279052856E-7</v>
      </c>
      <c r="H39" s="92" t="s">
        <v>588</v>
      </c>
      <c r="J39" s="33" t="s">
        <v>363</v>
      </c>
      <c r="K39" s="33"/>
      <c r="L39" s="38">
        <f>L9</f>
        <v>198</v>
      </c>
      <c r="M39" s="38">
        <f t="shared" ref="M39:N39" si="31">M9</f>
        <v>0</v>
      </c>
      <c r="N39" s="38">
        <f t="shared" si="31"/>
        <v>50</v>
      </c>
      <c r="O39" s="38">
        <v>0</v>
      </c>
      <c r="P39" s="92" t="s">
        <v>588</v>
      </c>
      <c r="R39" s="33" t="s">
        <v>363</v>
      </c>
      <c r="S39" s="33"/>
      <c r="T39" s="39">
        <f>$G39*L39</f>
        <v>1.1239305517252465E-4</v>
      </c>
      <c r="U39" s="39">
        <f>$G39*M39</f>
        <v>0</v>
      </c>
      <c r="V39" s="39">
        <f>$G39*N39</f>
        <v>2.8382084639526426E-5</v>
      </c>
      <c r="W39" s="39">
        <f>$G39*O39</f>
        <v>0</v>
      </c>
      <c r="X39" s="35"/>
      <c r="Y39" s="35"/>
      <c r="Z39" s="86" t="s">
        <v>363</v>
      </c>
      <c r="AA39" s="86"/>
      <c r="AB39" s="35">
        <f t="shared" ref="AB39:AE40" si="32">T39*PRG_N2O*1000</f>
        <v>29.784159620719034</v>
      </c>
      <c r="AC39" s="35">
        <f t="shared" si="32"/>
        <v>0</v>
      </c>
      <c r="AD39" s="35">
        <f t="shared" si="32"/>
        <v>7.5212524294745027</v>
      </c>
      <c r="AE39" s="35">
        <f t="shared" si="32"/>
        <v>0</v>
      </c>
      <c r="AF39" s="95"/>
      <c r="AG39" s="35"/>
    </row>
    <row r="40" spans="2:33" x14ac:dyDescent="0.35">
      <c r="B40" s="33" t="s">
        <v>364</v>
      </c>
      <c r="C40" s="33"/>
      <c r="D40" s="34">
        <v>6.753766493176453E-6</v>
      </c>
      <c r="E40" s="34">
        <v>5.3564013412451768E-6</v>
      </c>
      <c r="F40" s="34">
        <v>5.3076505681146538E-6</v>
      </c>
      <c r="G40" s="34">
        <v>5.11628273521294E-6</v>
      </c>
      <c r="H40" s="92" t="s">
        <v>49</v>
      </c>
      <c r="J40" s="33" t="s">
        <v>364</v>
      </c>
      <c r="K40" s="33"/>
      <c r="L40" s="38">
        <v>25923</v>
      </c>
      <c r="M40" s="38">
        <v>1053</v>
      </c>
      <c r="N40" s="38">
        <v>5787</v>
      </c>
      <c r="O40" s="38">
        <v>800</v>
      </c>
      <c r="P40" s="92" t="s">
        <v>49</v>
      </c>
      <c r="R40" s="33" t="s">
        <v>364</v>
      </c>
      <c r="S40" s="33"/>
      <c r="T40" s="39">
        <f>$G$40*L40 / 100</f>
        <v>1.3262939734492503E-3</v>
      </c>
      <c r="U40" s="39">
        <f>$G$40*M40 / 100</f>
        <v>5.3874457201792253E-5</v>
      </c>
      <c r="V40" s="39">
        <f>$G$40*N40 / 100</f>
        <v>2.9607928188677286E-4</v>
      </c>
      <c r="W40" s="39">
        <f>$G$40*O40 / 100</f>
        <v>4.093026188170352E-5</v>
      </c>
      <c r="X40" s="35"/>
      <c r="Y40" s="35"/>
      <c r="Z40" s="86" t="s">
        <v>364</v>
      </c>
      <c r="AA40" s="86"/>
      <c r="AB40" s="35">
        <f t="shared" si="32"/>
        <v>351.46790296405135</v>
      </c>
      <c r="AC40" s="35">
        <f t="shared" si="32"/>
        <v>14.276731158474947</v>
      </c>
      <c r="AD40" s="35">
        <f t="shared" si="32"/>
        <v>78.461009699994804</v>
      </c>
      <c r="AE40" s="35">
        <f t="shared" si="32"/>
        <v>10.846519398651434</v>
      </c>
      <c r="AF40" s="95">
        <f>SUM(AB39:AE40)</f>
        <v>492.35757527136604</v>
      </c>
    </row>
    <row r="41" spans="2:33" x14ac:dyDescent="0.35">
      <c r="H41" s="92"/>
      <c r="L41" s="35"/>
      <c r="M41" s="35"/>
      <c r="N41" s="35"/>
      <c r="O41" s="35"/>
      <c r="P41" s="92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95"/>
    </row>
    <row r="42" spans="2:33" x14ac:dyDescent="0.35">
      <c r="B42" s="30" t="s">
        <v>41</v>
      </c>
      <c r="C42" s="30"/>
      <c r="D42" s="32">
        <v>1990</v>
      </c>
      <c r="E42" s="32">
        <v>2015</v>
      </c>
      <c r="F42" s="32">
        <v>2019</v>
      </c>
      <c r="G42" s="32">
        <v>2023</v>
      </c>
      <c r="H42" s="92"/>
      <c r="J42" s="30" t="s">
        <v>89</v>
      </c>
      <c r="K42" s="30"/>
      <c r="L42" s="66" t="s">
        <v>47</v>
      </c>
      <c r="M42" s="66" t="s">
        <v>13</v>
      </c>
      <c r="N42" s="66" t="s">
        <v>48</v>
      </c>
      <c r="O42" s="37" t="s">
        <v>455</v>
      </c>
      <c r="P42" s="92"/>
      <c r="R42" s="30" t="s">
        <v>90</v>
      </c>
      <c r="S42" s="30"/>
      <c r="T42" s="66" t="s">
        <v>47</v>
      </c>
      <c r="U42" s="66" t="s">
        <v>13</v>
      </c>
      <c r="V42" s="66" t="s">
        <v>48</v>
      </c>
      <c r="W42" s="37" t="s">
        <v>455</v>
      </c>
      <c r="X42" s="35"/>
      <c r="Y42" s="35"/>
      <c r="Z42" s="85" t="s">
        <v>80</v>
      </c>
      <c r="AA42" s="85"/>
      <c r="AB42" s="66"/>
      <c r="AC42" s="66"/>
      <c r="AD42" s="66"/>
      <c r="AE42" s="66"/>
      <c r="AF42" s="95"/>
    </row>
    <row r="43" spans="2:33" x14ac:dyDescent="0.35">
      <c r="B43" s="33" t="s">
        <v>42</v>
      </c>
      <c r="C43" s="33"/>
      <c r="D43" s="35">
        <v>2.0850807316580349E-5</v>
      </c>
      <c r="E43" s="35">
        <v>3.1308176665473272E-5</v>
      </c>
      <c r="F43" s="35">
        <v>3.1330032454322277E-5</v>
      </c>
      <c r="G43" s="35">
        <v>3.1454708335931191E-5</v>
      </c>
      <c r="H43" s="92" t="s">
        <v>49</v>
      </c>
      <c r="J43" s="33" t="s">
        <v>42</v>
      </c>
      <c r="K43" s="33"/>
      <c r="L43" s="38">
        <f>L$40</f>
        <v>25923</v>
      </c>
      <c r="M43" s="38">
        <f t="shared" ref="M43:N47" si="33">M$40</f>
        <v>1053</v>
      </c>
      <c r="N43" s="38">
        <f t="shared" si="33"/>
        <v>5787</v>
      </c>
      <c r="O43" s="38">
        <v>800</v>
      </c>
      <c r="P43" s="92" t="s">
        <v>49</v>
      </c>
      <c r="R43" s="33" t="s">
        <v>42</v>
      </c>
      <c r="S43" s="33"/>
      <c r="T43" s="39">
        <f>$G43*L$43/100</f>
        <v>8.1540040419234433E-3</v>
      </c>
      <c r="U43" s="39">
        <f>$G43*M$43/100</f>
        <v>3.3121807877735545E-4</v>
      </c>
      <c r="V43" s="39">
        <f>$G43*N$43/100</f>
        <v>1.820283971400338E-3</v>
      </c>
      <c r="W43" s="39">
        <f>$G43*O$43/100</f>
        <v>2.5163766668744953E-4</v>
      </c>
      <c r="X43" s="35"/>
      <c r="Y43" s="35"/>
      <c r="Z43" s="86" t="s">
        <v>42</v>
      </c>
      <c r="AA43" s="86"/>
      <c r="AB43" s="35">
        <f t="shared" ref="AB43:AE44" si="34">T43*1000</f>
        <v>8.154004041923443</v>
      </c>
      <c r="AC43" s="35">
        <f t="shared" si="34"/>
        <v>0.33121807877735543</v>
      </c>
      <c r="AD43" s="35">
        <f t="shared" si="34"/>
        <v>1.820283971400338</v>
      </c>
      <c r="AE43" s="35">
        <f t="shared" si="34"/>
        <v>0.25163766668744952</v>
      </c>
      <c r="AF43" s="95"/>
    </row>
    <row r="44" spans="2:33" x14ac:dyDescent="0.35">
      <c r="B44" s="33" t="s">
        <v>43</v>
      </c>
      <c r="C44" s="33"/>
      <c r="D44" s="35">
        <v>2.4982641163647276E-5</v>
      </c>
      <c r="E44" s="35">
        <v>1.1265484138032151E-5</v>
      </c>
      <c r="F44" s="35">
        <v>1.2158406426786245E-5</v>
      </c>
      <c r="G44" s="35">
        <v>1.2849406586558352E-5</v>
      </c>
      <c r="H44" s="92" t="s">
        <v>49</v>
      </c>
      <c r="J44" s="33" t="s">
        <v>43</v>
      </c>
      <c r="K44" s="33"/>
      <c r="L44" s="38">
        <f t="shared" ref="L44:L47" si="35">L$40</f>
        <v>25923</v>
      </c>
      <c r="M44" s="38">
        <f t="shared" si="33"/>
        <v>1053</v>
      </c>
      <c r="N44" s="38">
        <f t="shared" si="33"/>
        <v>5787</v>
      </c>
      <c r="O44" s="38">
        <v>800</v>
      </c>
      <c r="P44" s="92" t="s">
        <v>49</v>
      </c>
      <c r="R44" s="33" t="s">
        <v>43</v>
      </c>
      <c r="S44" s="33"/>
      <c r="T44" s="39">
        <f t="shared" ref="T44:T47" si="36">$G44*L$43/100</f>
        <v>3.3309516694335216E-3</v>
      </c>
      <c r="U44" s="39">
        <f t="shared" ref="U44:U47" si="37">$G44*M$43/100</f>
        <v>1.3530425135645945E-4</v>
      </c>
      <c r="V44" s="39">
        <f t="shared" ref="V44:W47" si="38">$G44*N$43/100</f>
        <v>7.4359515916413185E-4</v>
      </c>
      <c r="W44" s="39">
        <f t="shared" si="38"/>
        <v>1.0279525269246681E-4</v>
      </c>
      <c r="X44" s="35"/>
      <c r="Y44" s="35"/>
      <c r="Z44" s="86" t="s">
        <v>43</v>
      </c>
      <c r="AA44" s="86"/>
      <c r="AB44" s="35">
        <f t="shared" si="34"/>
        <v>3.3309516694335217</v>
      </c>
      <c r="AC44" s="35">
        <f t="shared" si="34"/>
        <v>0.13530425135645946</v>
      </c>
      <c r="AD44" s="35">
        <f t="shared" si="34"/>
        <v>0.74359515916413188</v>
      </c>
      <c r="AE44" s="35">
        <f t="shared" si="34"/>
        <v>0.10279525269246681</v>
      </c>
      <c r="AF44" s="95">
        <f>SUM(AB43:AE44)</f>
        <v>14.869790091435165</v>
      </c>
    </row>
    <row r="45" spans="2:33" x14ac:dyDescent="0.35">
      <c r="X45" s="35"/>
      <c r="Y45" s="35"/>
      <c r="Z45" s="35"/>
      <c r="AA45" s="35"/>
      <c r="AB45" s="35"/>
      <c r="AC45" s="35"/>
      <c r="AD45" s="35"/>
      <c r="AE45" s="35"/>
      <c r="AF45" s="95"/>
    </row>
    <row r="46" spans="2:33" x14ac:dyDescent="0.35">
      <c r="B46" s="30" t="s">
        <v>87</v>
      </c>
      <c r="C46" s="30"/>
      <c r="D46" s="32">
        <v>1990</v>
      </c>
      <c r="E46" s="32">
        <v>2015</v>
      </c>
      <c r="F46" s="32">
        <v>2019</v>
      </c>
      <c r="G46" s="32">
        <v>2022</v>
      </c>
      <c r="J46" s="30" t="s">
        <v>87</v>
      </c>
      <c r="K46" s="30"/>
      <c r="L46" s="37" t="s">
        <v>47</v>
      </c>
      <c r="M46" s="37" t="s">
        <v>13</v>
      </c>
      <c r="N46" s="37" t="s">
        <v>48</v>
      </c>
      <c r="O46" s="37" t="s">
        <v>455</v>
      </c>
      <c r="R46" s="30" t="s">
        <v>88</v>
      </c>
      <c r="S46" s="30"/>
      <c r="T46" s="37" t="s">
        <v>47</v>
      </c>
      <c r="U46" s="37" t="s">
        <v>13</v>
      </c>
      <c r="V46" s="37" t="s">
        <v>48</v>
      </c>
      <c r="W46" s="37" t="s">
        <v>455</v>
      </c>
      <c r="X46" s="35"/>
      <c r="Y46" s="35"/>
      <c r="Z46" s="30" t="s">
        <v>87</v>
      </c>
      <c r="AA46" s="30"/>
      <c r="AB46" s="32"/>
      <c r="AC46" s="32"/>
      <c r="AD46" s="32"/>
      <c r="AE46" s="32"/>
      <c r="AF46" s="95"/>
    </row>
    <row r="47" spans="2:33" x14ac:dyDescent="0.35">
      <c r="B47" s="33" t="s">
        <v>44</v>
      </c>
      <c r="C47" s="33"/>
      <c r="D47" s="39">
        <v>5.2410490619444864E-4</v>
      </c>
      <c r="E47" s="39">
        <v>5.2956517581529132E-4</v>
      </c>
      <c r="F47" s="39">
        <v>3.3592666131816089E-4</v>
      </c>
      <c r="G47" s="39">
        <v>7.0658287760955272E-4</v>
      </c>
      <c r="H47" s="92" t="s">
        <v>49</v>
      </c>
      <c r="J47" s="33" t="s">
        <v>44</v>
      </c>
      <c r="K47" s="33"/>
      <c r="L47" s="38">
        <f t="shared" si="35"/>
        <v>25923</v>
      </c>
      <c r="M47" s="38">
        <f t="shared" si="33"/>
        <v>1053</v>
      </c>
      <c r="N47" s="38">
        <f t="shared" si="33"/>
        <v>5787</v>
      </c>
      <c r="O47" s="38">
        <v>800</v>
      </c>
      <c r="P47" s="92" t="s">
        <v>49</v>
      </c>
      <c r="R47" s="33" t="s">
        <v>44</v>
      </c>
      <c r="S47" s="33"/>
      <c r="T47" s="35">
        <f t="shared" si="36"/>
        <v>0.18316747936272434</v>
      </c>
      <c r="U47" s="35">
        <f t="shared" si="37"/>
        <v>7.4403177012285901E-3</v>
      </c>
      <c r="V47" s="35">
        <f t="shared" si="38"/>
        <v>4.0889951127264811E-2</v>
      </c>
      <c r="W47" s="35">
        <f t="shared" si="38"/>
        <v>5.6526630208764217E-3</v>
      </c>
      <c r="X47" s="35"/>
      <c r="Y47" s="35"/>
      <c r="Z47" s="86" t="s">
        <v>44</v>
      </c>
      <c r="AA47" s="86"/>
      <c r="AB47" s="35">
        <f>T47*1000</f>
        <v>183.16747936272435</v>
      </c>
      <c r="AC47" s="35">
        <f>U47*1000</f>
        <v>7.4403177012285902</v>
      </c>
      <c r="AD47" s="35">
        <f>V47*1000</f>
        <v>40.889951127264808</v>
      </c>
      <c r="AE47" s="35">
        <f>W47*1000</f>
        <v>5.6526630208764219</v>
      </c>
      <c r="AF47" s="95">
        <f>SUM(AB47:AE47)</f>
        <v>237.15041121209416</v>
      </c>
    </row>
    <row r="48" spans="2:33" x14ac:dyDescent="0.35">
      <c r="B48" s="33" t="s">
        <v>45</v>
      </c>
      <c r="C48" s="7"/>
      <c r="H48" s="92" t="s">
        <v>85</v>
      </c>
      <c r="J48" s="33" t="s">
        <v>45</v>
      </c>
      <c r="K48" s="91"/>
      <c r="L48" s="38">
        <v>8582</v>
      </c>
      <c r="M48" s="38">
        <v>76</v>
      </c>
      <c r="N48" s="38">
        <v>2587</v>
      </c>
      <c r="O48" s="38">
        <v>0</v>
      </c>
      <c r="P48" s="92" t="s">
        <v>85</v>
      </c>
      <c r="R48" s="33" t="s">
        <v>45</v>
      </c>
      <c r="S48" s="35"/>
      <c r="T48" s="35"/>
      <c r="U48" s="35"/>
      <c r="V48" s="35"/>
      <c r="W48" s="35"/>
      <c r="X48" s="35"/>
      <c r="Y48" s="35"/>
      <c r="Z48" s="86" t="s">
        <v>45</v>
      </c>
      <c r="AA48" s="35"/>
      <c r="AB48" s="35"/>
      <c r="AC48" s="35"/>
      <c r="AD48" s="35"/>
      <c r="AE48" s="35"/>
      <c r="AF48" s="94"/>
    </row>
    <row r="49" spans="2:32" x14ac:dyDescent="0.35">
      <c r="C49" s="35"/>
      <c r="D49" s="35"/>
      <c r="E49" s="35"/>
      <c r="F49" s="35"/>
      <c r="G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94"/>
    </row>
    <row r="50" spans="2:32" ht="13.5" customHeight="1" x14ac:dyDescent="0.35">
      <c r="G50" s="39">
        <f>G29+G19+G9+G39</f>
        <v>1.2786987887825304E-4</v>
      </c>
      <c r="W50" s="35"/>
      <c r="X50" s="35"/>
      <c r="Y50" s="85" t="s">
        <v>65</v>
      </c>
      <c r="Z50" s="66"/>
      <c r="AA50" s="66">
        <f>SUM(AB9:AB47)</f>
        <v>1682.4990102955969</v>
      </c>
      <c r="AB50" s="66">
        <f>SUM(AC9:AC47)</f>
        <v>22.183571189837352</v>
      </c>
      <c r="AC50" s="66">
        <f>SUM(AD9:AD47)</f>
        <v>390.51373654670141</v>
      </c>
      <c r="AD50" s="66">
        <f>SUM(AE9:AE47)</f>
        <v>16.853615338907773</v>
      </c>
      <c r="AE50" s="95">
        <f>SUM(AA50:AD50)</f>
        <v>2112.0499333710432</v>
      </c>
      <c r="AF50" s="38"/>
    </row>
    <row r="51" spans="2:32" x14ac:dyDescent="0.35">
      <c r="M51" s="76"/>
    </row>
    <row r="52" spans="2:32" s="67" customFormat="1" ht="23.5" x14ac:dyDescent="0.55000000000000004">
      <c r="B52" s="68">
        <v>2019</v>
      </c>
    </row>
    <row r="54" spans="2:32" x14ac:dyDescent="0.35">
      <c r="B54" s="1" t="s">
        <v>92</v>
      </c>
      <c r="F54" s="1" t="s">
        <v>93</v>
      </c>
    </row>
    <row r="55" spans="2:32" ht="31.5" customHeight="1" x14ac:dyDescent="0.35">
      <c r="B55" s="69" t="s">
        <v>73</v>
      </c>
      <c r="C55" s="69" t="s">
        <v>48</v>
      </c>
      <c r="D55" s="69" t="s">
        <v>47</v>
      </c>
      <c r="F55" s="69" t="s">
        <v>74</v>
      </c>
      <c r="G55" s="69" t="s">
        <v>48</v>
      </c>
      <c r="H55" s="69" t="s">
        <v>47</v>
      </c>
    </row>
    <row r="56" spans="2:32" x14ac:dyDescent="0.35">
      <c r="B56" s="70" t="s">
        <v>67</v>
      </c>
      <c r="C56" s="71">
        <v>0.1671</v>
      </c>
      <c r="D56" s="71"/>
      <c r="F56" s="70" t="s">
        <v>67</v>
      </c>
      <c r="G56" s="71">
        <v>0</v>
      </c>
      <c r="H56" s="71">
        <v>0</v>
      </c>
      <c r="K56" s="71"/>
    </row>
    <row r="57" spans="2:32" x14ac:dyDescent="0.35">
      <c r="B57" s="70" t="s">
        <v>68</v>
      </c>
      <c r="C57" s="71">
        <v>47.719199999999994</v>
      </c>
      <c r="D57" s="71">
        <v>179.85159999999999</v>
      </c>
      <c r="F57" s="70" t="s">
        <v>68</v>
      </c>
      <c r="G57" s="71">
        <f>41+0.49+4.79</f>
        <v>46.28</v>
      </c>
      <c r="H57" s="71">
        <v>195</v>
      </c>
      <c r="K57" s="71"/>
    </row>
    <row r="58" spans="2:32" x14ac:dyDescent="0.35">
      <c r="B58" s="70" t="s">
        <v>75</v>
      </c>
      <c r="C58" s="71">
        <v>32.450000000000003</v>
      </c>
      <c r="D58" s="71">
        <v>70.650000000000006</v>
      </c>
      <c r="F58" s="70" t="s">
        <v>75</v>
      </c>
      <c r="G58" s="71">
        <v>32.1</v>
      </c>
      <c r="H58" s="71">
        <v>80</v>
      </c>
      <c r="K58" s="71"/>
    </row>
    <row r="59" spans="2:32" x14ac:dyDescent="0.35">
      <c r="B59" s="70" t="s">
        <v>69</v>
      </c>
      <c r="C59" s="71"/>
      <c r="D59" s="71">
        <v>3.6</v>
      </c>
      <c r="F59" s="70" t="s">
        <v>69</v>
      </c>
      <c r="G59" s="71">
        <v>0</v>
      </c>
      <c r="H59" s="71">
        <v>2.72</v>
      </c>
      <c r="K59" s="71"/>
    </row>
    <row r="60" spans="2:32" x14ac:dyDescent="0.35">
      <c r="B60" s="70" t="s">
        <v>70</v>
      </c>
      <c r="C60" s="71"/>
      <c r="D60" s="71">
        <v>17.3</v>
      </c>
      <c r="F60" s="70" t="s">
        <v>70</v>
      </c>
      <c r="G60" s="71"/>
      <c r="H60" s="71">
        <v>15.5</v>
      </c>
      <c r="K60" s="71"/>
    </row>
    <row r="61" spans="2:32" ht="15.5" x14ac:dyDescent="0.35">
      <c r="B61" s="72" t="s">
        <v>71</v>
      </c>
      <c r="C61" s="73">
        <f>SUM(C56:C60)</f>
        <v>80.336299999999994</v>
      </c>
      <c r="D61" s="73">
        <f>SUM(D56:D60)</f>
        <v>271.40159999999997</v>
      </c>
      <c r="F61" s="72" t="s">
        <v>71</v>
      </c>
      <c r="G61" s="73">
        <f>SUM(G56:G60)</f>
        <v>78.38</v>
      </c>
      <c r="H61" s="73">
        <f>SUM(H56:H60)</f>
        <v>293.22000000000003</v>
      </c>
    </row>
    <row r="62" spans="2:32" ht="15.5" x14ac:dyDescent="0.35">
      <c r="AA62" s="74"/>
      <c r="AB62" s="74"/>
      <c r="AC62" s="74"/>
      <c r="AD62" s="366"/>
      <c r="AE62" s="74"/>
    </row>
    <row r="63" spans="2:32" ht="15.5" x14ac:dyDescent="0.35">
      <c r="I63" s="584" t="s">
        <v>76</v>
      </c>
      <c r="J63" s="584"/>
      <c r="K63" s="584"/>
      <c r="L63" s="584"/>
      <c r="M63" s="584"/>
      <c r="N63" s="584"/>
      <c r="O63" s="584"/>
      <c r="Q63" s="584" t="s">
        <v>456</v>
      </c>
      <c r="R63" s="584"/>
      <c r="S63" s="584"/>
      <c r="T63" s="584"/>
      <c r="U63" s="584"/>
      <c r="V63" s="584"/>
      <c r="W63" s="584"/>
      <c r="X63" s="584"/>
      <c r="AA63" s="74" t="s">
        <v>77</v>
      </c>
    </row>
    <row r="64" spans="2:32" x14ac:dyDescent="0.35">
      <c r="B64" s="582" t="s">
        <v>94</v>
      </c>
      <c r="C64" s="582"/>
      <c r="D64" s="582"/>
      <c r="E64" s="582"/>
      <c r="F64" s="582"/>
      <c r="G64" s="582"/>
      <c r="AE64" s="93" t="s">
        <v>82</v>
      </c>
    </row>
    <row r="65" spans="4:32" x14ac:dyDescent="0.35">
      <c r="G65">
        <f>H61/(H61+G61)</f>
        <v>0.78907427341227132</v>
      </c>
      <c r="I65" s="30" t="s">
        <v>30</v>
      </c>
      <c r="J65" s="30"/>
      <c r="K65" s="30" t="s">
        <v>47</v>
      </c>
      <c r="L65" s="30" t="s">
        <v>13</v>
      </c>
      <c r="M65" s="30" t="s">
        <v>48</v>
      </c>
      <c r="N65" s="30" t="s">
        <v>455</v>
      </c>
      <c r="Q65" s="30" t="s">
        <v>30</v>
      </c>
      <c r="R65" s="30"/>
      <c r="S65" s="37" t="s">
        <v>47</v>
      </c>
      <c r="T65" s="37" t="s">
        <v>13</v>
      </c>
      <c r="U65" s="37" t="s">
        <v>48</v>
      </c>
      <c r="V65" s="37" t="s">
        <v>455</v>
      </c>
      <c r="Y65" s="30" t="s">
        <v>81</v>
      </c>
      <c r="Z65" s="30"/>
      <c r="AA65" s="37" t="s">
        <v>47</v>
      </c>
      <c r="AB65" s="37" t="s">
        <v>13</v>
      </c>
      <c r="AC65" s="37" t="s">
        <v>48</v>
      </c>
      <c r="AD65" s="37" t="s">
        <v>455</v>
      </c>
      <c r="AE65" s="94"/>
      <c r="AF65" s="35"/>
    </row>
    <row r="66" spans="4:32" x14ac:dyDescent="0.35">
      <c r="D66" s="1" t="s">
        <v>95</v>
      </c>
      <c r="I66" s="31" t="s">
        <v>31</v>
      </c>
      <c r="J66" s="31"/>
      <c r="K66" s="76">
        <f>D57/H57</f>
        <v>0.92231589743589737</v>
      </c>
      <c r="L66" s="76">
        <v>0</v>
      </c>
      <c r="M66" s="76">
        <f>C57/G57</f>
        <v>1.0310976663785651</v>
      </c>
      <c r="N66" s="76">
        <v>1</v>
      </c>
      <c r="Q66" s="31" t="s">
        <v>31</v>
      </c>
      <c r="R66" s="31"/>
      <c r="S66" s="39">
        <f t="shared" ref="S66:V73" si="39">$F9*L9*K66</f>
        <v>2.067821451838308E-2</v>
      </c>
      <c r="T66" s="39">
        <f t="shared" si="39"/>
        <v>0</v>
      </c>
      <c r="U66" s="39">
        <f t="shared" si="39"/>
        <v>5.837648750417224E-3</v>
      </c>
      <c r="V66" s="39">
        <f t="shared" si="39"/>
        <v>0</v>
      </c>
      <c r="W66" s="80"/>
      <c r="X66" s="80"/>
      <c r="Y66" s="31" t="s">
        <v>31</v>
      </c>
      <c r="Z66" s="31"/>
      <c r="AA66" s="35">
        <f>S66*PRG_CH4*1000</f>
        <v>578.99000651472625</v>
      </c>
      <c r="AB66" s="35">
        <f t="shared" ref="AA66:AD73" si="40">T66*PRG_CH4*1000</f>
        <v>0</v>
      </c>
      <c r="AC66" s="35">
        <f t="shared" si="40"/>
        <v>163.45416501168228</v>
      </c>
      <c r="AD66" s="35">
        <f t="shared" si="40"/>
        <v>0</v>
      </c>
      <c r="AE66" s="94"/>
    </row>
    <row r="67" spans="4:32" x14ac:dyDescent="0.35">
      <c r="I67" s="31" t="s">
        <v>32</v>
      </c>
      <c r="J67" s="31"/>
      <c r="K67" s="76">
        <f>K66</f>
        <v>0.92231589743589737</v>
      </c>
      <c r="L67" s="76">
        <v>0</v>
      </c>
      <c r="M67" s="76">
        <f>M66</f>
        <v>1.0310976663785651</v>
      </c>
      <c r="N67" s="76">
        <v>1</v>
      </c>
      <c r="Q67" s="31" t="s">
        <v>32</v>
      </c>
      <c r="R67" s="31"/>
      <c r="S67" s="39">
        <f t="shared" si="39"/>
        <v>1.8307070438576916E-3</v>
      </c>
      <c r="T67" s="39">
        <f t="shared" si="39"/>
        <v>0</v>
      </c>
      <c r="U67" s="39">
        <f t="shared" si="39"/>
        <v>1.227976943252674E-4</v>
      </c>
      <c r="V67" s="39">
        <f t="shared" si="39"/>
        <v>0</v>
      </c>
      <c r="W67" s="80"/>
      <c r="X67" s="80"/>
      <c r="Y67" s="87" t="s">
        <v>32</v>
      </c>
      <c r="Z67" s="87"/>
      <c r="AA67" s="80">
        <f t="shared" si="40"/>
        <v>51.259797228015366</v>
      </c>
      <c r="AB67" s="80">
        <f t="shared" si="40"/>
        <v>0</v>
      </c>
      <c r="AC67" s="35">
        <f t="shared" ref="AC67:AC73" si="41">U67*PRG_CH4*1000</f>
        <v>3.4383354411074873</v>
      </c>
      <c r="AD67" s="35">
        <f t="shared" ref="AD67:AD73" si="42">V67*PRG_CH4*1000</f>
        <v>0</v>
      </c>
      <c r="AE67" s="94"/>
    </row>
    <row r="68" spans="4:32" x14ac:dyDescent="0.35">
      <c r="I68" s="31" t="s">
        <v>33</v>
      </c>
      <c r="J68" s="31"/>
      <c r="K68" s="76">
        <f>K66</f>
        <v>0.92231589743589737</v>
      </c>
      <c r="L68" s="76">
        <v>0</v>
      </c>
      <c r="M68" s="76">
        <f>M66</f>
        <v>1.0310976663785651</v>
      </c>
      <c r="N68" s="76">
        <v>1</v>
      </c>
      <c r="Q68" s="31" t="s">
        <v>33</v>
      </c>
      <c r="R68" s="31"/>
      <c r="S68" s="39">
        <f t="shared" si="39"/>
        <v>6.4282307529697257E-3</v>
      </c>
      <c r="T68" s="39">
        <f t="shared" si="39"/>
        <v>0</v>
      </c>
      <c r="U68" s="39">
        <f t="shared" si="39"/>
        <v>1.3991227071305881E-3</v>
      </c>
      <c r="V68" s="39">
        <f t="shared" si="39"/>
        <v>0</v>
      </c>
      <c r="W68" s="80"/>
      <c r="X68" s="80"/>
      <c r="Y68" s="87" t="s">
        <v>33</v>
      </c>
      <c r="Z68" s="87"/>
      <c r="AA68" s="80">
        <f t="shared" si="40"/>
        <v>179.9904610831523</v>
      </c>
      <c r="AB68" s="80">
        <f t="shared" si="40"/>
        <v>0</v>
      </c>
      <c r="AC68" s="35">
        <f t="shared" si="41"/>
        <v>39.175435799656469</v>
      </c>
      <c r="AD68" s="35">
        <f t="shared" si="42"/>
        <v>0</v>
      </c>
      <c r="AE68" s="94"/>
    </row>
    <row r="69" spans="4:32" x14ac:dyDescent="0.35">
      <c r="I69" s="31" t="s">
        <v>34</v>
      </c>
      <c r="J69" s="31"/>
      <c r="K69" s="76">
        <f>D59/H59</f>
        <v>1.3235294117647058</v>
      </c>
      <c r="L69" s="76">
        <v>0</v>
      </c>
      <c r="M69" s="76">
        <v>0</v>
      </c>
      <c r="N69" s="76">
        <v>1</v>
      </c>
      <c r="Q69" s="31" t="s">
        <v>34</v>
      </c>
      <c r="R69" s="31"/>
      <c r="S69" s="39">
        <f t="shared" si="39"/>
        <v>1.6555102815867686E-4</v>
      </c>
      <c r="T69" s="39">
        <f t="shared" si="39"/>
        <v>0</v>
      </c>
      <c r="U69" s="39">
        <f t="shared" si="39"/>
        <v>0</v>
      </c>
      <c r="V69" s="39">
        <f t="shared" si="39"/>
        <v>0</v>
      </c>
      <c r="W69" s="80"/>
      <c r="X69" s="80"/>
      <c r="Y69" s="87" t="s">
        <v>34</v>
      </c>
      <c r="Z69" s="87"/>
      <c r="AA69" s="80">
        <f t="shared" si="40"/>
        <v>4.6354287884429519</v>
      </c>
      <c r="AB69" s="80">
        <f t="shared" si="40"/>
        <v>0</v>
      </c>
      <c r="AC69" s="35">
        <f t="shared" si="41"/>
        <v>0</v>
      </c>
      <c r="AD69" s="35">
        <f t="shared" si="42"/>
        <v>0</v>
      </c>
      <c r="AE69" s="94"/>
      <c r="AF69" s="35"/>
    </row>
    <row r="70" spans="4:32" x14ac:dyDescent="0.35">
      <c r="I70" s="31" t="s">
        <v>35</v>
      </c>
      <c r="J70" s="31"/>
      <c r="K70" s="76">
        <f>D58/H58</f>
        <v>0.88312500000000005</v>
      </c>
      <c r="L70" s="76">
        <v>0</v>
      </c>
      <c r="M70" s="76">
        <f>C58/G58</f>
        <v>1.0109034267912773</v>
      </c>
      <c r="N70" s="76">
        <v>1</v>
      </c>
      <c r="Q70" s="31" t="s">
        <v>35</v>
      </c>
      <c r="R70" s="31"/>
      <c r="S70" s="39">
        <f t="shared" si="39"/>
        <v>6.0722569864655128E-4</v>
      </c>
      <c r="T70" s="39">
        <f t="shared" si="39"/>
        <v>0</v>
      </c>
      <c r="U70" s="39">
        <f t="shared" si="39"/>
        <v>2.3816075138573186E-4</v>
      </c>
      <c r="V70" s="39">
        <f t="shared" si="39"/>
        <v>0</v>
      </c>
      <c r="W70" s="80"/>
      <c r="X70" s="80"/>
      <c r="Y70" s="87" t="s">
        <v>35</v>
      </c>
      <c r="Z70" s="87"/>
      <c r="AA70" s="80">
        <f t="shared" si="40"/>
        <v>17.002319562103434</v>
      </c>
      <c r="AB70" s="80">
        <f t="shared" si="40"/>
        <v>0</v>
      </c>
      <c r="AC70" s="35">
        <f t="shared" si="41"/>
        <v>6.6685010388004917</v>
      </c>
      <c r="AD70" s="35">
        <f t="shared" si="42"/>
        <v>0</v>
      </c>
      <c r="AE70" s="94"/>
    </row>
    <row r="71" spans="4:32" x14ac:dyDescent="0.35">
      <c r="I71" s="31" t="s">
        <v>36</v>
      </c>
      <c r="J71" s="31"/>
      <c r="K71" s="76">
        <v>0</v>
      </c>
      <c r="L71" s="76">
        <v>0</v>
      </c>
      <c r="M71" s="76">
        <v>0</v>
      </c>
      <c r="N71" s="76">
        <v>1</v>
      </c>
      <c r="Q71" s="31" t="s">
        <v>36</v>
      </c>
      <c r="R71" s="31"/>
      <c r="S71" s="39">
        <f t="shared" si="39"/>
        <v>0</v>
      </c>
      <c r="T71" s="39">
        <f t="shared" si="39"/>
        <v>0</v>
      </c>
      <c r="U71" s="39">
        <f t="shared" si="39"/>
        <v>0</v>
      </c>
      <c r="V71" s="39">
        <f t="shared" si="39"/>
        <v>0</v>
      </c>
      <c r="W71" s="80"/>
      <c r="X71" s="80"/>
      <c r="Y71" s="87" t="s">
        <v>36</v>
      </c>
      <c r="Z71" s="87"/>
      <c r="AA71" s="80">
        <f t="shared" si="40"/>
        <v>0</v>
      </c>
      <c r="AB71" s="80">
        <f t="shared" si="40"/>
        <v>0</v>
      </c>
      <c r="AC71" s="35">
        <f t="shared" si="41"/>
        <v>0</v>
      </c>
      <c r="AD71" s="35">
        <f t="shared" si="42"/>
        <v>0</v>
      </c>
      <c r="AE71" s="94"/>
    </row>
    <row r="72" spans="4:32" x14ac:dyDescent="0.35">
      <c r="I72" s="31" t="s">
        <v>37</v>
      </c>
      <c r="J72" s="31"/>
      <c r="K72" s="76">
        <v>0</v>
      </c>
      <c r="L72" s="76">
        <v>0</v>
      </c>
      <c r="M72" s="76">
        <v>0</v>
      </c>
      <c r="N72" s="76">
        <v>1</v>
      </c>
      <c r="Q72" s="31" t="s">
        <v>37</v>
      </c>
      <c r="R72" s="31"/>
      <c r="S72" s="39">
        <f t="shared" si="39"/>
        <v>0</v>
      </c>
      <c r="T72" s="39">
        <f t="shared" si="39"/>
        <v>0</v>
      </c>
      <c r="U72" s="39">
        <f t="shared" si="39"/>
        <v>0</v>
      </c>
      <c r="V72" s="39">
        <f t="shared" si="39"/>
        <v>0</v>
      </c>
      <c r="W72" s="80"/>
      <c r="X72" s="80"/>
      <c r="Y72" s="87" t="s">
        <v>37</v>
      </c>
      <c r="Z72" s="87"/>
      <c r="AA72" s="80">
        <f t="shared" si="40"/>
        <v>0</v>
      </c>
      <c r="AB72" s="80">
        <f t="shared" si="40"/>
        <v>0</v>
      </c>
      <c r="AC72" s="35">
        <f t="shared" si="41"/>
        <v>0</v>
      </c>
      <c r="AD72" s="35">
        <f t="shared" si="42"/>
        <v>0</v>
      </c>
      <c r="AE72" s="94"/>
    </row>
    <row r="73" spans="4:32" x14ac:dyDescent="0.35">
      <c r="I73" s="31" t="s">
        <v>38</v>
      </c>
      <c r="J73" s="31"/>
      <c r="K73" s="76">
        <f>D60/H60</f>
        <v>1.1161290322580646</v>
      </c>
      <c r="L73" s="76">
        <v>0</v>
      </c>
      <c r="M73" s="76">
        <v>0</v>
      </c>
      <c r="N73" s="76">
        <v>1</v>
      </c>
      <c r="Q73" s="31" t="s">
        <v>38</v>
      </c>
      <c r="R73" s="31"/>
      <c r="S73" s="39">
        <f t="shared" si="39"/>
        <v>3.0855528652980321E-4</v>
      </c>
      <c r="T73" s="39">
        <f t="shared" si="39"/>
        <v>0</v>
      </c>
      <c r="U73" s="39">
        <f t="shared" si="39"/>
        <v>0</v>
      </c>
      <c r="V73" s="39">
        <f t="shared" si="39"/>
        <v>0</v>
      </c>
      <c r="W73" s="80"/>
      <c r="X73" s="80"/>
      <c r="Y73" s="87" t="s">
        <v>38</v>
      </c>
      <c r="Z73" s="87"/>
      <c r="AA73" s="80">
        <f t="shared" si="40"/>
        <v>8.6395480228344894</v>
      </c>
      <c r="AB73" s="80">
        <f t="shared" si="40"/>
        <v>0</v>
      </c>
      <c r="AC73" s="35">
        <f t="shared" si="41"/>
        <v>0</v>
      </c>
      <c r="AD73" s="35">
        <f t="shared" si="42"/>
        <v>0</v>
      </c>
      <c r="AE73" s="95">
        <f>SUM(AA66:AD73)</f>
        <v>1053.2539984905218</v>
      </c>
    </row>
    <row r="74" spans="4:32" x14ac:dyDescent="0.35">
      <c r="K74" s="76"/>
      <c r="L74" s="76"/>
      <c r="M74" s="76"/>
      <c r="N74" s="76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95"/>
    </row>
    <row r="75" spans="4:32" x14ac:dyDescent="0.35">
      <c r="I75" s="30" t="s">
        <v>39</v>
      </c>
      <c r="J75" s="30"/>
      <c r="K75" s="77"/>
      <c r="L75" s="77"/>
      <c r="M75" s="77"/>
      <c r="N75" s="77"/>
      <c r="Q75" s="30" t="s">
        <v>39</v>
      </c>
      <c r="R75" s="30"/>
      <c r="S75" s="89" t="s">
        <v>47</v>
      </c>
      <c r="T75" s="89" t="s">
        <v>13</v>
      </c>
      <c r="U75" s="89" t="s">
        <v>48</v>
      </c>
      <c r="V75" s="37" t="s">
        <v>455</v>
      </c>
      <c r="W75" s="80"/>
      <c r="X75" s="80"/>
      <c r="Y75" s="88" t="s">
        <v>22</v>
      </c>
      <c r="Z75" s="88"/>
      <c r="AA75" s="89" t="s">
        <v>47</v>
      </c>
      <c r="AB75" s="89" t="s">
        <v>13</v>
      </c>
      <c r="AC75" s="89" t="s">
        <v>48</v>
      </c>
      <c r="AD75" s="37" t="s">
        <v>455</v>
      </c>
      <c r="AE75" s="95"/>
      <c r="AF75" s="80"/>
    </row>
    <row r="76" spans="4:32" x14ac:dyDescent="0.35">
      <c r="I76" s="31" t="s">
        <v>31</v>
      </c>
      <c r="J76" s="31"/>
      <c r="K76" s="76">
        <f>K66</f>
        <v>0.92231589743589737</v>
      </c>
      <c r="L76" s="76">
        <v>0</v>
      </c>
      <c r="M76" s="76">
        <f>M66</f>
        <v>1.0310976663785651</v>
      </c>
      <c r="N76" s="76">
        <v>1</v>
      </c>
      <c r="Q76" s="31" t="s">
        <v>31</v>
      </c>
      <c r="R76" s="31"/>
      <c r="S76" s="39">
        <f t="shared" ref="S76:V83" si="43">$F19*L19*K76</f>
        <v>2.9214306934777405E-3</v>
      </c>
      <c r="T76" s="39">
        <f t="shared" si="43"/>
        <v>0</v>
      </c>
      <c r="U76" s="39">
        <f t="shared" si="43"/>
        <v>8.2474655739979256E-4</v>
      </c>
      <c r="V76" s="39">
        <f t="shared" si="43"/>
        <v>0</v>
      </c>
      <c r="W76" s="80"/>
      <c r="X76" s="80"/>
      <c r="Y76" s="87" t="s">
        <v>31</v>
      </c>
      <c r="Z76" s="87"/>
      <c r="AA76" s="80">
        <f t="shared" ref="AA76:AD83" si="44">S76*PRG_CH4*1000</f>
        <v>81.800059417376744</v>
      </c>
      <c r="AB76" s="80">
        <f t="shared" si="44"/>
        <v>0</v>
      </c>
      <c r="AC76" s="80">
        <f t="shared" si="44"/>
        <v>23.092903607194192</v>
      </c>
      <c r="AD76" s="80">
        <f t="shared" si="44"/>
        <v>0</v>
      </c>
      <c r="AE76" s="95"/>
      <c r="AF76" s="80"/>
    </row>
    <row r="77" spans="4:32" x14ac:dyDescent="0.35">
      <c r="I77" s="31" t="s">
        <v>32</v>
      </c>
      <c r="J77" s="31"/>
      <c r="K77" s="76">
        <f t="shared" ref="K77:K83" si="45">K67</f>
        <v>0.92231589743589737</v>
      </c>
      <c r="L77" s="76">
        <v>0</v>
      </c>
      <c r="M77" s="76">
        <f t="shared" ref="M77:M83" si="46">M67</f>
        <v>1.0310976663785651</v>
      </c>
      <c r="N77" s="76">
        <v>1</v>
      </c>
      <c r="Q77" s="31" t="s">
        <v>32</v>
      </c>
      <c r="R77" s="31"/>
      <c r="S77" s="39">
        <f t="shared" si="43"/>
        <v>1.8102968477512466E-4</v>
      </c>
      <c r="T77" s="39">
        <f t="shared" si="43"/>
        <v>0</v>
      </c>
      <c r="U77" s="39">
        <f t="shared" si="43"/>
        <v>1.2142864675918794E-5</v>
      </c>
      <c r="V77" s="39">
        <f t="shared" si="43"/>
        <v>0</v>
      </c>
      <c r="W77" s="80"/>
      <c r="X77" s="80"/>
      <c r="Y77" s="87" t="s">
        <v>32</v>
      </c>
      <c r="Z77" s="87"/>
      <c r="AA77" s="80">
        <f t="shared" si="44"/>
        <v>5.0688311737034901</v>
      </c>
      <c r="AB77" s="80">
        <f t="shared" si="44"/>
        <v>0</v>
      </c>
      <c r="AC77" s="80">
        <f t="shared" ref="AC77:AC83" si="47">U77*PRG_CH4*1000</f>
        <v>0.34000021092572624</v>
      </c>
      <c r="AD77" s="80">
        <f t="shared" ref="AD77:AD83" si="48">V77*PRG_CH4*1000</f>
        <v>0</v>
      </c>
      <c r="AE77" s="95"/>
    </row>
    <row r="78" spans="4:32" x14ac:dyDescent="0.35">
      <c r="I78" s="31" t="s">
        <v>33</v>
      </c>
      <c r="J78" s="31"/>
      <c r="K78" s="76">
        <f t="shared" si="45"/>
        <v>0.92231589743589737</v>
      </c>
      <c r="L78" s="76">
        <v>0</v>
      </c>
      <c r="M78" s="76">
        <f t="shared" si="46"/>
        <v>1.0310976663785651</v>
      </c>
      <c r="N78" s="76">
        <v>1</v>
      </c>
      <c r="Q78" s="31" t="s">
        <v>33</v>
      </c>
      <c r="R78" s="31"/>
      <c r="S78" s="39">
        <f t="shared" si="43"/>
        <v>6.4873214150286006E-4</v>
      </c>
      <c r="T78" s="39">
        <f t="shared" si="43"/>
        <v>0</v>
      </c>
      <c r="U78" s="39">
        <f t="shared" si="43"/>
        <v>1.4119839577986289E-4</v>
      </c>
      <c r="V78" s="39">
        <f t="shared" si="43"/>
        <v>0</v>
      </c>
      <c r="W78" s="80"/>
      <c r="X78" s="80"/>
      <c r="Y78" s="87" t="s">
        <v>33</v>
      </c>
      <c r="Z78" s="87"/>
      <c r="AA78" s="80">
        <f t="shared" si="44"/>
        <v>18.164499962080082</v>
      </c>
      <c r="AB78" s="80">
        <f t="shared" si="44"/>
        <v>0</v>
      </c>
      <c r="AC78" s="80">
        <f t="shared" si="47"/>
        <v>3.9535550818361611</v>
      </c>
      <c r="AD78" s="80">
        <f t="shared" si="48"/>
        <v>0</v>
      </c>
      <c r="AE78" s="95"/>
    </row>
    <row r="79" spans="4:32" x14ac:dyDescent="0.35">
      <c r="I79" s="31" t="s">
        <v>34</v>
      </c>
      <c r="J79" s="31"/>
      <c r="K79" s="76">
        <f t="shared" si="45"/>
        <v>1.3235294117647058</v>
      </c>
      <c r="L79" s="76">
        <v>0</v>
      </c>
      <c r="M79" s="76">
        <f t="shared" si="46"/>
        <v>0</v>
      </c>
      <c r="N79" s="76">
        <v>1</v>
      </c>
      <c r="Q79" s="31" t="s">
        <v>34</v>
      </c>
      <c r="R79" s="31"/>
      <c r="S79" s="39">
        <f t="shared" si="43"/>
        <v>2.1013923223410237E-5</v>
      </c>
      <c r="T79" s="39">
        <f t="shared" si="43"/>
        <v>0</v>
      </c>
      <c r="U79" s="39">
        <f t="shared" si="43"/>
        <v>0</v>
      </c>
      <c r="V79" s="39">
        <f t="shared" si="43"/>
        <v>0</v>
      </c>
      <c r="W79" s="80"/>
      <c r="X79" s="80"/>
      <c r="Y79" s="87" t="s">
        <v>34</v>
      </c>
      <c r="Z79" s="87"/>
      <c r="AA79" s="80">
        <f t="shared" si="44"/>
        <v>0.58838985025548662</v>
      </c>
      <c r="AB79" s="80">
        <f t="shared" si="44"/>
        <v>0</v>
      </c>
      <c r="AC79" s="80">
        <f t="shared" si="47"/>
        <v>0</v>
      </c>
      <c r="AD79" s="80">
        <f t="shared" si="48"/>
        <v>0</v>
      </c>
      <c r="AE79" s="95"/>
    </row>
    <row r="80" spans="4:32" x14ac:dyDescent="0.35">
      <c r="I80" s="31" t="s">
        <v>35</v>
      </c>
      <c r="J80" s="31"/>
      <c r="K80" s="76">
        <f t="shared" si="45"/>
        <v>0.88312500000000005</v>
      </c>
      <c r="L80" s="76">
        <v>0</v>
      </c>
      <c r="M80" s="76">
        <f t="shared" si="46"/>
        <v>1.0109034267912773</v>
      </c>
      <c r="N80" s="76">
        <v>1</v>
      </c>
      <c r="Q80" s="31" t="s">
        <v>35</v>
      </c>
      <c r="R80" s="31"/>
      <c r="S80" s="39">
        <f t="shared" si="43"/>
        <v>2.4705346114981559E-3</v>
      </c>
      <c r="T80" s="39">
        <f t="shared" si="43"/>
        <v>0</v>
      </c>
      <c r="U80" s="39">
        <f t="shared" si="43"/>
        <v>9.6897147256829082E-4</v>
      </c>
      <c r="V80" s="39">
        <f t="shared" si="43"/>
        <v>0</v>
      </c>
      <c r="W80" s="80"/>
      <c r="X80" s="80"/>
      <c r="Y80" s="87" t="s">
        <v>35</v>
      </c>
      <c r="Z80" s="87"/>
      <c r="AA80" s="80">
        <f t="shared" si="44"/>
        <v>69.174969121948365</v>
      </c>
      <c r="AB80" s="80">
        <f t="shared" si="44"/>
        <v>0</v>
      </c>
      <c r="AC80" s="80">
        <f t="shared" si="47"/>
        <v>27.131201231912144</v>
      </c>
      <c r="AD80" s="80">
        <f t="shared" si="48"/>
        <v>0</v>
      </c>
      <c r="AE80" s="95"/>
    </row>
    <row r="81" spans="9:32" x14ac:dyDescent="0.35">
      <c r="I81" s="31" t="s">
        <v>36</v>
      </c>
      <c r="J81" s="31"/>
      <c r="K81" s="76">
        <f t="shared" si="45"/>
        <v>0</v>
      </c>
      <c r="L81" s="76">
        <v>0</v>
      </c>
      <c r="M81" s="76">
        <f t="shared" si="46"/>
        <v>0</v>
      </c>
      <c r="N81" s="76">
        <v>1</v>
      </c>
      <c r="Q81" s="31" t="s">
        <v>36</v>
      </c>
      <c r="R81" s="31"/>
      <c r="S81" s="39">
        <f t="shared" si="43"/>
        <v>0</v>
      </c>
      <c r="T81" s="39">
        <f t="shared" si="43"/>
        <v>0</v>
      </c>
      <c r="U81" s="39">
        <f t="shared" si="43"/>
        <v>0</v>
      </c>
      <c r="V81" s="39">
        <f t="shared" si="43"/>
        <v>0</v>
      </c>
      <c r="W81" s="80"/>
      <c r="X81" s="80"/>
      <c r="Y81" s="87" t="s">
        <v>36</v>
      </c>
      <c r="Z81" s="87"/>
      <c r="AA81" s="80">
        <f t="shared" si="44"/>
        <v>0</v>
      </c>
      <c r="AB81" s="80">
        <f t="shared" si="44"/>
        <v>0</v>
      </c>
      <c r="AC81" s="80">
        <f t="shared" si="47"/>
        <v>0</v>
      </c>
      <c r="AD81" s="80">
        <f t="shared" si="48"/>
        <v>0</v>
      </c>
      <c r="AE81" s="95"/>
    </row>
    <row r="82" spans="9:32" x14ac:dyDescent="0.35">
      <c r="I82" s="31" t="s">
        <v>37</v>
      </c>
      <c r="J82" s="31"/>
      <c r="K82" s="76">
        <f t="shared" si="45"/>
        <v>0</v>
      </c>
      <c r="L82" s="76">
        <v>0</v>
      </c>
      <c r="M82" s="76">
        <f t="shared" si="46"/>
        <v>0</v>
      </c>
      <c r="N82" s="76">
        <v>1</v>
      </c>
      <c r="Q82" s="31" t="s">
        <v>37</v>
      </c>
      <c r="R82" s="31"/>
      <c r="S82" s="39">
        <f t="shared" si="43"/>
        <v>0</v>
      </c>
      <c r="T82" s="39">
        <f t="shared" si="43"/>
        <v>0</v>
      </c>
      <c r="U82" s="39">
        <f t="shared" si="43"/>
        <v>0</v>
      </c>
      <c r="V82" s="39">
        <f t="shared" si="43"/>
        <v>0</v>
      </c>
      <c r="W82" s="80"/>
      <c r="X82" s="80"/>
      <c r="Y82" s="87" t="s">
        <v>37</v>
      </c>
      <c r="Z82" s="87"/>
      <c r="AA82" s="80">
        <f t="shared" si="44"/>
        <v>0</v>
      </c>
      <c r="AB82" s="80">
        <f t="shared" si="44"/>
        <v>0</v>
      </c>
      <c r="AC82" s="80">
        <f t="shared" si="47"/>
        <v>0</v>
      </c>
      <c r="AD82" s="80">
        <f t="shared" si="48"/>
        <v>0</v>
      </c>
      <c r="AE82" s="95"/>
    </row>
    <row r="83" spans="9:32" x14ac:dyDescent="0.35">
      <c r="I83" s="31" t="s">
        <v>38</v>
      </c>
      <c r="J83" s="31"/>
      <c r="K83" s="76">
        <f t="shared" si="45"/>
        <v>1.1161290322580646</v>
      </c>
      <c r="L83" s="76">
        <v>0</v>
      </c>
      <c r="M83" s="76">
        <f t="shared" si="46"/>
        <v>0</v>
      </c>
      <c r="N83" s="76">
        <v>1</v>
      </c>
      <c r="Q83" s="31" t="s">
        <v>38</v>
      </c>
      <c r="R83" s="31"/>
      <c r="S83" s="39">
        <f t="shared" si="43"/>
        <v>7.5538717343417584E-5</v>
      </c>
      <c r="T83" s="39">
        <f t="shared" si="43"/>
        <v>0</v>
      </c>
      <c r="U83" s="39">
        <f t="shared" si="43"/>
        <v>0</v>
      </c>
      <c r="V83" s="39">
        <f t="shared" si="43"/>
        <v>0</v>
      </c>
      <c r="W83" s="80"/>
      <c r="X83" s="80"/>
      <c r="Y83" s="87" t="s">
        <v>38</v>
      </c>
      <c r="Z83" s="87"/>
      <c r="AA83" s="80">
        <f t="shared" si="44"/>
        <v>2.1150840856156923</v>
      </c>
      <c r="AB83" s="80">
        <f t="shared" si="44"/>
        <v>0</v>
      </c>
      <c r="AC83" s="80">
        <f t="shared" si="47"/>
        <v>0</v>
      </c>
      <c r="AD83" s="80">
        <f t="shared" si="48"/>
        <v>0</v>
      </c>
      <c r="AE83" s="95">
        <f>SUM(AA76:AD83)</f>
        <v>231.42949374284808</v>
      </c>
    </row>
    <row r="84" spans="9:32" x14ac:dyDescent="0.35">
      <c r="K84" s="76"/>
      <c r="L84" s="76"/>
      <c r="M84" s="76"/>
      <c r="N84" s="76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95"/>
    </row>
    <row r="85" spans="9:32" x14ac:dyDescent="0.35">
      <c r="I85" s="30" t="s">
        <v>40</v>
      </c>
      <c r="J85" s="30"/>
      <c r="K85" s="77"/>
      <c r="L85" s="77"/>
      <c r="M85" s="77"/>
      <c r="N85" s="77"/>
      <c r="Q85" s="30" t="s">
        <v>40</v>
      </c>
      <c r="R85" s="30"/>
      <c r="S85" s="89" t="s">
        <v>47</v>
      </c>
      <c r="T85" s="89" t="s">
        <v>13</v>
      </c>
      <c r="U85" s="89" t="s">
        <v>48</v>
      </c>
      <c r="V85" s="37" t="s">
        <v>455</v>
      </c>
      <c r="W85" s="80"/>
      <c r="X85" s="80"/>
      <c r="Y85" s="88" t="s">
        <v>78</v>
      </c>
      <c r="Z85" s="88"/>
      <c r="AA85" s="89" t="s">
        <v>47</v>
      </c>
      <c r="AB85" s="89" t="s">
        <v>13</v>
      </c>
      <c r="AC85" s="89" t="s">
        <v>48</v>
      </c>
      <c r="AD85" s="37" t="s">
        <v>455</v>
      </c>
      <c r="AE85" s="95"/>
    </row>
    <row r="86" spans="9:32" x14ac:dyDescent="0.35">
      <c r="I86" s="31" t="s">
        <v>31</v>
      </c>
      <c r="J86" s="31"/>
      <c r="K86" s="76">
        <f>K76</f>
        <v>0.92231589743589737</v>
      </c>
      <c r="L86" s="76">
        <f t="shared" ref="L86:M86" si="49">L76</f>
        <v>0</v>
      </c>
      <c r="M86" s="76">
        <f t="shared" si="49"/>
        <v>1.0310976663785651</v>
      </c>
      <c r="N86" s="76">
        <v>1</v>
      </c>
      <c r="Q86" s="31" t="s">
        <v>31</v>
      </c>
      <c r="R86" s="31"/>
      <c r="S86" s="39">
        <f t="shared" ref="S86:V93" si="50">$F29*L29*K86</f>
        <v>4.6840094327836515E-5</v>
      </c>
      <c r="T86" s="39">
        <f t="shared" si="50"/>
        <v>0</v>
      </c>
      <c r="U86" s="39">
        <f t="shared" si="50"/>
        <v>1.3223386278309141E-5</v>
      </c>
      <c r="V86" s="39">
        <f t="shared" si="50"/>
        <v>0</v>
      </c>
      <c r="W86" s="80"/>
      <c r="X86" s="80"/>
      <c r="Y86" s="87" t="s">
        <v>31</v>
      </c>
      <c r="Z86" s="87"/>
      <c r="AA86" s="80">
        <f t="shared" ref="AA86:AD93" si="51">S86*PRG_N2O*1000</f>
        <v>12.412624996876676</v>
      </c>
      <c r="AB86" s="80">
        <f t="shared" si="51"/>
        <v>0</v>
      </c>
      <c r="AC86" s="80">
        <f t="shared" si="51"/>
        <v>3.5041973637519224</v>
      </c>
      <c r="AD86" s="80">
        <f t="shared" si="51"/>
        <v>0</v>
      </c>
      <c r="AE86" s="95"/>
      <c r="AF86" s="80"/>
    </row>
    <row r="87" spans="9:32" x14ac:dyDescent="0.35">
      <c r="I87" s="31" t="s">
        <v>32</v>
      </c>
      <c r="J87" s="31"/>
      <c r="K87" s="76">
        <f t="shared" ref="K87:M87" si="52">K77</f>
        <v>0.92231589743589737</v>
      </c>
      <c r="L87" s="76">
        <f t="shared" si="52"/>
        <v>0</v>
      </c>
      <c r="M87" s="76">
        <f t="shared" si="52"/>
        <v>1.0310976663785651</v>
      </c>
      <c r="N87" s="76">
        <v>1</v>
      </c>
      <c r="Q87" s="31" t="s">
        <v>32</v>
      </c>
      <c r="R87" s="31"/>
      <c r="S87" s="39">
        <f t="shared" si="50"/>
        <v>3.7663428573133333E-6</v>
      </c>
      <c r="T87" s="39">
        <f t="shared" si="50"/>
        <v>0</v>
      </c>
      <c r="U87" s="39">
        <f t="shared" si="50"/>
        <v>2.5263365892881164E-7</v>
      </c>
      <c r="V87" s="39">
        <f t="shared" si="50"/>
        <v>0</v>
      </c>
      <c r="W87" s="80"/>
      <c r="X87" s="80"/>
      <c r="Y87" s="87" t="s">
        <v>32</v>
      </c>
      <c r="Z87" s="87"/>
      <c r="AA87" s="80">
        <f t="shared" si="51"/>
        <v>0.99808085718803341</v>
      </c>
      <c r="AB87" s="80">
        <f t="shared" si="51"/>
        <v>0</v>
      </c>
      <c r="AC87" s="80">
        <f t="shared" ref="AC87:AC93" si="53">U87*PRG_N2O*1000</f>
        <v>6.6947919616135082E-2</v>
      </c>
      <c r="AD87" s="80">
        <f t="shared" ref="AD87:AD93" si="54">V87*PRG_N2O*1000</f>
        <v>0</v>
      </c>
      <c r="AE87" s="95"/>
    </row>
    <row r="88" spans="9:32" x14ac:dyDescent="0.35">
      <c r="I88" s="31" t="s">
        <v>33</v>
      </c>
      <c r="J88" s="31"/>
      <c r="K88" s="76">
        <f t="shared" ref="K88:M88" si="55">K78</f>
        <v>0.92231589743589737</v>
      </c>
      <c r="L88" s="76">
        <f t="shared" si="55"/>
        <v>0</v>
      </c>
      <c r="M88" s="76">
        <f t="shared" si="55"/>
        <v>1.0310976663785651</v>
      </c>
      <c r="N88" s="76">
        <v>1</v>
      </c>
      <c r="Q88" s="31" t="s">
        <v>33</v>
      </c>
      <c r="R88" s="31"/>
      <c r="S88" s="39">
        <f t="shared" si="50"/>
        <v>2.0039336384327147E-5</v>
      </c>
      <c r="T88" s="39">
        <f t="shared" si="50"/>
        <v>0</v>
      </c>
      <c r="U88" s="39">
        <f t="shared" si="50"/>
        <v>4.361618561715054E-6</v>
      </c>
      <c r="V88" s="39">
        <f t="shared" si="50"/>
        <v>0</v>
      </c>
      <c r="W88" s="80"/>
      <c r="X88" s="80"/>
      <c r="Y88" s="87" t="s">
        <v>33</v>
      </c>
      <c r="Z88" s="87"/>
      <c r="AA88" s="80">
        <f t="shared" si="51"/>
        <v>5.3104241418466946</v>
      </c>
      <c r="AB88" s="80">
        <f t="shared" si="51"/>
        <v>0</v>
      </c>
      <c r="AC88" s="80">
        <f t="shared" si="53"/>
        <v>1.1558289188544892</v>
      </c>
      <c r="AD88" s="80">
        <f t="shared" si="54"/>
        <v>0</v>
      </c>
      <c r="AE88" s="95"/>
    </row>
    <row r="89" spans="9:32" x14ac:dyDescent="0.35">
      <c r="I89" s="31" t="s">
        <v>34</v>
      </c>
      <c r="J89" s="31"/>
      <c r="K89" s="76">
        <f t="shared" ref="K89:M89" si="56">K79</f>
        <v>1.3235294117647058</v>
      </c>
      <c r="L89" s="76">
        <f t="shared" si="56"/>
        <v>0</v>
      </c>
      <c r="M89" s="76">
        <f t="shared" si="56"/>
        <v>0</v>
      </c>
      <c r="N89" s="76">
        <v>1</v>
      </c>
      <c r="Q89" s="31" t="s">
        <v>34</v>
      </c>
      <c r="R89" s="31"/>
      <c r="S89" s="39">
        <f t="shared" si="50"/>
        <v>1.4250635026243781E-6</v>
      </c>
      <c r="T89" s="39">
        <f t="shared" si="50"/>
        <v>0</v>
      </c>
      <c r="U89" s="39">
        <f t="shared" si="50"/>
        <v>0</v>
      </c>
      <c r="V89" s="39">
        <f t="shared" si="50"/>
        <v>0</v>
      </c>
      <c r="W89" s="80"/>
      <c r="X89" s="80"/>
      <c r="Y89" s="87" t="s">
        <v>34</v>
      </c>
      <c r="Z89" s="87"/>
      <c r="AA89" s="80">
        <f t="shared" si="51"/>
        <v>0.37764182819546022</v>
      </c>
      <c r="AB89" s="80">
        <f t="shared" si="51"/>
        <v>0</v>
      </c>
      <c r="AC89" s="80">
        <f t="shared" si="53"/>
        <v>0</v>
      </c>
      <c r="AD89" s="80">
        <f t="shared" si="54"/>
        <v>0</v>
      </c>
      <c r="AE89" s="95"/>
    </row>
    <row r="90" spans="9:32" x14ac:dyDescent="0.35">
      <c r="I90" s="31" t="s">
        <v>35</v>
      </c>
      <c r="J90" s="31"/>
      <c r="K90" s="76">
        <f t="shared" ref="K90:M90" si="57">K80</f>
        <v>0.88312500000000005</v>
      </c>
      <c r="L90" s="76">
        <f t="shared" si="57"/>
        <v>0</v>
      </c>
      <c r="M90" s="76">
        <f t="shared" si="57"/>
        <v>1.0109034267912773</v>
      </c>
      <c r="N90" s="76">
        <v>1</v>
      </c>
      <c r="Q90" s="31" t="s">
        <v>35</v>
      </c>
      <c r="R90" s="31"/>
      <c r="S90" s="39">
        <f t="shared" si="50"/>
        <v>1.4179153216868969E-5</v>
      </c>
      <c r="T90" s="39">
        <f t="shared" si="50"/>
        <v>0</v>
      </c>
      <c r="U90" s="39">
        <f t="shared" si="50"/>
        <v>5.5612234325223081E-6</v>
      </c>
      <c r="V90" s="39">
        <f t="shared" si="50"/>
        <v>0</v>
      </c>
      <c r="W90" s="80"/>
      <c r="X90" s="80"/>
      <c r="Y90" s="87" t="s">
        <v>35</v>
      </c>
      <c r="Z90" s="87"/>
      <c r="AA90" s="80">
        <f t="shared" si="51"/>
        <v>3.7574756024702771</v>
      </c>
      <c r="AB90" s="80">
        <f t="shared" si="51"/>
        <v>0</v>
      </c>
      <c r="AC90" s="80">
        <f t="shared" si="53"/>
        <v>1.4737242096184116</v>
      </c>
      <c r="AD90" s="80">
        <f t="shared" si="54"/>
        <v>0</v>
      </c>
      <c r="AE90" s="95"/>
    </row>
    <row r="91" spans="9:32" x14ac:dyDescent="0.35">
      <c r="I91" s="31" t="s">
        <v>36</v>
      </c>
      <c r="J91" s="31"/>
      <c r="K91" s="76">
        <f t="shared" ref="K91:M91" si="58">K81</f>
        <v>0</v>
      </c>
      <c r="L91" s="76">
        <f t="shared" si="58"/>
        <v>0</v>
      </c>
      <c r="M91" s="76">
        <f t="shared" si="58"/>
        <v>0</v>
      </c>
      <c r="N91" s="76">
        <v>1</v>
      </c>
      <c r="Q91" s="31" t="s">
        <v>36</v>
      </c>
      <c r="R91" s="31"/>
      <c r="S91" s="39">
        <f t="shared" si="50"/>
        <v>0</v>
      </c>
      <c r="T91" s="39">
        <f t="shared" si="50"/>
        <v>0</v>
      </c>
      <c r="U91" s="39">
        <f t="shared" si="50"/>
        <v>0</v>
      </c>
      <c r="V91" s="39">
        <f t="shared" si="50"/>
        <v>0</v>
      </c>
      <c r="W91" s="80"/>
      <c r="X91" s="80"/>
      <c r="Y91" s="87" t="s">
        <v>36</v>
      </c>
      <c r="Z91" s="87"/>
      <c r="AA91" s="80">
        <f t="shared" si="51"/>
        <v>0</v>
      </c>
      <c r="AB91" s="80">
        <f t="shared" si="51"/>
        <v>0</v>
      </c>
      <c r="AC91" s="80">
        <f t="shared" si="53"/>
        <v>0</v>
      </c>
      <c r="AD91" s="80">
        <f t="shared" si="54"/>
        <v>0</v>
      </c>
      <c r="AE91" s="95"/>
    </row>
    <row r="92" spans="9:32" x14ac:dyDescent="0.35">
      <c r="I92" s="31" t="s">
        <v>37</v>
      </c>
      <c r="J92" s="31"/>
      <c r="K92" s="76">
        <f t="shared" ref="K92:M92" si="59">K82</f>
        <v>0</v>
      </c>
      <c r="L92" s="76">
        <f t="shared" si="59"/>
        <v>0</v>
      </c>
      <c r="M92" s="76">
        <f t="shared" si="59"/>
        <v>0</v>
      </c>
      <c r="N92" s="76">
        <v>1</v>
      </c>
      <c r="Q92" s="31" t="s">
        <v>37</v>
      </c>
      <c r="R92" s="31"/>
      <c r="S92" s="39">
        <f t="shared" si="50"/>
        <v>0</v>
      </c>
      <c r="T92" s="39">
        <f t="shared" si="50"/>
        <v>0</v>
      </c>
      <c r="U92" s="39">
        <f t="shared" si="50"/>
        <v>0</v>
      </c>
      <c r="V92" s="39">
        <f t="shared" si="50"/>
        <v>0</v>
      </c>
      <c r="W92" s="80"/>
      <c r="X92" s="80"/>
      <c r="Y92" s="87" t="s">
        <v>37</v>
      </c>
      <c r="Z92" s="87"/>
      <c r="AA92" s="80">
        <f t="shared" si="51"/>
        <v>0</v>
      </c>
      <c r="AB92" s="80">
        <f t="shared" si="51"/>
        <v>0</v>
      </c>
      <c r="AC92" s="80">
        <f t="shared" si="53"/>
        <v>0</v>
      </c>
      <c r="AD92" s="80">
        <f t="shared" si="54"/>
        <v>0</v>
      </c>
      <c r="AE92" s="95"/>
    </row>
    <row r="93" spans="9:32" x14ac:dyDescent="0.35">
      <c r="I93" s="31" t="s">
        <v>38</v>
      </c>
      <c r="J93" s="31"/>
      <c r="K93" s="76">
        <f t="shared" ref="K93:M93" si="60">K83</f>
        <v>1.1161290322580646</v>
      </c>
      <c r="L93" s="76">
        <f t="shared" si="60"/>
        <v>0</v>
      </c>
      <c r="M93" s="76">
        <f t="shared" si="60"/>
        <v>0</v>
      </c>
      <c r="N93" s="76">
        <v>1</v>
      </c>
      <c r="Q93" s="31" t="s">
        <v>38</v>
      </c>
      <c r="R93" s="31"/>
      <c r="S93" s="39">
        <f t="shared" si="50"/>
        <v>3.6059599865093372E-6</v>
      </c>
      <c r="T93" s="39">
        <f t="shared" si="50"/>
        <v>0</v>
      </c>
      <c r="U93" s="39">
        <f t="shared" si="50"/>
        <v>0</v>
      </c>
      <c r="V93" s="39">
        <f t="shared" si="50"/>
        <v>0</v>
      </c>
      <c r="W93" s="80"/>
      <c r="X93" s="80"/>
      <c r="Y93" s="87" t="s">
        <v>38</v>
      </c>
      <c r="Z93" s="87"/>
      <c r="AA93" s="80">
        <f t="shared" si="51"/>
        <v>0.95557939642497436</v>
      </c>
      <c r="AB93" s="80">
        <f t="shared" si="51"/>
        <v>0</v>
      </c>
      <c r="AC93" s="80">
        <f t="shared" si="53"/>
        <v>0</v>
      </c>
      <c r="AD93" s="80">
        <f t="shared" si="54"/>
        <v>0</v>
      </c>
      <c r="AE93" s="95">
        <f>SUM(AA86:AD93)</f>
        <v>30.012525234843071</v>
      </c>
    </row>
    <row r="94" spans="9:32" x14ac:dyDescent="0.35">
      <c r="K94" s="76"/>
      <c r="L94" s="76"/>
      <c r="M94" s="76"/>
      <c r="N94" s="76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95"/>
    </row>
    <row r="95" spans="9:32" x14ac:dyDescent="0.35">
      <c r="I95" s="30" t="s">
        <v>362</v>
      </c>
      <c r="J95" s="30"/>
      <c r="K95" s="77"/>
      <c r="L95" s="77"/>
      <c r="M95" s="77"/>
      <c r="N95" s="77"/>
      <c r="Q95" s="30" t="s">
        <v>362</v>
      </c>
      <c r="R95" s="30"/>
      <c r="S95" s="89" t="s">
        <v>47</v>
      </c>
      <c r="T95" s="89" t="s">
        <v>13</v>
      </c>
      <c r="U95" s="89" t="s">
        <v>48</v>
      </c>
      <c r="V95" s="37" t="s">
        <v>455</v>
      </c>
      <c r="W95" s="80"/>
      <c r="X95" s="80"/>
      <c r="Y95" s="88" t="s">
        <v>20</v>
      </c>
      <c r="Z95" s="88"/>
      <c r="AA95" s="89" t="s">
        <v>47</v>
      </c>
      <c r="AB95" s="89" t="s">
        <v>13</v>
      </c>
      <c r="AC95" s="89" t="s">
        <v>48</v>
      </c>
      <c r="AD95" s="89" t="s">
        <v>455</v>
      </c>
      <c r="AE95" s="95"/>
    </row>
    <row r="96" spans="9:32" x14ac:dyDescent="0.35">
      <c r="I96" s="33" t="s">
        <v>363</v>
      </c>
      <c r="J96" s="33"/>
      <c r="K96" s="76">
        <f>K66</f>
        <v>0.92231589743589737</v>
      </c>
      <c r="L96" s="76">
        <f t="shared" ref="L96:M96" si="61">L66</f>
        <v>0</v>
      </c>
      <c r="M96" s="76">
        <f t="shared" si="61"/>
        <v>1.0310976663785651</v>
      </c>
      <c r="N96" s="76">
        <v>1</v>
      </c>
      <c r="Q96" s="33" t="s">
        <v>363</v>
      </c>
      <c r="R96" s="33"/>
      <c r="S96" s="80">
        <f>$F39*L39*K96</f>
        <v>1.0472832513723288E-4</v>
      </c>
      <c r="T96" s="80">
        <f>$F39*M39*L96</f>
        <v>0</v>
      </c>
      <c r="U96" s="80">
        <f>$F39*N39*M96</f>
        <v>2.9565762354730693E-5</v>
      </c>
      <c r="V96" s="80">
        <f>$F39*O39*N96</f>
        <v>0</v>
      </c>
      <c r="W96" s="80"/>
      <c r="X96" s="80"/>
      <c r="Y96" s="90" t="s">
        <v>363</v>
      </c>
      <c r="Z96" s="90"/>
      <c r="AA96" s="80">
        <f t="shared" ref="AA96:AD97" si="62">S96*PRG_N2O*1000</f>
        <v>27.753006161366716</v>
      </c>
      <c r="AB96" s="80">
        <f t="shared" si="62"/>
        <v>0</v>
      </c>
      <c r="AC96" s="80">
        <f>U96*PRG_N2O*1000</f>
        <v>7.8349270240036342</v>
      </c>
      <c r="AD96" s="80">
        <f t="shared" si="62"/>
        <v>0</v>
      </c>
      <c r="AE96" s="95"/>
      <c r="AF96" s="80"/>
    </row>
    <row r="97" spans="2:33" x14ac:dyDescent="0.35">
      <c r="I97" s="33" t="s">
        <v>364</v>
      </c>
      <c r="J97" s="33"/>
      <c r="K97" s="83">
        <v>1</v>
      </c>
      <c r="L97" s="83">
        <v>1</v>
      </c>
      <c r="M97" s="83">
        <v>1</v>
      </c>
      <c r="N97" s="83">
        <v>1</v>
      </c>
      <c r="Q97" s="33" t="s">
        <v>364</v>
      </c>
      <c r="R97" s="33"/>
      <c r="S97" s="80">
        <f>$F40*L$40/100</f>
        <v>1.3759022567723616E-3</v>
      </c>
      <c r="T97" s="80">
        <f>$F40*M$40/100</f>
        <v>5.5889560482247304E-5</v>
      </c>
      <c r="U97" s="80">
        <f>$F40*N40*M97/100</f>
        <v>3.0715373837679504E-4</v>
      </c>
      <c r="V97" s="80">
        <f>$F40*O40*N97/100</f>
        <v>4.246120454491723E-5</v>
      </c>
      <c r="W97" s="80"/>
      <c r="X97" s="80"/>
      <c r="Y97" s="90" t="s">
        <v>364</v>
      </c>
      <c r="Z97" s="90"/>
      <c r="AA97" s="80">
        <f>S97*PRG_N2O*1000</f>
        <v>364.61409804467581</v>
      </c>
      <c r="AB97" s="80">
        <f t="shared" si="62"/>
        <v>14.810733527795536</v>
      </c>
      <c r="AC97" s="80">
        <f>U97*PRG_N2O*1000</f>
        <v>81.395740669850682</v>
      </c>
      <c r="AD97" s="80">
        <f t="shared" si="62"/>
        <v>11.252219204403067</v>
      </c>
      <c r="AE97" s="95">
        <f>SUM(AA96:AD97)</f>
        <v>507.66072463209542</v>
      </c>
      <c r="AF97" s="80"/>
    </row>
    <row r="98" spans="2:33" x14ac:dyDescent="0.35">
      <c r="K98" s="76"/>
      <c r="L98" s="76"/>
      <c r="M98" s="76"/>
      <c r="N98" s="76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95"/>
      <c r="AF98" s="80"/>
    </row>
    <row r="99" spans="2:33" x14ac:dyDescent="0.35">
      <c r="I99" s="30" t="s">
        <v>89</v>
      </c>
      <c r="J99" s="30"/>
      <c r="K99" s="77"/>
      <c r="L99" s="77"/>
      <c r="M99" s="77"/>
      <c r="N99" s="77"/>
      <c r="Q99" s="30" t="s">
        <v>89</v>
      </c>
      <c r="R99" s="30"/>
      <c r="S99" s="89" t="s">
        <v>47</v>
      </c>
      <c r="T99" s="89" t="s">
        <v>13</v>
      </c>
      <c r="U99" s="89" t="s">
        <v>48</v>
      </c>
      <c r="V99" s="37" t="s">
        <v>455</v>
      </c>
      <c r="W99" s="80"/>
      <c r="X99" s="80"/>
      <c r="Y99" s="88" t="s">
        <v>20</v>
      </c>
      <c r="Z99" s="88"/>
      <c r="AA99" s="89" t="s">
        <v>47</v>
      </c>
      <c r="AB99" s="89" t="s">
        <v>13</v>
      </c>
      <c r="AC99" s="89" t="s">
        <v>48</v>
      </c>
      <c r="AD99" s="89" t="s">
        <v>455</v>
      </c>
      <c r="AE99" s="95"/>
      <c r="AF99" s="80"/>
    </row>
    <row r="100" spans="2:33" x14ac:dyDescent="0.35">
      <c r="I100" s="33" t="s">
        <v>42</v>
      </c>
      <c r="J100" s="33"/>
      <c r="K100" s="83">
        <v>1</v>
      </c>
      <c r="L100" s="83">
        <v>1</v>
      </c>
      <c r="M100" s="83">
        <v>1</v>
      </c>
      <c r="N100" s="83">
        <v>1</v>
      </c>
      <c r="Q100" s="33" t="s">
        <v>42</v>
      </c>
      <c r="R100" s="33"/>
      <c r="S100" s="80">
        <f t="shared" ref="S100:V101" si="63">$F43*L$43/100</f>
        <v>8.1216843131339637E-3</v>
      </c>
      <c r="T100" s="80">
        <f t="shared" si="63"/>
        <v>3.2990524174401355E-4</v>
      </c>
      <c r="U100" s="80">
        <f t="shared" si="63"/>
        <v>1.8130689781316301E-3</v>
      </c>
      <c r="V100" s="80">
        <f t="shared" si="63"/>
        <v>2.5064025963457821E-4</v>
      </c>
      <c r="W100" s="80"/>
      <c r="X100" s="80"/>
      <c r="Y100" s="90" t="s">
        <v>42</v>
      </c>
      <c r="Z100" s="90"/>
      <c r="AA100" s="80">
        <f t="shared" ref="AA100:AD101" si="64">S100*1000</f>
        <v>8.1216843131339633</v>
      </c>
      <c r="AB100" s="80">
        <f t="shared" si="64"/>
        <v>0.32990524174401353</v>
      </c>
      <c r="AC100" s="80">
        <f t="shared" si="64"/>
        <v>1.81306897813163</v>
      </c>
      <c r="AD100" s="80">
        <f t="shared" si="64"/>
        <v>0.2506402596345782</v>
      </c>
      <c r="AE100" s="95"/>
      <c r="AF100" s="80"/>
    </row>
    <row r="101" spans="2:33" x14ac:dyDescent="0.35">
      <c r="I101" s="33" t="s">
        <v>43</v>
      </c>
      <c r="J101" s="33"/>
      <c r="K101" s="83">
        <v>1</v>
      </c>
      <c r="L101" s="83">
        <v>1</v>
      </c>
      <c r="M101" s="83">
        <v>1</v>
      </c>
      <c r="N101" s="83">
        <v>1</v>
      </c>
      <c r="Q101" s="33" t="s">
        <v>43</v>
      </c>
      <c r="R101" s="33"/>
      <c r="S101" s="80">
        <f t="shared" si="63"/>
        <v>3.1518236980157982E-3</v>
      </c>
      <c r="T101" s="80">
        <f t="shared" si="63"/>
        <v>1.2802801967405915E-4</v>
      </c>
      <c r="U101" s="80">
        <f t="shared" si="63"/>
        <v>7.0360697991811991E-4</v>
      </c>
      <c r="V101" s="80">
        <f t="shared" si="63"/>
        <v>9.7267251414289956E-5</v>
      </c>
      <c r="W101" s="80"/>
      <c r="X101" s="80"/>
      <c r="Y101" s="90" t="s">
        <v>43</v>
      </c>
      <c r="Z101" s="90"/>
      <c r="AA101" s="80">
        <f t="shared" si="64"/>
        <v>3.1518236980157983</v>
      </c>
      <c r="AB101" s="80">
        <f t="shared" si="64"/>
        <v>0.12802801967405916</v>
      </c>
      <c r="AC101" s="80">
        <f t="shared" si="64"/>
        <v>0.70360697991811993</v>
      </c>
      <c r="AD101" s="80">
        <f t="shared" si="64"/>
        <v>9.7267251414289962E-2</v>
      </c>
      <c r="AE101" s="95">
        <f>SUM(AA100:AD101)</f>
        <v>14.596024741666453</v>
      </c>
      <c r="AF101" s="80"/>
    </row>
    <row r="102" spans="2:33" x14ac:dyDescent="0.35">
      <c r="AE102" s="95"/>
      <c r="AF102" s="80"/>
    </row>
    <row r="103" spans="2:33" x14ac:dyDescent="0.35">
      <c r="I103" s="30" t="s">
        <v>91</v>
      </c>
      <c r="J103" s="30"/>
      <c r="K103" s="77"/>
      <c r="L103" s="77"/>
      <c r="M103" s="77"/>
      <c r="N103" s="77"/>
      <c r="Q103" s="30" t="s">
        <v>91</v>
      </c>
      <c r="R103" s="30"/>
      <c r="S103" s="77"/>
      <c r="T103" s="77"/>
      <c r="U103" s="77"/>
      <c r="V103" s="37" t="s">
        <v>455</v>
      </c>
      <c r="W103" s="80"/>
      <c r="X103" s="80"/>
      <c r="Y103" s="30" t="s">
        <v>91</v>
      </c>
      <c r="Z103" s="30"/>
      <c r="AA103" s="77"/>
      <c r="AB103" s="77"/>
      <c r="AC103" s="77"/>
      <c r="AD103" s="77"/>
      <c r="AE103" s="95"/>
      <c r="AF103" s="80"/>
    </row>
    <row r="104" spans="2:33" x14ac:dyDescent="0.35">
      <c r="I104" s="33" t="s">
        <v>44</v>
      </c>
      <c r="J104" s="33"/>
      <c r="K104" s="83">
        <v>1</v>
      </c>
      <c r="L104" s="83">
        <v>1</v>
      </c>
      <c r="M104" s="83">
        <v>1</v>
      </c>
      <c r="N104" s="83">
        <v>1</v>
      </c>
      <c r="Q104" s="33" t="s">
        <v>44</v>
      </c>
      <c r="R104" s="33"/>
      <c r="S104" s="80">
        <f>$F47*L$43/100</f>
        <v>8.7082268413506844E-2</v>
      </c>
      <c r="T104" s="80">
        <f>$F47*M$43/100</f>
        <v>3.5373077436802341E-3</v>
      </c>
      <c r="U104" s="80">
        <f>$F47*N$43/100</f>
        <v>1.9440075890481971E-2</v>
      </c>
      <c r="V104" s="80">
        <f>$F47*O$43/100</f>
        <v>2.6874132905452871E-3</v>
      </c>
      <c r="W104" s="80"/>
      <c r="X104" s="80"/>
      <c r="Y104" s="90" t="s">
        <v>44</v>
      </c>
      <c r="Z104" s="90"/>
      <c r="AA104" s="80">
        <f>S104*1000</f>
        <v>87.082268413506839</v>
      </c>
      <c r="AB104" s="80">
        <f>T104*1000</f>
        <v>3.537307743680234</v>
      </c>
      <c r="AC104" s="80">
        <f>U104*1000</f>
        <v>19.440075890481971</v>
      </c>
      <c r="AD104" s="80">
        <f>V104*1000</f>
        <v>2.6874132905452872</v>
      </c>
      <c r="AE104" s="95">
        <f>SUM(AA104:AD104)</f>
        <v>112.74706533821433</v>
      </c>
      <c r="AF104" s="80"/>
    </row>
    <row r="105" spans="2:33" x14ac:dyDescent="0.35">
      <c r="I105" s="33" t="s">
        <v>45</v>
      </c>
      <c r="J105" s="35"/>
      <c r="K105" s="83">
        <v>1</v>
      </c>
      <c r="L105" s="83">
        <v>1</v>
      </c>
      <c r="M105" s="83">
        <v>1</v>
      </c>
      <c r="N105" s="83">
        <v>1</v>
      </c>
      <c r="Q105" s="33" t="s">
        <v>45</v>
      </c>
      <c r="R105" s="35"/>
      <c r="Y105" s="90" t="s">
        <v>45</v>
      </c>
      <c r="Z105" s="80"/>
      <c r="AA105" s="80"/>
      <c r="AB105" s="80"/>
      <c r="AC105" s="80"/>
      <c r="AD105" s="80"/>
      <c r="AE105" s="94"/>
    </row>
    <row r="106" spans="2:33" x14ac:dyDescent="0.35">
      <c r="AE106" s="94"/>
      <c r="AG106" s="38"/>
    </row>
    <row r="107" spans="2:33" x14ac:dyDescent="0.35">
      <c r="Y107" s="30" t="s">
        <v>65</v>
      </c>
      <c r="Z107" s="37"/>
      <c r="AA107" s="79">
        <f>SUM(AA66:AA104)</f>
        <v>1531.964102263956</v>
      </c>
      <c r="AB107" s="79">
        <f>SUM(AB66:AB104)</f>
        <v>18.805974532893842</v>
      </c>
      <c r="AC107" s="79">
        <f>SUM(AC66:AC104)</f>
        <v>384.64221537734193</v>
      </c>
      <c r="AD107" s="79">
        <f>SUM(AD66:AD105)</f>
        <v>14.287540005997222</v>
      </c>
      <c r="AE107" s="95">
        <f>SUM(AA107:AD108)</f>
        <v>1949.6998321801889</v>
      </c>
    </row>
    <row r="110" spans="2:33" s="481" customFormat="1" ht="21" x14ac:dyDescent="0.5">
      <c r="B110" s="483" t="s">
        <v>578</v>
      </c>
      <c r="AA110" s="482">
        <f>AA107/AE107</f>
        <v>0.78574356779365706</v>
      </c>
    </row>
    <row r="112" spans="2:33" x14ac:dyDescent="0.35">
      <c r="B112" s="484"/>
      <c r="C112" s="485">
        <v>2019</v>
      </c>
      <c r="D112" s="485">
        <v>2023</v>
      </c>
    </row>
    <row r="113" spans="2:4" x14ac:dyDescent="0.35">
      <c r="B113" t="s">
        <v>581</v>
      </c>
      <c r="C113" s="38">
        <f>D113</f>
        <v>33563</v>
      </c>
      <c r="D113" s="38">
        <f>L40+M40+N40+O40</f>
        <v>33563</v>
      </c>
    </row>
    <row r="114" spans="2:4" x14ac:dyDescent="0.35">
      <c r="B114" t="s">
        <v>582</v>
      </c>
      <c r="C114" s="38">
        <f>C113/100</f>
        <v>335.63</v>
      </c>
      <c r="D114" s="38">
        <f>D113/100</f>
        <v>335.63</v>
      </c>
    </row>
    <row r="116" spans="2:4" x14ac:dyDescent="0.35">
      <c r="B116" t="s">
        <v>580</v>
      </c>
      <c r="C116">
        <v>108537</v>
      </c>
      <c r="D116">
        <v>108099</v>
      </c>
    </row>
    <row r="117" spans="2:4" x14ac:dyDescent="0.35">
      <c r="B117" t="s">
        <v>583</v>
      </c>
      <c r="C117" s="257">
        <v>39998.624580623691</v>
      </c>
      <c r="D117" s="257">
        <v>39457.629103506828</v>
      </c>
    </row>
    <row r="118" spans="2:4" x14ac:dyDescent="0.35">
      <c r="B118" t="s">
        <v>579</v>
      </c>
      <c r="C118">
        <f>C117/C116</f>
        <v>0.36852524559020139</v>
      </c>
      <c r="D118">
        <f>D117/D116</f>
        <v>0.36501382162190982</v>
      </c>
    </row>
    <row r="120" spans="2:4" x14ac:dyDescent="0.35">
      <c r="B120" s="4" t="s">
        <v>584</v>
      </c>
      <c r="C120" s="319">
        <f>C114*C118</f>
        <v>123.6881281774393</v>
      </c>
      <c r="D120" s="319">
        <f>D114*D118</f>
        <v>122.50958895096159</v>
      </c>
    </row>
  </sheetData>
  <mergeCells count="7">
    <mergeCell ref="B64:G64"/>
    <mergeCell ref="Y6:AC6"/>
    <mergeCell ref="B6:G6"/>
    <mergeCell ref="I6:M6"/>
    <mergeCell ref="I63:O63"/>
    <mergeCell ref="Q63:X63"/>
    <mergeCell ref="Q6:U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ED97-0E30-4C36-A890-3F71F68C2514}">
  <sheetPr codeName="Feuil13">
    <tabColor rgb="FF7030A0"/>
  </sheetPr>
  <dimension ref="A3:W29"/>
  <sheetViews>
    <sheetView topLeftCell="D1" workbookViewId="0">
      <selection activeCell="H11" sqref="H11"/>
    </sheetView>
  </sheetViews>
  <sheetFormatPr baseColWidth="10" defaultRowHeight="14.5" x14ac:dyDescent="0.35"/>
  <cols>
    <col min="4" max="4" width="40.54296875" customWidth="1"/>
    <col min="5" max="5" width="10.1796875" customWidth="1"/>
    <col min="22" max="22" width="10.81640625" style="4"/>
  </cols>
  <sheetData>
    <row r="3" spans="1:23" s="182" customFormat="1" ht="33.5" x14ac:dyDescent="0.75">
      <c r="A3" s="370" t="s">
        <v>448</v>
      </c>
      <c r="V3" s="398"/>
    </row>
    <row r="7" spans="1:23" s="372" customFormat="1" x14ac:dyDescent="0.35">
      <c r="A7" s="373">
        <v>2023</v>
      </c>
      <c r="V7" s="373"/>
    </row>
    <row r="9" spans="1:23" x14ac:dyDescent="0.35">
      <c r="E9" s="20"/>
      <c r="F9" s="19"/>
      <c r="G9" s="574" t="s">
        <v>523</v>
      </c>
      <c r="H9" s="575"/>
      <c r="I9" s="575"/>
      <c r="J9" s="576"/>
      <c r="K9" s="574" t="s">
        <v>520</v>
      </c>
      <c r="L9" s="575"/>
      <c r="M9" s="575"/>
      <c r="N9" s="576"/>
      <c r="O9" s="574" t="s">
        <v>547</v>
      </c>
      <c r="P9" s="575"/>
      <c r="Q9" s="575"/>
      <c r="R9" s="576"/>
      <c r="S9" s="574" t="s">
        <v>522</v>
      </c>
      <c r="T9" s="575"/>
      <c r="U9" s="575"/>
      <c r="V9" s="575"/>
    </row>
    <row r="10" spans="1:23" ht="15" thickBot="1" x14ac:dyDescent="0.4">
      <c r="B10" s="9" t="s">
        <v>16</v>
      </c>
      <c r="C10" s="10" t="s">
        <v>246</v>
      </c>
      <c r="D10" s="11" t="s">
        <v>17</v>
      </c>
      <c r="E10" s="13" t="s">
        <v>26</v>
      </c>
      <c r="F10" s="13" t="s">
        <v>27</v>
      </c>
      <c r="G10" s="12" t="s">
        <v>55</v>
      </c>
      <c r="H10" s="13" t="s">
        <v>18</v>
      </c>
      <c r="I10" s="13" t="s">
        <v>59</v>
      </c>
      <c r="J10" s="14" t="s">
        <v>19</v>
      </c>
      <c r="K10" s="12" t="s">
        <v>55</v>
      </c>
      <c r="L10" s="13" t="s">
        <v>18</v>
      </c>
      <c r="M10" s="13" t="s">
        <v>59</v>
      </c>
      <c r="N10" s="14" t="s">
        <v>19</v>
      </c>
      <c r="O10" s="12" t="s">
        <v>55</v>
      </c>
      <c r="P10" s="13" t="s">
        <v>18</v>
      </c>
      <c r="Q10" s="13" t="s">
        <v>59</v>
      </c>
      <c r="R10" s="14" t="s">
        <v>19</v>
      </c>
      <c r="S10" s="12" t="s">
        <v>55</v>
      </c>
      <c r="T10" s="13" t="s">
        <v>18</v>
      </c>
      <c r="U10" s="13" t="s">
        <v>59</v>
      </c>
      <c r="V10" s="220" t="s">
        <v>19</v>
      </c>
    </row>
    <row r="11" spans="1:23" ht="15" thickTop="1" x14ac:dyDescent="0.35">
      <c r="B11" s="15">
        <v>2023</v>
      </c>
      <c r="C11" s="16"/>
      <c r="D11" s="17" t="s">
        <v>257</v>
      </c>
      <c r="E11" s="110">
        <f>'Construction - Calcul'!C13/10^6</f>
        <v>148.37541174999987</v>
      </c>
      <c r="F11" s="28" t="s">
        <v>453</v>
      </c>
      <c r="G11" s="48">
        <v>0</v>
      </c>
      <c r="H11" s="38">
        <v>0</v>
      </c>
      <c r="I11" s="38">
        <v>0</v>
      </c>
      <c r="J11" s="49">
        <f>SUM(G11:I11)</f>
        <v>0</v>
      </c>
      <c r="K11" s="280">
        <v>0</v>
      </c>
      <c r="L11" s="280">
        <v>0</v>
      </c>
      <c r="M11" s="280">
        <v>0</v>
      </c>
      <c r="N11" s="58">
        <v>0</v>
      </c>
      <c r="O11" s="233">
        <f>'Construction - Calcul'!D13</f>
        <v>28128.840976185238</v>
      </c>
      <c r="P11" s="47">
        <v>0</v>
      </c>
      <c r="Q11" s="47">
        <v>0</v>
      </c>
      <c r="R11" s="359">
        <f>SUM(O11:Q11)</f>
        <v>28128.840976185238</v>
      </c>
      <c r="S11" s="55">
        <f>G11+O11</f>
        <v>28128.840976185238</v>
      </c>
      <c r="T11" s="56">
        <f t="shared" ref="T11:V12" si="0">H11+P11</f>
        <v>0</v>
      </c>
      <c r="U11" s="56">
        <f t="shared" si="0"/>
        <v>0</v>
      </c>
      <c r="V11" s="57">
        <f t="shared" si="0"/>
        <v>28128.840976185238</v>
      </c>
      <c r="W11" s="15"/>
    </row>
    <row r="12" spans="1:23" x14ac:dyDescent="0.35">
      <c r="B12" s="15">
        <v>2023</v>
      </c>
      <c r="C12" s="16"/>
      <c r="D12" s="17" t="s">
        <v>454</v>
      </c>
      <c r="E12" s="1" t="s">
        <v>451</v>
      </c>
      <c r="F12" s="28"/>
      <c r="G12" s="48">
        <v>0</v>
      </c>
      <c r="H12" s="38">
        <v>0</v>
      </c>
      <c r="I12" s="38">
        <v>0</v>
      </c>
      <c r="J12" s="49">
        <v>0</v>
      </c>
      <c r="K12" s="280">
        <v>0</v>
      </c>
      <c r="L12" s="280">
        <v>0</v>
      </c>
      <c r="M12" s="280">
        <v>0</v>
      </c>
      <c r="N12" s="58">
        <v>0</v>
      </c>
      <c r="O12" s="48">
        <f>'Construction - Calcul'!D29</f>
        <v>5727</v>
      </c>
      <c r="P12" s="378">
        <v>0</v>
      </c>
      <c r="Q12" s="378">
        <v>0</v>
      </c>
      <c r="R12" s="58">
        <f>O12</f>
        <v>5727</v>
      </c>
      <c r="S12" s="48">
        <f>G12+O12</f>
        <v>5727</v>
      </c>
      <c r="T12" s="52">
        <f t="shared" si="0"/>
        <v>0</v>
      </c>
      <c r="U12" s="52">
        <f t="shared" si="0"/>
        <v>0</v>
      </c>
      <c r="V12" s="58">
        <f t="shared" si="0"/>
        <v>5727</v>
      </c>
      <c r="W12" s="15"/>
    </row>
    <row r="13" spans="1:23" x14ac:dyDescent="0.35">
      <c r="B13" s="15">
        <v>2023</v>
      </c>
      <c r="C13" s="16"/>
      <c r="D13" s="17" t="s">
        <v>433</v>
      </c>
      <c r="E13" s="397">
        <f>'Construction - Calcul'!C46</f>
        <v>2.2818334299999998</v>
      </c>
      <c r="F13" s="28" t="s">
        <v>453</v>
      </c>
      <c r="G13" s="53">
        <f>$E13*_xlfn.XLOOKUP($W13,'Facteur émissions'!$B:$B,'Facteur émissions'!D:D)</f>
        <v>0</v>
      </c>
      <c r="H13" s="54">
        <f>$E13*_xlfn.XLOOKUP($W13,'Facteur émissions'!$B:$B,'Facteur émissions'!E:E)</f>
        <v>0</v>
      </c>
      <c r="I13" s="54">
        <f>$E13*_xlfn.XLOOKUP($W13,'Facteur émissions'!$B:$B,'Facteur émissions'!F:F)</f>
        <v>0</v>
      </c>
      <c r="J13" s="58">
        <f>$E13*_xlfn.XLOOKUP($W13,'Facteur émissions'!$B:$B,'Facteur émissions'!G:G)</f>
        <v>0</v>
      </c>
      <c r="K13" s="48">
        <f>$E13*_xlfn.XLOOKUP($W13,'Facteur émissions'!$B:$B,'Facteur émissions'!H:H)</f>
        <v>0</v>
      </c>
      <c r="L13" s="54">
        <f>$E13*_xlfn.XLOOKUP($W13,'Facteur émissions'!$B:$B,'Facteur émissions'!I:I)</f>
        <v>0</v>
      </c>
      <c r="M13" s="54">
        <f>$E13*_xlfn.XLOOKUP($W13,'Facteur émissions'!$B:$B,'Facteur émissions'!J:J)</f>
        <v>0</v>
      </c>
      <c r="N13" s="312">
        <f>$E13*_xlfn.XLOOKUP($W13,'Facteur émissions'!$B:$B,'Facteur émissions'!K:K)</f>
        <v>0</v>
      </c>
      <c r="O13" s="53">
        <f>$E13*_xlfn.XLOOKUP($W13,'Facteur émissions'!$B:$B,'Facteur émissions'!L:L)/1000</f>
        <v>410.73001739999995</v>
      </c>
      <c r="P13" s="52">
        <f>$E13*_xlfn.XLOOKUP($W13,'Facteur émissions'!$B:$B,'Facteur émissions'!M:M)</f>
        <v>0</v>
      </c>
      <c r="Q13" s="54">
        <f>$E13*_xlfn.XLOOKUP($W13,'Facteur émissions'!$B:$B,'Facteur émissions'!N:N)</f>
        <v>0</v>
      </c>
      <c r="R13" s="160">
        <f>$E13*_xlfn.XLOOKUP($W13,'Facteur émissions'!$B:$B,'Facteur émissions'!O:O)/1000</f>
        <v>410.73001739999995</v>
      </c>
      <c r="S13" s="48">
        <f>$E13*_xlfn.XLOOKUP($W13,'Facteur émissions'!$B:$B,'Facteur émissions'!P:P)/1000</f>
        <v>410.73001739999995</v>
      </c>
      <c r="T13" s="54">
        <f>$E13*_xlfn.XLOOKUP($W13,'Facteur émissions'!$B:$B,'Facteur émissions'!Q:Q)</f>
        <v>0</v>
      </c>
      <c r="U13" s="54">
        <f>$E13*_xlfn.XLOOKUP($W13,'Facteur émissions'!$B:$B,'Facteur émissions'!R:R)</f>
        <v>0</v>
      </c>
      <c r="V13" s="160">
        <f>$E13*_xlfn.XLOOKUP($W13,'Facteur émissions'!$B:$B,'Facteur émissions'!S:S)/1000</f>
        <v>410.73001739999995</v>
      </c>
      <c r="W13" s="379" t="s">
        <v>473</v>
      </c>
    </row>
    <row r="14" spans="1:23" x14ac:dyDescent="0.35">
      <c r="B14" s="21" t="s">
        <v>23</v>
      </c>
      <c r="C14" s="22"/>
      <c r="D14" s="23"/>
      <c r="E14" s="24"/>
      <c r="F14" s="24"/>
      <c r="G14" s="152">
        <f>SUM(G11:G13)</f>
        <v>0</v>
      </c>
      <c r="H14" s="62">
        <f>SUM(H11:H13)</f>
        <v>0</v>
      </c>
      <c r="I14" s="62">
        <f>SUM(I11:I13)</f>
        <v>0</v>
      </c>
      <c r="J14" s="63">
        <f>SUM(J11:J13)</f>
        <v>0</v>
      </c>
      <c r="K14" s="281">
        <v>0</v>
      </c>
      <c r="L14" s="281">
        <v>0</v>
      </c>
      <c r="M14" s="281">
        <v>0</v>
      </c>
      <c r="N14" s="65">
        <v>0</v>
      </c>
      <c r="O14" s="61">
        <f t="shared" ref="O14:V14" si="1">SUM(O11:O13)</f>
        <v>34266.570993585236</v>
      </c>
      <c r="P14" s="62">
        <f t="shared" si="1"/>
        <v>0</v>
      </c>
      <c r="Q14" s="62">
        <f t="shared" si="1"/>
        <v>0</v>
      </c>
      <c r="R14" s="64">
        <f t="shared" si="1"/>
        <v>34266.570993585236</v>
      </c>
      <c r="S14" s="61">
        <f t="shared" si="1"/>
        <v>34266.570993585236</v>
      </c>
      <c r="T14" s="62">
        <f t="shared" si="1"/>
        <v>0</v>
      </c>
      <c r="U14" s="62">
        <f t="shared" si="1"/>
        <v>0</v>
      </c>
      <c r="V14" s="65">
        <f t="shared" si="1"/>
        <v>34266.570993585236</v>
      </c>
      <c r="W14" s="15"/>
    </row>
    <row r="15" spans="1:23" x14ac:dyDescent="0.35">
      <c r="B15" s="374" t="s">
        <v>24</v>
      </c>
      <c r="C15" s="375"/>
      <c r="D15" s="376"/>
      <c r="E15" s="377"/>
      <c r="F15" s="377"/>
      <c r="G15" s="561">
        <f t="shared" ref="G15:V15" si="2">G14</f>
        <v>0</v>
      </c>
      <c r="H15" s="562">
        <f t="shared" si="2"/>
        <v>0</v>
      </c>
      <c r="I15" s="562">
        <f t="shared" si="2"/>
        <v>0</v>
      </c>
      <c r="J15" s="563">
        <f t="shared" si="2"/>
        <v>0</v>
      </c>
      <c r="K15" s="561">
        <f t="shared" si="2"/>
        <v>0</v>
      </c>
      <c r="L15" s="562">
        <f t="shared" si="2"/>
        <v>0</v>
      </c>
      <c r="M15" s="562">
        <f t="shared" si="2"/>
        <v>0</v>
      </c>
      <c r="N15" s="563">
        <f t="shared" si="2"/>
        <v>0</v>
      </c>
      <c r="O15" s="561">
        <f t="shared" si="2"/>
        <v>34266.570993585236</v>
      </c>
      <c r="P15" s="562">
        <f t="shared" si="2"/>
        <v>0</v>
      </c>
      <c r="Q15" s="562">
        <f t="shared" si="2"/>
        <v>0</v>
      </c>
      <c r="R15" s="563">
        <f t="shared" si="2"/>
        <v>34266.570993585236</v>
      </c>
      <c r="S15" s="561">
        <f t="shared" si="2"/>
        <v>34266.570993585236</v>
      </c>
      <c r="T15" s="562">
        <f t="shared" si="2"/>
        <v>0</v>
      </c>
      <c r="U15" s="562">
        <f t="shared" si="2"/>
        <v>0</v>
      </c>
      <c r="V15" s="564">
        <f t="shared" si="2"/>
        <v>34266.570993585236</v>
      </c>
      <c r="W15" s="15"/>
    </row>
    <row r="17" spans="1:23" x14ac:dyDescent="0.35">
      <c r="J17" s="28"/>
      <c r="U17" s="28"/>
    </row>
    <row r="18" spans="1:23" s="372" customFormat="1" x14ac:dyDescent="0.35">
      <c r="A18" s="373">
        <v>2019</v>
      </c>
      <c r="V18" s="373"/>
    </row>
    <row r="20" spans="1:23" x14ac:dyDescent="0.35">
      <c r="E20" s="20"/>
      <c r="F20" s="19"/>
      <c r="G20" s="574" t="s">
        <v>523</v>
      </c>
      <c r="H20" s="575"/>
      <c r="I20" s="575"/>
      <c r="J20" s="576"/>
      <c r="K20" s="574" t="s">
        <v>520</v>
      </c>
      <c r="L20" s="575"/>
      <c r="M20" s="575"/>
      <c r="N20" s="576"/>
      <c r="O20" s="574" t="s">
        <v>547</v>
      </c>
      <c r="P20" s="575"/>
      <c r="Q20" s="575"/>
      <c r="R20" s="576"/>
      <c r="S20" s="574" t="s">
        <v>522</v>
      </c>
      <c r="T20" s="575"/>
      <c r="U20" s="575"/>
      <c r="V20" s="575"/>
    </row>
    <row r="21" spans="1:23" ht="15" thickBot="1" x14ac:dyDescent="0.4">
      <c r="B21" s="9" t="s">
        <v>16</v>
      </c>
      <c r="C21" s="10" t="s">
        <v>246</v>
      </c>
      <c r="D21" s="11" t="s">
        <v>17</v>
      </c>
      <c r="E21" s="13" t="s">
        <v>26</v>
      </c>
      <c r="F21" s="13" t="s">
        <v>27</v>
      </c>
      <c r="G21" s="12" t="s">
        <v>55</v>
      </c>
      <c r="H21" s="13" t="s">
        <v>18</v>
      </c>
      <c r="I21" s="13" t="s">
        <v>59</v>
      </c>
      <c r="J21" s="14" t="s">
        <v>19</v>
      </c>
      <c r="K21" s="12" t="s">
        <v>55</v>
      </c>
      <c r="L21" s="13" t="s">
        <v>18</v>
      </c>
      <c r="M21" s="13" t="s">
        <v>59</v>
      </c>
      <c r="N21" s="14" t="s">
        <v>19</v>
      </c>
      <c r="O21" s="12" t="s">
        <v>55</v>
      </c>
      <c r="P21" s="13" t="s">
        <v>18</v>
      </c>
      <c r="Q21" s="13" t="s">
        <v>59</v>
      </c>
      <c r="R21" s="14" t="s">
        <v>19</v>
      </c>
      <c r="S21" s="12" t="s">
        <v>55</v>
      </c>
      <c r="T21" s="13" t="s">
        <v>18</v>
      </c>
      <c r="U21" s="13" t="s">
        <v>59</v>
      </c>
      <c r="V21" s="220" t="s">
        <v>19</v>
      </c>
    </row>
    <row r="22" spans="1:23" ht="15" thickTop="1" x14ac:dyDescent="0.35">
      <c r="B22" s="15">
        <v>2019</v>
      </c>
      <c r="C22" s="16"/>
      <c r="D22" s="17" t="s">
        <v>257</v>
      </c>
      <c r="E22" s="110">
        <f>'Construction - Calcul'!C18/10^6</f>
        <v>176</v>
      </c>
      <c r="F22" s="28" t="s">
        <v>453</v>
      </c>
      <c r="G22" s="48">
        <v>0</v>
      </c>
      <c r="H22" s="38">
        <v>0</v>
      </c>
      <c r="I22" s="38">
        <v>0</v>
      </c>
      <c r="J22" s="49">
        <f>SUM(G22:I22)</f>
        <v>0</v>
      </c>
      <c r="K22" s="280">
        <v>0</v>
      </c>
      <c r="L22" s="280">
        <v>0</v>
      </c>
      <c r="M22" s="280">
        <v>0</v>
      </c>
      <c r="N22" s="58">
        <v>0</v>
      </c>
      <c r="O22" s="233">
        <f>'Construction - Calcul'!D18</f>
        <v>33365.878843524799</v>
      </c>
      <c r="P22" s="47">
        <v>0</v>
      </c>
      <c r="Q22" s="47">
        <v>0</v>
      </c>
      <c r="R22" s="359">
        <f>SUM(O22:Q22)</f>
        <v>33365.878843524799</v>
      </c>
      <c r="S22" s="55">
        <f>G22+O22</f>
        <v>33365.878843524799</v>
      </c>
      <c r="T22" s="56">
        <f t="shared" ref="T22:T23" si="3">H22+P22</f>
        <v>0</v>
      </c>
      <c r="U22" s="56">
        <f t="shared" ref="U22:U23" si="4">I22+Q22</f>
        <v>0</v>
      </c>
      <c r="V22" s="57">
        <f t="shared" ref="V22:V23" si="5">J22+R22</f>
        <v>33365.878843524799</v>
      </c>
      <c r="W22" s="15"/>
    </row>
    <row r="23" spans="1:23" x14ac:dyDescent="0.35">
      <c r="B23" s="15">
        <v>2019</v>
      </c>
      <c r="C23" s="16"/>
      <c r="D23" s="17" t="s">
        <v>454</v>
      </c>
      <c r="E23" s="1" t="s">
        <v>451</v>
      </c>
      <c r="F23" s="28"/>
      <c r="G23" s="48">
        <v>0</v>
      </c>
      <c r="H23" s="38">
        <v>0</v>
      </c>
      <c r="I23" s="38">
        <v>0</v>
      </c>
      <c r="J23" s="49">
        <v>0</v>
      </c>
      <c r="K23" s="280">
        <v>0</v>
      </c>
      <c r="L23" s="280">
        <v>0</v>
      </c>
      <c r="M23" s="280">
        <v>0</v>
      </c>
      <c r="N23" s="58">
        <v>0</v>
      </c>
      <c r="O23" s="48">
        <f>'Construction - Calcul'!C29</f>
        <v>3912.3</v>
      </c>
      <c r="P23" s="28">
        <v>0</v>
      </c>
      <c r="Q23" s="28">
        <v>0</v>
      </c>
      <c r="R23" s="58">
        <f>O23</f>
        <v>3912.3</v>
      </c>
      <c r="S23" s="48">
        <f>G23+O23</f>
        <v>3912.3</v>
      </c>
      <c r="T23" s="52">
        <f t="shared" si="3"/>
        <v>0</v>
      </c>
      <c r="U23" s="52">
        <f t="shared" si="4"/>
        <v>0</v>
      </c>
      <c r="V23" s="58">
        <f t="shared" si="5"/>
        <v>3912.3</v>
      </c>
      <c r="W23" s="15"/>
    </row>
    <row r="24" spans="1:23" x14ac:dyDescent="0.35">
      <c r="B24" s="15">
        <v>2019</v>
      </c>
      <c r="C24" s="16"/>
      <c r="D24" s="17" t="s">
        <v>433</v>
      </c>
      <c r="E24" s="397">
        <f>'Construction - Calcul'!C46</f>
        <v>2.2818334299999998</v>
      </c>
      <c r="F24" s="28" t="s">
        <v>453</v>
      </c>
      <c r="G24" s="53">
        <f>$E24*_xlfn.XLOOKUP($W24,'Facteur émissions'!$B:$B,'Facteur émissions'!D:D)</f>
        <v>0</v>
      </c>
      <c r="H24" s="54">
        <f>$E24*_xlfn.XLOOKUP($W24,'Facteur émissions'!$B:$B,'Facteur émissions'!E:E)</f>
        <v>0</v>
      </c>
      <c r="I24" s="54">
        <f>$E24*_xlfn.XLOOKUP($W24,'Facteur émissions'!$B:$B,'Facteur émissions'!F:F)</f>
        <v>0</v>
      </c>
      <c r="J24" s="52">
        <f>$E24*_xlfn.XLOOKUP($W24,'Facteur émissions'!$B:$B,'Facteur émissions'!G:G)</f>
        <v>0</v>
      </c>
      <c r="K24" s="48">
        <f>$E24*_xlfn.XLOOKUP($W24,'Facteur émissions'!$B:$B,'Facteur émissions'!H:H)</f>
        <v>0</v>
      </c>
      <c r="L24" s="54">
        <f>$E24*_xlfn.XLOOKUP($W24,'Facteur émissions'!$B:$B,'Facteur émissions'!I:I)</f>
        <v>0</v>
      </c>
      <c r="M24" s="54">
        <f>$E24*_xlfn.XLOOKUP($W24,'Facteur émissions'!$B:$B,'Facteur émissions'!J:J)</f>
        <v>0</v>
      </c>
      <c r="N24" s="312">
        <f>$E24*_xlfn.XLOOKUP($W24,'Facteur émissions'!$B:$B,'Facteur émissions'!K:K)</f>
        <v>0</v>
      </c>
      <c r="O24" s="53">
        <f>$E24*_xlfn.XLOOKUP($W24,'Facteur émissions'!$B:$B,'Facteur émissions'!L:L)/1000</f>
        <v>410.73001739999995</v>
      </c>
      <c r="P24" s="52">
        <f>$E24*_xlfn.XLOOKUP($W24,'Facteur émissions'!$B:$B,'Facteur émissions'!M:M)</f>
        <v>0</v>
      </c>
      <c r="Q24" s="52">
        <f>$E24*_xlfn.XLOOKUP($W24,'Facteur émissions'!$B:$B,'Facteur émissions'!N:N)</f>
        <v>0</v>
      </c>
      <c r="R24" s="312">
        <f>$E24*_xlfn.XLOOKUP($W24,'Facteur émissions'!$B:$B,'Facteur émissions'!O:O)/1000</f>
        <v>410.73001739999995</v>
      </c>
      <c r="S24" s="48">
        <f>$E24*_xlfn.XLOOKUP($W24,'Facteur émissions'!$B:$B,'Facteur émissions'!P:P)/1000</f>
        <v>410.73001739999995</v>
      </c>
      <c r="T24" s="54">
        <f>$E24*_xlfn.XLOOKUP($W24,'Facteur émissions'!$B:$B,'Facteur émissions'!Q:Q)</f>
        <v>0</v>
      </c>
      <c r="U24" s="54">
        <f>$E24*_xlfn.XLOOKUP($W24,'Facteur émissions'!$B:$B,'Facteur émissions'!R:R)</f>
        <v>0</v>
      </c>
      <c r="V24" s="160">
        <f>$E24*_xlfn.XLOOKUP($W24,'Facteur émissions'!$B:$B,'Facteur émissions'!S:S)/1000</f>
        <v>410.73001739999995</v>
      </c>
      <c r="W24" s="379" t="s">
        <v>474</v>
      </c>
    </row>
    <row r="25" spans="1:23" x14ac:dyDescent="0.35">
      <c r="B25" s="21" t="s">
        <v>23</v>
      </c>
      <c r="C25" s="22"/>
      <c r="D25" s="23"/>
      <c r="E25" s="24"/>
      <c r="F25" s="24"/>
      <c r="G25" s="61">
        <f>SUM(G22:G24)</f>
        <v>0</v>
      </c>
      <c r="H25" s="62">
        <f>SUM(H22:H24)</f>
        <v>0</v>
      </c>
      <c r="I25" s="62">
        <f>SUM(I22:I24)</f>
        <v>0</v>
      </c>
      <c r="J25" s="63">
        <f>SUM(J22:J24)</f>
        <v>0</v>
      </c>
      <c r="K25" s="281">
        <v>0</v>
      </c>
      <c r="L25" s="281">
        <v>0</v>
      </c>
      <c r="M25" s="281">
        <v>0</v>
      </c>
      <c r="N25" s="65">
        <v>0</v>
      </c>
      <c r="O25" s="61">
        <f t="shared" ref="O25:V25" si="6">SUM(O22:O24)</f>
        <v>37688.908860924799</v>
      </c>
      <c r="P25" s="62">
        <f t="shared" si="6"/>
        <v>0</v>
      </c>
      <c r="Q25" s="62">
        <f>SUM(Q22:Q24)</f>
        <v>0</v>
      </c>
      <c r="R25" s="64">
        <f t="shared" si="6"/>
        <v>37688.908860924799</v>
      </c>
      <c r="S25" s="61">
        <f t="shared" si="6"/>
        <v>37688.908860924799</v>
      </c>
      <c r="T25" s="62">
        <f t="shared" si="6"/>
        <v>0</v>
      </c>
      <c r="U25" s="62">
        <f t="shared" si="6"/>
        <v>0</v>
      </c>
      <c r="V25" s="65">
        <f t="shared" si="6"/>
        <v>37688.908860924799</v>
      </c>
      <c r="W25" s="15"/>
    </row>
    <row r="26" spans="1:23" x14ac:dyDescent="0.35">
      <c r="B26" s="374" t="s">
        <v>24</v>
      </c>
      <c r="C26" s="375"/>
      <c r="D26" s="376"/>
      <c r="E26" s="377"/>
      <c r="F26" s="377"/>
      <c r="G26" s="561">
        <f t="shared" ref="G26:V26" si="7">G25</f>
        <v>0</v>
      </c>
      <c r="H26" s="562">
        <f t="shared" si="7"/>
        <v>0</v>
      </c>
      <c r="I26" s="562">
        <f t="shared" si="7"/>
        <v>0</v>
      </c>
      <c r="J26" s="563">
        <f t="shared" si="7"/>
        <v>0</v>
      </c>
      <c r="K26" s="561">
        <f t="shared" si="7"/>
        <v>0</v>
      </c>
      <c r="L26" s="562">
        <f t="shared" si="7"/>
        <v>0</v>
      </c>
      <c r="M26" s="562">
        <f t="shared" si="7"/>
        <v>0</v>
      </c>
      <c r="N26" s="563">
        <f t="shared" si="7"/>
        <v>0</v>
      </c>
      <c r="O26" s="561">
        <f t="shared" si="7"/>
        <v>37688.908860924799</v>
      </c>
      <c r="P26" s="562">
        <f t="shared" si="7"/>
        <v>0</v>
      </c>
      <c r="Q26" s="562">
        <f t="shared" si="7"/>
        <v>0</v>
      </c>
      <c r="R26" s="563">
        <f t="shared" si="7"/>
        <v>37688.908860924799</v>
      </c>
      <c r="S26" s="561">
        <f t="shared" si="7"/>
        <v>37688.908860924799</v>
      </c>
      <c r="T26" s="562">
        <f t="shared" si="7"/>
        <v>0</v>
      </c>
      <c r="U26" s="562">
        <f t="shared" si="7"/>
        <v>0</v>
      </c>
      <c r="V26" s="564">
        <f t="shared" si="7"/>
        <v>37688.908860924799</v>
      </c>
      <c r="W26" s="15"/>
    </row>
    <row r="29" spans="1:23" x14ac:dyDescent="0.35">
      <c r="V29" s="473">
        <f>-1+V15/V26</f>
        <v>-9.080490708734168E-2</v>
      </c>
    </row>
  </sheetData>
  <sheetProtection algorithmName="SHA-512" hashValue="R9Y2rYUqtmD6g7W5/oBaOkPwnrF+hX3Fe78wWccsHHwjl4GTZjUIulbhFoHpDR49ZplaBa/iNnh3a5VzZsQP9w==" saltValue="VhOoOf6vS12Bv4mAWgu7Sg==" spinCount="100000" sheet="1" objects="1" scenarios="1"/>
  <mergeCells count="8">
    <mergeCell ref="G9:J9"/>
    <mergeCell ref="K9:N9"/>
    <mergeCell ref="O9:R9"/>
    <mergeCell ref="S9:V9"/>
    <mergeCell ref="G20:J20"/>
    <mergeCell ref="K20:N20"/>
    <mergeCell ref="O20:R20"/>
    <mergeCell ref="S20:V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8192-CE37-4B90-BA79-6D5F2639D64D}">
  <sheetPr codeName="Feuil14">
    <tabColor rgb="FF7030A0"/>
  </sheetPr>
  <dimension ref="B2:G46"/>
  <sheetViews>
    <sheetView workbookViewId="0">
      <selection activeCell="F44" sqref="F44"/>
    </sheetView>
  </sheetViews>
  <sheetFormatPr baseColWidth="10" defaultRowHeight="14.5" x14ac:dyDescent="0.35"/>
  <cols>
    <col min="2" max="2" width="39.1796875" customWidth="1"/>
    <col min="3" max="3" width="23.453125" customWidth="1"/>
    <col min="4" max="4" width="18.1796875" customWidth="1"/>
  </cols>
  <sheetData>
    <row r="2" spans="2:6" s="182" customFormat="1" ht="28.5" x14ac:dyDescent="0.65">
      <c r="B2" s="202" t="s">
        <v>432</v>
      </c>
    </row>
    <row r="5" spans="2:6" s="367" customFormat="1" x14ac:dyDescent="0.35">
      <c r="B5" s="367" t="s">
        <v>257</v>
      </c>
    </row>
    <row r="8" spans="2:6" x14ac:dyDescent="0.35">
      <c r="B8" s="394" t="s">
        <v>467</v>
      </c>
      <c r="C8" s="28"/>
    </row>
    <row r="9" spans="2:6" x14ac:dyDescent="0.35">
      <c r="B9" s="395">
        <v>2023</v>
      </c>
      <c r="C9" s="396" t="s">
        <v>466</v>
      </c>
      <c r="D9" s="344" t="s">
        <v>468</v>
      </c>
    </row>
    <row r="10" spans="2:6" x14ac:dyDescent="0.35">
      <c r="B10" s="28" t="s">
        <v>469</v>
      </c>
      <c r="C10" s="82"/>
      <c r="D10" s="82">
        <v>9604.7866613852748</v>
      </c>
    </row>
    <row r="11" spans="2:6" x14ac:dyDescent="0.35">
      <c r="B11" s="28" t="s">
        <v>470</v>
      </c>
      <c r="C11" s="82">
        <v>76203034.399999976</v>
      </c>
      <c r="D11" s="82">
        <f>C11*'Facteur émissions'!$S$18 /(10^6*1000)</f>
        <v>13716.546191999996</v>
      </c>
    </row>
    <row r="12" spans="2:6" x14ac:dyDescent="0.35">
      <c r="B12" s="28" t="s">
        <v>471</v>
      </c>
      <c r="C12" s="82">
        <v>26708378.45999983</v>
      </c>
      <c r="D12" s="82">
        <f>C12*'Facteur émissions'!$S$18 /(10^6*1000)</f>
        <v>4807.5081227999699</v>
      </c>
    </row>
    <row r="13" spans="2:6" x14ac:dyDescent="0.35">
      <c r="B13" s="28" t="s">
        <v>24</v>
      </c>
      <c r="C13" s="321">
        <f>C17</f>
        <v>148375411.74999988</v>
      </c>
      <c r="D13" s="321">
        <f>SUM(D10:D12)</f>
        <v>28128.840976185238</v>
      </c>
    </row>
    <row r="14" spans="2:6" x14ac:dyDescent="0.35">
      <c r="B14" s="51"/>
      <c r="C14" s="393"/>
    </row>
    <row r="15" spans="2:6" x14ac:dyDescent="0.35">
      <c r="B15" s="394" t="s">
        <v>467</v>
      </c>
      <c r="C15" s="393"/>
    </row>
    <row r="16" spans="2:6" x14ac:dyDescent="0.35">
      <c r="B16" s="395">
        <v>2019</v>
      </c>
      <c r="C16" s="396" t="s">
        <v>472</v>
      </c>
      <c r="D16" s="344" t="s">
        <v>468</v>
      </c>
      <c r="F16" s="76">
        <f xml:space="preserve"> (C18-C17)/C18</f>
        <v>0.15695788778409159</v>
      </c>
    </row>
    <row r="17" spans="2:7" x14ac:dyDescent="0.35">
      <c r="B17">
        <v>2023</v>
      </c>
      <c r="C17" s="82">
        <v>148375411.74999988</v>
      </c>
      <c r="D17" s="82">
        <f>SUM(D10:D12)</f>
        <v>28128.840976185238</v>
      </c>
    </row>
    <row r="18" spans="2:7" x14ac:dyDescent="0.35">
      <c r="B18">
        <v>2019</v>
      </c>
      <c r="C18" s="82">
        <v>176000000</v>
      </c>
      <c r="D18" s="321">
        <f>D17*C18/C17</f>
        <v>33365.878843524799</v>
      </c>
      <c r="G18">
        <f xml:space="preserve"> (D18-D17)/D18</f>
        <v>0.15695788778409159</v>
      </c>
    </row>
    <row r="22" spans="2:7" s="367" customFormat="1" x14ac:dyDescent="0.35">
      <c r="B22" s="367" t="s">
        <v>258</v>
      </c>
    </row>
    <row r="24" spans="2:7" x14ac:dyDescent="0.35">
      <c r="B24" t="s">
        <v>434</v>
      </c>
    </row>
    <row r="26" spans="2:7" x14ac:dyDescent="0.35">
      <c r="B26" s="143"/>
      <c r="C26" s="143">
        <v>2019</v>
      </c>
      <c r="D26" s="143">
        <v>2023</v>
      </c>
    </row>
    <row r="27" spans="2:7" x14ac:dyDescent="0.35">
      <c r="B27" t="s">
        <v>435</v>
      </c>
      <c r="C27">
        <v>3402</v>
      </c>
      <c r="D27">
        <v>4980</v>
      </c>
    </row>
    <row r="28" spans="2:7" x14ac:dyDescent="0.35">
      <c r="B28" t="s">
        <v>436</v>
      </c>
      <c r="C28" s="38">
        <f>0.15*C27</f>
        <v>510.29999999999995</v>
      </c>
      <c r="D28" s="38">
        <f>0.15*D27</f>
        <v>747</v>
      </c>
    </row>
    <row r="29" spans="2:7" x14ac:dyDescent="0.35">
      <c r="B29" s="4" t="s">
        <v>24</v>
      </c>
      <c r="C29" s="319">
        <f>C28+C27</f>
        <v>3912.3</v>
      </c>
      <c r="D29" s="319">
        <f>D28+D27</f>
        <v>5727</v>
      </c>
    </row>
    <row r="36" spans="2:6" s="367" customFormat="1" x14ac:dyDescent="0.35">
      <c r="B36" s="367" t="s">
        <v>475</v>
      </c>
    </row>
    <row r="38" spans="2:6" x14ac:dyDescent="0.35">
      <c r="B38" s="1" t="s">
        <v>447</v>
      </c>
    </row>
    <row r="39" spans="2:6" x14ac:dyDescent="0.35">
      <c r="B39" s="143" t="s">
        <v>437</v>
      </c>
      <c r="C39" s="143" t="s">
        <v>438</v>
      </c>
      <c r="D39" s="368" t="s">
        <v>439</v>
      </c>
      <c r="E39" s="368" t="s">
        <v>440</v>
      </c>
      <c r="F39" s="143"/>
    </row>
    <row r="40" spans="2:6" x14ac:dyDescent="0.35">
      <c r="B40" s="82" t="s">
        <v>441</v>
      </c>
      <c r="C40" s="82">
        <v>1984328.03</v>
      </c>
      <c r="D40" s="369">
        <v>569612.92000000016</v>
      </c>
      <c r="E40" s="369">
        <v>62955.28</v>
      </c>
    </row>
    <row r="41" spans="2:6" x14ac:dyDescent="0.35">
      <c r="B41" s="82" t="s">
        <v>442</v>
      </c>
      <c r="C41" s="82">
        <v>27933.15</v>
      </c>
      <c r="D41" s="369">
        <v>229197.84000000003</v>
      </c>
      <c r="E41" s="369">
        <v>90524.859999999986</v>
      </c>
    </row>
    <row r="42" spans="2:6" x14ac:dyDescent="0.35">
      <c r="B42" s="82" t="s">
        <v>443</v>
      </c>
      <c r="C42" s="82">
        <v>95541.5</v>
      </c>
      <c r="D42" s="369"/>
      <c r="E42" s="369"/>
      <c r="F42" t="s">
        <v>444</v>
      </c>
    </row>
    <row r="43" spans="2:6" x14ac:dyDescent="0.35">
      <c r="B43" s="82" t="s">
        <v>445</v>
      </c>
      <c r="C43" s="82">
        <v>10344.049999999999</v>
      </c>
      <c r="D43" s="369"/>
      <c r="E43" s="369"/>
    </row>
    <row r="44" spans="2:6" x14ac:dyDescent="0.35">
      <c r="B44" s="82" t="s">
        <v>446</v>
      </c>
      <c r="C44" s="82">
        <v>163686.70000000001</v>
      </c>
      <c r="D44" s="369"/>
      <c r="E44" s="369"/>
    </row>
    <row r="45" spans="2:6" x14ac:dyDescent="0.35">
      <c r="B45" s="321" t="s">
        <v>24</v>
      </c>
      <c r="C45" s="321">
        <v>2281833.4299999997</v>
      </c>
      <c r="D45" s="369" t="s">
        <v>450</v>
      </c>
      <c r="E45" s="369"/>
    </row>
    <row r="46" spans="2:6" x14ac:dyDescent="0.35">
      <c r="B46" s="321" t="s">
        <v>24</v>
      </c>
      <c r="C46">
        <f>C45/10^6</f>
        <v>2.2818334299999998</v>
      </c>
      <c r="D46" t="s">
        <v>453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1F89-9427-4329-8DE8-A36D7C43AD40}">
  <sheetPr codeName="Feuil15">
    <tabColor rgb="FF7030A0"/>
  </sheetPr>
  <dimension ref="A2:AI29"/>
  <sheetViews>
    <sheetView topLeftCell="D1" workbookViewId="0">
      <selection activeCell="G16" sqref="G16:V16"/>
    </sheetView>
  </sheetViews>
  <sheetFormatPr baseColWidth="10" defaultRowHeight="14.5" x14ac:dyDescent="0.35"/>
  <cols>
    <col min="3" max="3" width="21.1796875" customWidth="1"/>
    <col min="4" max="4" width="35.81640625" customWidth="1"/>
    <col min="5" max="5" width="10.54296875" customWidth="1"/>
    <col min="6" max="6" width="8.81640625" customWidth="1"/>
    <col min="23" max="23" width="33.7265625" customWidth="1"/>
  </cols>
  <sheetData>
    <row r="2" spans="1:35" s="182" customFormat="1" ht="28.5" x14ac:dyDescent="0.65">
      <c r="B2" s="202" t="s">
        <v>236</v>
      </c>
    </row>
    <row r="4" spans="1:35" s="176" customFormat="1" x14ac:dyDescent="0.35">
      <c r="A4" s="195">
        <v>2023</v>
      </c>
    </row>
    <row r="5" spans="1:35" x14ac:dyDescent="0.35">
      <c r="C5" s="8"/>
    </row>
    <row r="6" spans="1:35" x14ac:dyDescent="0.35">
      <c r="E6" s="20"/>
      <c r="F6" s="19"/>
      <c r="G6" s="574" t="s">
        <v>523</v>
      </c>
      <c r="H6" s="575"/>
      <c r="I6" s="575"/>
      <c r="J6" s="576"/>
      <c r="K6" s="574" t="s">
        <v>520</v>
      </c>
      <c r="L6" s="575"/>
      <c r="M6" s="575"/>
      <c r="N6" s="576"/>
      <c r="O6" s="574" t="s">
        <v>547</v>
      </c>
      <c r="P6" s="575"/>
      <c r="Q6" s="575"/>
      <c r="R6" s="576"/>
      <c r="S6" s="574" t="s">
        <v>522</v>
      </c>
      <c r="T6" s="575"/>
      <c r="U6" s="575"/>
      <c r="V6" s="575"/>
    </row>
    <row r="7" spans="1:35" ht="15" thickBot="1" x14ac:dyDescent="0.4">
      <c r="B7" s="9" t="s">
        <v>16</v>
      </c>
      <c r="C7" s="10" t="s">
        <v>246</v>
      </c>
      <c r="D7" s="11" t="s">
        <v>17</v>
      </c>
      <c r="E7" s="13" t="s">
        <v>238</v>
      </c>
      <c r="F7" s="13" t="s">
        <v>27</v>
      </c>
      <c r="G7" s="12" t="s">
        <v>55</v>
      </c>
      <c r="H7" s="13" t="s">
        <v>18</v>
      </c>
      <c r="I7" s="13" t="s">
        <v>59</v>
      </c>
      <c r="J7" s="14" t="s">
        <v>19</v>
      </c>
      <c r="K7" s="12" t="s">
        <v>55</v>
      </c>
      <c r="L7" s="13" t="s">
        <v>18</v>
      </c>
      <c r="M7" s="13" t="s">
        <v>59</v>
      </c>
      <c r="N7" s="14" t="s">
        <v>19</v>
      </c>
      <c r="O7" s="9" t="s">
        <v>55</v>
      </c>
      <c r="P7" s="171" t="s">
        <v>18</v>
      </c>
      <c r="Q7" s="171" t="s">
        <v>59</v>
      </c>
      <c r="R7" s="11" t="s">
        <v>19</v>
      </c>
      <c r="S7" s="12" t="s">
        <v>55</v>
      </c>
      <c r="T7" s="13" t="s">
        <v>18</v>
      </c>
      <c r="U7" s="13" t="s">
        <v>59</v>
      </c>
      <c r="V7" s="13" t="s">
        <v>19</v>
      </c>
      <c r="W7" s="15"/>
    </row>
    <row r="8" spans="1:35" ht="15" thickTop="1" x14ac:dyDescent="0.35">
      <c r="B8" s="15">
        <v>2023</v>
      </c>
      <c r="C8" s="16" t="s">
        <v>237</v>
      </c>
      <c r="D8" s="205" t="str">
        <f>'Alimentation - Calcul'!B19</f>
        <v>végétarien</v>
      </c>
      <c r="E8" s="206">
        <f>'Alimentation - Calcul'!D19</f>
        <v>776959.95200000005</v>
      </c>
      <c r="F8" s="166" t="s">
        <v>235</v>
      </c>
      <c r="G8" s="233">
        <f ca="1">LOOKUP($W8,'Facteur émissions'!$B$39:$B$43,'Facteur émissions'!D$39:D$41)*$E8/1000</f>
        <v>0</v>
      </c>
      <c r="H8" s="297">
        <f ca="1">LOOKUP($W8,'Facteur émissions'!$B$39:$B$43,'Facteur émissions'!E$39:E$41)*$E8/1000</f>
        <v>0</v>
      </c>
      <c r="I8" s="297">
        <f ca="1">LOOKUP($W8,'Facteur émissions'!$B$39:$B$43,'Facteur émissions'!F$39:F$41)*$E8/1000</f>
        <v>0</v>
      </c>
      <c r="J8" s="115">
        <f ca="1">LOOKUP($W8,'Facteur émissions'!$B$39:$B$43,'Facteur émissions'!G$39:G$41)*$E8/1000</f>
        <v>0</v>
      </c>
      <c r="K8" s="233">
        <v>0</v>
      </c>
      <c r="L8" s="115">
        <v>0</v>
      </c>
      <c r="M8" s="115">
        <v>0</v>
      </c>
      <c r="N8" s="115">
        <v>0</v>
      </c>
      <c r="O8" s="233">
        <f>_xlfn.XLOOKUP($W8,'Facteur émissions'!$B$39:$B$43,'Facteur émissions'!L$39:L$43)*$E8/1000</f>
        <v>396.24957552000001</v>
      </c>
      <c r="P8" s="115">
        <f>_xlfn.XLOOKUP($W8,'Facteur émissions'!$B$39:$B$43,'Facteur émissions'!M$39:M$43)*$E8/1000</f>
        <v>0</v>
      </c>
      <c r="Q8" s="115">
        <f>_xlfn.XLOOKUP($W8,'Facteur émissions'!$B$39:$B$43,'Facteur émissions'!N$39:N$43)*$E8/1000</f>
        <v>0</v>
      </c>
      <c r="R8" s="115">
        <f>_xlfn.XLOOKUP($W8,'Facteur émissions'!$B$39:$B$43,'Facteur émissions'!O$39:O$43)*$E8/1000</f>
        <v>396.24957552000001</v>
      </c>
      <c r="S8" s="233">
        <f>_xlfn.XLOOKUP($W8,'Facteur émissions'!$B$39:$B$43,'Facteur émissions'!P$39:P$43)*$E8/1000</f>
        <v>396.24957552000001</v>
      </c>
      <c r="T8" s="297">
        <f>_xlfn.XLOOKUP($W8,'Facteur émissions'!$B$39:$B$43,'Facteur émissions'!Q$39:Q$43)*$E8/1000</f>
        <v>0</v>
      </c>
      <c r="U8" s="297">
        <f>_xlfn.XLOOKUP($W8,'Facteur émissions'!$B$39:$B$43,'Facteur émissions'!R$39:R$43)*$E8/1000</f>
        <v>0</v>
      </c>
      <c r="V8" s="359">
        <f>_xlfn.XLOOKUP($W8,'Facteur émissions'!$B$39:$B$43,'Facteur émissions'!S$39:S$43)*$E8/1000</f>
        <v>396.24957552000001</v>
      </c>
      <c r="W8" s="207" t="s">
        <v>232</v>
      </c>
    </row>
    <row r="9" spans="1:35" x14ac:dyDescent="0.35">
      <c r="B9" s="203">
        <v>2023</v>
      </c>
      <c r="C9" s="204"/>
      <c r="D9" s="205" t="str">
        <f>'Alimentation - Calcul'!B20</f>
        <v>viande blanche ou poisson</v>
      </c>
      <c r="E9" s="206">
        <f>'Alimentation - Calcul'!D20</f>
        <v>614745.26399999997</v>
      </c>
      <c r="F9" s="166" t="s">
        <v>235</v>
      </c>
      <c r="G9" s="231">
        <f ca="1">LOOKUP($W9,'Facteur émissions'!$B$39:$B$43,'Facteur émissions'!D$39:D$41)*$E9/1000</f>
        <v>0</v>
      </c>
      <c r="H9" s="115">
        <f ca="1">LOOKUP($W9,'Facteur émissions'!$B$39:$B$43,'Facteur émissions'!E$39:E$41)*$E9/1000</f>
        <v>0</v>
      </c>
      <c r="I9" s="115">
        <f ca="1">LOOKUP($W9,'Facteur émissions'!$B$39:$B$43,'Facteur émissions'!F$39:F$41)*$E9/1000</f>
        <v>0</v>
      </c>
      <c r="J9" s="115">
        <f ca="1">LOOKUP($W9,'Facteur émissions'!$B$39:$B$43,'Facteur émissions'!G$39:G$41)*$E9/1000</f>
        <v>0</v>
      </c>
      <c r="K9" s="231">
        <v>0</v>
      </c>
      <c r="L9" s="115">
        <v>0</v>
      </c>
      <c r="M9" s="115">
        <v>0</v>
      </c>
      <c r="N9" s="115">
        <v>0</v>
      </c>
      <c r="O9" s="231">
        <f>_xlfn.XLOOKUP($W9,'Facteur émissions'!$B$39:$B$43,'Facteur émissions'!L$39:L$43)*$E9/1000</f>
        <v>829.9061064</v>
      </c>
      <c r="P9" s="115">
        <f>_xlfn.XLOOKUP($W9,'Facteur émissions'!$B$39:$B$43,'Facteur émissions'!M$39:M$43)*$E9/1000</f>
        <v>0</v>
      </c>
      <c r="Q9" s="115">
        <f>_xlfn.XLOOKUP($W9,'Facteur émissions'!$B$39:$B$43,'Facteur émissions'!N$39:N$43)*$E9/1000</f>
        <v>0</v>
      </c>
      <c r="R9" s="115">
        <f>_xlfn.XLOOKUP($W9,'Facteur émissions'!$B$39:$B$43,'Facteur émissions'!O$39:O$43)*$E9/1000</f>
        <v>829.9061064</v>
      </c>
      <c r="S9" s="231">
        <f ca="1">G9+O9</f>
        <v>829.9061064</v>
      </c>
      <c r="T9" s="115">
        <f t="shared" ref="T9" ca="1" si="0">H9+P9</f>
        <v>0</v>
      </c>
      <c r="U9" s="115">
        <f t="shared" ref="U9" ca="1" si="1">I9+Q9</f>
        <v>0</v>
      </c>
      <c r="V9" s="359">
        <f t="shared" ref="V9" ca="1" si="2">J9+R9</f>
        <v>829.9061064</v>
      </c>
      <c r="W9" s="207" t="s">
        <v>233</v>
      </c>
    </row>
    <row r="10" spans="1:35" x14ac:dyDescent="0.35">
      <c r="B10" s="18">
        <v>2023</v>
      </c>
      <c r="C10" s="46"/>
      <c r="D10" s="205" t="str">
        <f>'Alimentation - Calcul'!B21</f>
        <v>viande rouge</v>
      </c>
      <c r="E10" s="206">
        <f>'Alimentation - Calcul'!D21</f>
        <v>263418.78399999999</v>
      </c>
      <c r="F10" s="166" t="s">
        <v>235</v>
      </c>
      <c r="G10" s="537">
        <f ca="1">LOOKUP($W10,'Facteur émissions'!$B$39:$B$43,'Facteur émissions'!D$39:D$41)*$E10/1000</f>
        <v>0</v>
      </c>
      <c r="H10" s="114">
        <f ca="1">LOOKUP($W10,'Facteur émissions'!$B$39:$B$43,'Facteur émissions'!E$39:E$41)*$E10/1000</f>
        <v>0</v>
      </c>
      <c r="I10" s="114">
        <f ca="1">LOOKUP($W10,'Facteur émissions'!$B$39:$B$43,'Facteur émissions'!F$39:F$41)*$E10/1000</f>
        <v>0</v>
      </c>
      <c r="J10" s="115">
        <f ca="1">LOOKUP($W10,'Facteur émissions'!$B$39:$B$43,'Facteur émissions'!G$39:G$41)*$E10/1000</f>
        <v>0</v>
      </c>
      <c r="K10" s="537">
        <v>0</v>
      </c>
      <c r="L10" s="114">
        <v>0</v>
      </c>
      <c r="M10" s="114">
        <v>0</v>
      </c>
      <c r="N10" s="114">
        <v>0</v>
      </c>
      <c r="O10" s="537">
        <f>_xlfn.XLOOKUP($W10,'Facteur émissions'!$B$39:$B$43,'Facteur émissions'!L$39:L$43)*$E10/1000</f>
        <v>1656.90415136</v>
      </c>
      <c r="P10" s="114">
        <f>_xlfn.XLOOKUP($W10,'Facteur émissions'!$B$39:$B$43,'Facteur émissions'!M$39:M$43)*$E10/1000</f>
        <v>0</v>
      </c>
      <c r="Q10" s="114">
        <f>_xlfn.XLOOKUP($W10,'Facteur émissions'!$B$39:$B$43,'Facteur émissions'!N$39:N$43)*$E10/1000</f>
        <v>0</v>
      </c>
      <c r="R10" s="114">
        <f>_xlfn.XLOOKUP($W10,'Facteur émissions'!$B$39:$B$43,'Facteur émissions'!O$39:O$43)*$E10/1000</f>
        <v>1656.90415136</v>
      </c>
      <c r="S10" s="537">
        <f ca="1">G10+O10</f>
        <v>1656.90415136</v>
      </c>
      <c r="T10" s="115">
        <f ca="1">H10+P10</f>
        <v>0</v>
      </c>
      <c r="U10" s="115">
        <f ca="1">I10+Q10</f>
        <v>0</v>
      </c>
      <c r="V10" s="538">
        <f ca="1">J10+R10</f>
        <v>1656.90415136</v>
      </c>
      <c r="W10" s="207" t="s">
        <v>234</v>
      </c>
    </row>
    <row r="11" spans="1:35" x14ac:dyDescent="0.35">
      <c r="B11" s="21" t="s">
        <v>23</v>
      </c>
      <c r="C11" s="22"/>
      <c r="D11" s="23"/>
      <c r="E11" s="24"/>
      <c r="F11" s="24"/>
      <c r="G11" s="61">
        <f t="shared" ref="G11:U11" ca="1" si="3">SUM(G10:G10)</f>
        <v>0</v>
      </c>
      <c r="H11" s="62">
        <f t="shared" ca="1" si="3"/>
        <v>0</v>
      </c>
      <c r="I11" s="62">
        <f t="shared" ca="1" si="3"/>
        <v>0</v>
      </c>
      <c r="J11" s="63">
        <f t="shared" ca="1" si="3"/>
        <v>0</v>
      </c>
      <c r="K11" s="156">
        <v>0</v>
      </c>
      <c r="L11" s="156">
        <v>0</v>
      </c>
      <c r="M11" s="156">
        <v>0</v>
      </c>
      <c r="N11" s="156">
        <v>0</v>
      </c>
      <c r="O11" s="152">
        <f>SUM(O8:O10)</f>
        <v>2883.05983328</v>
      </c>
      <c r="P11" s="153">
        <f t="shared" si="3"/>
        <v>0</v>
      </c>
      <c r="Q11" s="153">
        <f t="shared" si="3"/>
        <v>0</v>
      </c>
      <c r="R11" s="155">
        <f>SUM(R8:R10)</f>
        <v>2883.05983328</v>
      </c>
      <c r="S11" s="61">
        <f ca="1">SUM(S8:S10)</f>
        <v>2883.05983328</v>
      </c>
      <c r="T11" s="62">
        <f t="shared" ca="1" si="3"/>
        <v>0</v>
      </c>
      <c r="U11" s="62">
        <f t="shared" ca="1" si="3"/>
        <v>0</v>
      </c>
      <c r="V11" s="156">
        <f ca="1">SUM(V8:V10)</f>
        <v>2883.05983328</v>
      </c>
      <c r="W11" s="15"/>
    </row>
    <row r="12" spans="1:35" x14ac:dyDescent="0.35">
      <c r="B12" s="196" t="s">
        <v>24</v>
      </c>
      <c r="C12" s="197"/>
      <c r="D12" s="198"/>
      <c r="E12" s="199"/>
      <c r="F12" s="199"/>
      <c r="G12" s="565">
        <f t="shared" ref="G12:V12" ca="1" si="4">G11</f>
        <v>0</v>
      </c>
      <c r="H12" s="480">
        <f t="shared" ca="1" si="4"/>
        <v>0</v>
      </c>
      <c r="I12" s="480">
        <f t="shared" ca="1" si="4"/>
        <v>0</v>
      </c>
      <c r="J12" s="566">
        <f t="shared" ca="1" si="4"/>
        <v>0</v>
      </c>
      <c r="K12" s="565">
        <f t="shared" si="4"/>
        <v>0</v>
      </c>
      <c r="L12" s="480">
        <f t="shared" si="4"/>
        <v>0</v>
      </c>
      <c r="M12" s="480">
        <f t="shared" si="4"/>
        <v>0</v>
      </c>
      <c r="N12" s="566">
        <f t="shared" si="4"/>
        <v>0</v>
      </c>
      <c r="O12" s="565">
        <f t="shared" si="4"/>
        <v>2883.05983328</v>
      </c>
      <c r="P12" s="480">
        <f t="shared" si="4"/>
        <v>0</v>
      </c>
      <c r="Q12" s="480">
        <f t="shared" si="4"/>
        <v>0</v>
      </c>
      <c r="R12" s="566">
        <f t="shared" si="4"/>
        <v>2883.05983328</v>
      </c>
      <c r="S12" s="565">
        <f t="shared" ca="1" si="4"/>
        <v>2883.05983328</v>
      </c>
      <c r="T12" s="480">
        <f t="shared" ca="1" si="4"/>
        <v>0</v>
      </c>
      <c r="U12" s="480">
        <f t="shared" ca="1" si="4"/>
        <v>0</v>
      </c>
      <c r="V12" s="566">
        <f t="shared" ca="1" si="4"/>
        <v>2883.05983328</v>
      </c>
      <c r="W12" s="15"/>
    </row>
    <row r="14" spans="1:35" s="176" customFormat="1" x14ac:dyDescent="0.35">
      <c r="A14" s="195">
        <v>2019</v>
      </c>
    </row>
    <row r="16" spans="1:35" s="176" customFormat="1" x14ac:dyDescent="0.35">
      <c r="A16"/>
      <c r="B16"/>
      <c r="C16"/>
      <c r="D16"/>
      <c r="E16" s="20"/>
      <c r="F16" s="19"/>
      <c r="G16" s="574" t="s">
        <v>523</v>
      </c>
      <c r="H16" s="575"/>
      <c r="I16" s="575"/>
      <c r="J16" s="576"/>
      <c r="K16" s="574" t="s">
        <v>520</v>
      </c>
      <c r="L16" s="575"/>
      <c r="M16" s="575"/>
      <c r="N16" s="576"/>
      <c r="O16" s="574" t="s">
        <v>547</v>
      </c>
      <c r="P16" s="575"/>
      <c r="Q16" s="575"/>
      <c r="R16" s="576"/>
      <c r="S16" s="574" t="s">
        <v>522</v>
      </c>
      <c r="T16" s="575"/>
      <c r="U16" s="575"/>
      <c r="V16" s="575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2:23" ht="15" thickBot="1" x14ac:dyDescent="0.4">
      <c r="B17" s="9" t="s">
        <v>16</v>
      </c>
      <c r="C17" s="10" t="s">
        <v>246</v>
      </c>
      <c r="D17" s="11" t="s">
        <v>17</v>
      </c>
      <c r="E17" s="13" t="s">
        <v>238</v>
      </c>
      <c r="F17" s="13" t="s">
        <v>27</v>
      </c>
      <c r="G17" s="12" t="s">
        <v>55</v>
      </c>
      <c r="H17" s="13" t="s">
        <v>18</v>
      </c>
      <c r="I17" s="13" t="s">
        <v>59</v>
      </c>
      <c r="J17" s="14" t="s">
        <v>19</v>
      </c>
      <c r="K17" s="12" t="s">
        <v>55</v>
      </c>
      <c r="L17" s="13" t="s">
        <v>18</v>
      </c>
      <c r="M17" s="13" t="s">
        <v>59</v>
      </c>
      <c r="N17" s="14" t="s">
        <v>19</v>
      </c>
      <c r="O17" s="12" t="s">
        <v>55</v>
      </c>
      <c r="P17" s="13" t="s">
        <v>18</v>
      </c>
      <c r="Q17" s="13" t="s">
        <v>59</v>
      </c>
      <c r="R17" s="14" t="s">
        <v>19</v>
      </c>
      <c r="S17" s="12" t="s">
        <v>55</v>
      </c>
      <c r="T17" s="13" t="s">
        <v>18</v>
      </c>
      <c r="U17" s="13" t="s">
        <v>59</v>
      </c>
      <c r="V17" s="13" t="s">
        <v>19</v>
      </c>
      <c r="W17" s="15"/>
    </row>
    <row r="18" spans="2:23" ht="15" thickTop="1" x14ac:dyDescent="0.35">
      <c r="B18" s="203">
        <v>2019</v>
      </c>
      <c r="C18" s="204"/>
      <c r="D18" s="205" t="str">
        <f>D8</f>
        <v>végétarien</v>
      </c>
      <c r="E18" s="206">
        <f>'Alimentation - Calcul'!D26</f>
        <v>710022.34392529377</v>
      </c>
      <c r="F18" s="166" t="s">
        <v>235</v>
      </c>
      <c r="G18" s="55">
        <f ca="1">LOOKUP($W18,'Facteur émissions'!$B$39:$B$43,'Facteur émissions'!D$39:D$41)*$E18/1000</f>
        <v>0</v>
      </c>
      <c r="H18" s="56">
        <f ca="1">LOOKUP($W18,'Facteur émissions'!$B$39:$B$43,'Facteur émissions'!E$39:E$41)*$E18/1000</f>
        <v>0</v>
      </c>
      <c r="I18" s="56">
        <f ca="1">LOOKUP($W18,'Facteur émissions'!$B$39:$B$43,'Facteur émissions'!F$39:F$41)*$E18/1000</f>
        <v>0</v>
      </c>
      <c r="J18" s="52">
        <f ca="1">LOOKUP($W18,'Facteur émissions'!$B$39:$B$43,'Facteur émissions'!G$39:G$41)*$E18/1000</f>
        <v>0</v>
      </c>
      <c r="K18" s="55">
        <v>0</v>
      </c>
      <c r="L18" s="52">
        <v>0</v>
      </c>
      <c r="M18" s="52">
        <v>0</v>
      </c>
      <c r="N18" s="52">
        <v>0</v>
      </c>
      <c r="O18" s="55">
        <f>_xlfn.XLOOKUP($W18,'Facteur émissions'!$B$39:$B$43,'Facteur émissions'!L$39:L$43)*$E18/1000</f>
        <v>362.11139540189981</v>
      </c>
      <c r="P18" s="52">
        <f>_xlfn.XLOOKUP($W18,'Facteur émissions'!$B$39:$B$43,'Facteur émissions'!M$39:M$43)*$E18/1000</f>
        <v>0</v>
      </c>
      <c r="Q18" s="52">
        <f>_xlfn.XLOOKUP($W18,'Facteur émissions'!$B$39:$B$43,'Facteur émissions'!N$39:N$43)*$E18/1000</f>
        <v>0</v>
      </c>
      <c r="R18" s="52">
        <f>_xlfn.XLOOKUP($W18,'Facteur émissions'!$B$39:$B$43,'Facteur émissions'!O$39:O$43)*$E18/1000</f>
        <v>362.11139540189981</v>
      </c>
      <c r="S18" s="55">
        <f>_xlfn.XLOOKUP($W18,'Facteur émissions'!$B$39:$B$43,'Facteur émissions'!P$39:P$43)*$E18/1000</f>
        <v>362.11139540189981</v>
      </c>
      <c r="T18" s="56">
        <f>_xlfn.XLOOKUP($W18,'Facteur émissions'!$B$39:$B$43,'Facteur émissions'!Q$39:Q$43)*$E18/1000</f>
        <v>0</v>
      </c>
      <c r="U18" s="56">
        <f>_xlfn.XLOOKUP($W18,'Facteur émissions'!$B$39:$B$43,'Facteur émissions'!R$39:R$43)*$E18/1000</f>
        <v>0</v>
      </c>
      <c r="V18" s="392">
        <f>_xlfn.XLOOKUP($W18,'Facteur émissions'!$B$39:$B$43,'Facteur émissions'!S$39:S$43)*$E18/1000</f>
        <v>362.11139540189981</v>
      </c>
      <c r="W18" s="207" t="s">
        <v>232</v>
      </c>
    </row>
    <row r="19" spans="2:23" x14ac:dyDescent="0.35">
      <c r="B19" s="203">
        <v>2019</v>
      </c>
      <c r="C19" s="204"/>
      <c r="D19" s="205" t="str">
        <f>D9</f>
        <v>viande blanche ou poisson</v>
      </c>
      <c r="E19" s="206">
        <f>'Alimentation - Calcul'!D27</f>
        <v>561782.97496375139</v>
      </c>
      <c r="F19" s="166" t="s">
        <v>235</v>
      </c>
      <c r="G19" s="48">
        <f ca="1">LOOKUP($W19,'Facteur émissions'!$B$39:$B$43,'Facteur émissions'!D$39:D$41)*$E19/1000</f>
        <v>0</v>
      </c>
      <c r="H19" s="52">
        <f ca="1">LOOKUP($W19,'Facteur émissions'!$B$39:$B$43,'Facteur émissions'!E$39:E$41)*$E19/1000</f>
        <v>0</v>
      </c>
      <c r="I19" s="52">
        <f ca="1">LOOKUP($W19,'Facteur émissions'!$B$39:$B$43,'Facteur émissions'!F$39:F$41)*$E19/1000</f>
        <v>0</v>
      </c>
      <c r="J19" s="52">
        <f ca="1">LOOKUP($W19,'Facteur émissions'!$B$39:$B$43,'Facteur émissions'!G$39:G$41)*$E19/1000</f>
        <v>0</v>
      </c>
      <c r="K19" s="48">
        <v>0</v>
      </c>
      <c r="L19" s="52">
        <v>0</v>
      </c>
      <c r="M19" s="52"/>
      <c r="N19" s="52">
        <v>0</v>
      </c>
      <c r="O19" s="48">
        <f>_xlfn.XLOOKUP($W19,'Facteur émissions'!$B$39:$B$43,'Facteur émissions'!L$39:L$43)*$E19/1000</f>
        <v>758.40701620106449</v>
      </c>
      <c r="P19" s="52">
        <f>_xlfn.XLOOKUP($W19,'Facteur émissions'!$B$39:$B$43,'Facteur émissions'!M$39:M$43)*$E19/1000</f>
        <v>0</v>
      </c>
      <c r="Q19" s="52">
        <f>_xlfn.XLOOKUP($W19,'Facteur émissions'!$B$39:$B$43,'Facteur émissions'!N$39:N$43)*$E19/1000</f>
        <v>0</v>
      </c>
      <c r="R19" s="52">
        <f>_xlfn.XLOOKUP($W19,'Facteur émissions'!$B$39:$B$43,'Facteur émissions'!O$39:O$43)*$E19/1000</f>
        <v>758.40701620106449</v>
      </c>
      <c r="S19" s="48">
        <f ca="1">G19+O19</f>
        <v>758.40701620106449</v>
      </c>
      <c r="T19" s="52">
        <f t="shared" ref="T19" ca="1" si="5">H19+P19</f>
        <v>0</v>
      </c>
      <c r="U19" s="52">
        <f t="shared" ref="U19" ca="1" si="6">I19+Q19</f>
        <v>0</v>
      </c>
      <c r="V19" s="49">
        <f t="shared" ref="V19" ca="1" si="7">J19+R19</f>
        <v>758.40701620106449</v>
      </c>
      <c r="W19" s="207" t="s">
        <v>233</v>
      </c>
    </row>
    <row r="20" spans="2:23" x14ac:dyDescent="0.35">
      <c r="B20" s="15">
        <v>2019</v>
      </c>
      <c r="C20" s="16"/>
      <c r="D20" s="205" t="str">
        <f>D10</f>
        <v>viande rouge</v>
      </c>
      <c r="E20" s="206">
        <f>'Alimentation - Calcul'!D28</f>
        <v>240724.40538045988</v>
      </c>
      <c r="F20" s="166" t="s">
        <v>235</v>
      </c>
      <c r="G20" s="53">
        <f ca="1">LOOKUP($W20,'Facteur émissions'!$B$39:$B$43,'Facteur émissions'!D$39:D$41)*$E20/1000</f>
        <v>0</v>
      </c>
      <c r="H20" s="54">
        <f ca="1">LOOKUP($W20,'Facteur émissions'!$B$39:$B$43,'Facteur émissions'!E$39:E$41)*$E20/1000</f>
        <v>0</v>
      </c>
      <c r="I20" s="54">
        <f ca="1">LOOKUP($W20,'Facteur émissions'!$B$39:$B$43,'Facteur émissions'!F$39:F$41)*$E20/1000</f>
        <v>0</v>
      </c>
      <c r="J20" s="52">
        <f ca="1">LOOKUP($W20,'Facteur émissions'!$B$39:$B$43,'Facteur émissions'!G$39:G$41)*$E20/1000</f>
        <v>0</v>
      </c>
      <c r="K20" s="53">
        <v>0</v>
      </c>
      <c r="L20" s="54">
        <v>0</v>
      </c>
      <c r="M20" s="54">
        <v>0</v>
      </c>
      <c r="N20" s="54">
        <v>0</v>
      </c>
      <c r="O20" s="53">
        <f>_xlfn.XLOOKUP($W20,'Facteur émissions'!$B$39:$B$43,'Facteur émissions'!L$39:L$43)*$E20/1000</f>
        <v>1514.1565098430926</v>
      </c>
      <c r="P20" s="54">
        <f>_xlfn.XLOOKUP($W20,'Facteur émissions'!$B$39:$B$43,'Facteur émissions'!M$39:M$43)*$E20/1000</f>
        <v>0</v>
      </c>
      <c r="Q20" s="54">
        <f>_xlfn.XLOOKUP($W20,'Facteur émissions'!$B$39:$B$43,'Facteur émissions'!N$39:N$43)*$E20/1000</f>
        <v>0</v>
      </c>
      <c r="R20" s="54">
        <f>_xlfn.XLOOKUP($W20,'Facteur émissions'!$B$39:$B$43,'Facteur émissions'!O$39:O$43)*$E20/1000</f>
        <v>1514.1565098430926</v>
      </c>
      <c r="S20" s="53">
        <f ca="1">G20+O20</f>
        <v>1514.1565098430926</v>
      </c>
      <c r="T20" s="54">
        <f ca="1">H20+P20</f>
        <v>0</v>
      </c>
      <c r="U20" s="54">
        <f ca="1">I20+Q20</f>
        <v>0</v>
      </c>
      <c r="V20" s="160">
        <f ca="1">J20+R20</f>
        <v>1514.1565098430926</v>
      </c>
      <c r="W20" s="207" t="s">
        <v>234</v>
      </c>
    </row>
    <row r="21" spans="2:23" x14ac:dyDescent="0.35">
      <c r="B21" s="21" t="s">
        <v>23</v>
      </c>
      <c r="C21" s="22"/>
      <c r="D21" s="23"/>
      <c r="E21" s="24"/>
      <c r="F21" s="24"/>
      <c r="G21" s="61">
        <f t="shared" ref="G21:J21" ca="1" si="8">SUM(G20:G20)</f>
        <v>0</v>
      </c>
      <c r="H21" s="62">
        <f t="shared" ca="1" si="8"/>
        <v>0</v>
      </c>
      <c r="I21" s="62">
        <f t="shared" ca="1" si="8"/>
        <v>0</v>
      </c>
      <c r="J21" s="63">
        <f t="shared" ca="1" si="8"/>
        <v>0</v>
      </c>
      <c r="K21" s="156">
        <v>0</v>
      </c>
      <c r="L21" s="156">
        <v>0</v>
      </c>
      <c r="M21" s="156">
        <v>0</v>
      </c>
      <c r="N21" s="156">
        <v>0</v>
      </c>
      <c r="O21" s="152">
        <f>SUM(O18:O20)</f>
        <v>2634.6749214460569</v>
      </c>
      <c r="P21" s="153">
        <f t="shared" ref="P21:U21" si="9">SUM(P20:P20)</f>
        <v>0</v>
      </c>
      <c r="Q21" s="153">
        <f t="shared" si="9"/>
        <v>0</v>
      </c>
      <c r="R21" s="155">
        <f>SUM(R18:R20)</f>
        <v>2634.6749214460569</v>
      </c>
      <c r="S21" s="61">
        <f t="shared" ca="1" si="9"/>
        <v>1514.1565098430926</v>
      </c>
      <c r="T21" s="62">
        <f t="shared" ca="1" si="9"/>
        <v>0</v>
      </c>
      <c r="U21" s="62">
        <f t="shared" ca="1" si="9"/>
        <v>0</v>
      </c>
      <c r="V21" s="65">
        <f ca="1">SUM(V18:V20)</f>
        <v>2634.6749214460569</v>
      </c>
      <c r="W21" s="15"/>
    </row>
    <row r="22" spans="2:23" x14ac:dyDescent="0.35">
      <c r="B22" s="196" t="s">
        <v>24</v>
      </c>
      <c r="C22" s="197"/>
      <c r="D22" s="198"/>
      <c r="E22" s="199"/>
      <c r="F22" s="199"/>
      <c r="G22" s="565">
        <f t="shared" ref="G22:V22" ca="1" si="10">G21</f>
        <v>0</v>
      </c>
      <c r="H22" s="480">
        <f t="shared" ca="1" si="10"/>
        <v>0</v>
      </c>
      <c r="I22" s="480">
        <f t="shared" ca="1" si="10"/>
        <v>0</v>
      </c>
      <c r="J22" s="566">
        <f t="shared" ca="1" si="10"/>
        <v>0</v>
      </c>
      <c r="K22" s="565">
        <f t="shared" si="10"/>
        <v>0</v>
      </c>
      <c r="L22" s="480">
        <f t="shared" si="10"/>
        <v>0</v>
      </c>
      <c r="M22" s="480">
        <f t="shared" si="10"/>
        <v>0</v>
      </c>
      <c r="N22" s="566">
        <f t="shared" si="10"/>
        <v>0</v>
      </c>
      <c r="O22" s="565">
        <f t="shared" si="10"/>
        <v>2634.6749214460569</v>
      </c>
      <c r="P22" s="480">
        <f t="shared" si="10"/>
        <v>0</v>
      </c>
      <c r="Q22" s="480">
        <f t="shared" si="10"/>
        <v>0</v>
      </c>
      <c r="R22" s="566">
        <f t="shared" si="10"/>
        <v>2634.6749214460569</v>
      </c>
      <c r="S22" s="565">
        <f t="shared" ca="1" si="10"/>
        <v>1514.1565098430926</v>
      </c>
      <c r="T22" s="480">
        <f t="shared" ca="1" si="10"/>
        <v>0</v>
      </c>
      <c r="U22" s="480">
        <f t="shared" ca="1" si="10"/>
        <v>0</v>
      </c>
      <c r="V22" s="566">
        <f t="shared" ca="1" si="10"/>
        <v>2634.6749214460569</v>
      </c>
      <c r="W22" s="15"/>
    </row>
    <row r="27" spans="2:23" x14ac:dyDescent="0.35">
      <c r="Q27" s="28"/>
    </row>
    <row r="29" spans="2:23" x14ac:dyDescent="0.35">
      <c r="S29" s="28"/>
    </row>
  </sheetData>
  <sheetProtection algorithmName="SHA-512" hashValue="Eyhobe9quNLz1dqYCVofJ5amkQuSaOKIvztCLFFISw7cv15e6LZq2B16p8UTlz/FwE1jPUKVkxeWYvbxnxfV5g==" saltValue="kKx73ARG/zDmh2vN7IOipw==" spinCount="100000" sheet="1" objects="1" scenarios="1"/>
  <mergeCells count="8">
    <mergeCell ref="G16:J16"/>
    <mergeCell ref="O16:R16"/>
    <mergeCell ref="S16:V16"/>
    <mergeCell ref="G6:J6"/>
    <mergeCell ref="O6:R6"/>
    <mergeCell ref="S6:V6"/>
    <mergeCell ref="K6:N6"/>
    <mergeCell ref="K16:N16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1F7BB-79D4-4AFD-81ED-FE33C8F7AC00}">
  <sheetPr codeName="Feuil16">
    <tabColor rgb="FF7030A0"/>
  </sheetPr>
  <dimension ref="B3:V37"/>
  <sheetViews>
    <sheetView topLeftCell="A5" workbookViewId="0">
      <selection activeCell="L25" sqref="L25"/>
    </sheetView>
  </sheetViews>
  <sheetFormatPr baseColWidth="10" defaultRowHeight="14.5" x14ac:dyDescent="0.35"/>
  <cols>
    <col min="2" max="2" width="28.7265625" customWidth="1"/>
    <col min="3" max="3" width="12.54296875" customWidth="1"/>
    <col min="4" max="4" width="12.81640625" customWidth="1"/>
    <col min="5" max="5" width="12.1796875" customWidth="1"/>
    <col min="6" max="6" width="15.1796875" customWidth="1"/>
    <col min="7" max="7" width="25.90625" customWidth="1"/>
    <col min="10" max="10" width="24.54296875" customWidth="1"/>
    <col min="11" max="11" width="31.6328125" customWidth="1"/>
    <col min="12" max="12" width="29.7265625" customWidth="1"/>
  </cols>
  <sheetData>
    <row r="3" spans="2:22" s="182" customFormat="1" ht="31" x14ac:dyDescent="0.7">
      <c r="B3" s="340" t="s">
        <v>229</v>
      </c>
    </row>
    <row r="7" spans="2:22" s="187" customFormat="1" x14ac:dyDescent="0.35">
      <c r="B7" s="201">
        <v>2023</v>
      </c>
    </row>
    <row r="8" spans="2:22" s="29" customFormat="1" x14ac:dyDescent="0.35">
      <c r="B8" s="381"/>
    </row>
    <row r="9" spans="2:22" s="29" customFormat="1" x14ac:dyDescent="0.35">
      <c r="B9" s="382" t="s">
        <v>457</v>
      </c>
      <c r="C9" s="388" t="s">
        <v>459</v>
      </c>
      <c r="D9" s="388" t="s">
        <v>460</v>
      </c>
      <c r="E9" s="385" t="s">
        <v>463</v>
      </c>
      <c r="F9" s="385" t="s">
        <v>605</v>
      </c>
      <c r="G9" s="385" t="s">
        <v>608</v>
      </c>
    </row>
    <row r="10" spans="2:22" s="29" customFormat="1" x14ac:dyDescent="0.35">
      <c r="B10" s="384" t="s">
        <v>458</v>
      </c>
      <c r="C10" s="387">
        <v>0.35599999999999998</v>
      </c>
      <c r="D10" s="387">
        <v>0.14000000000000001</v>
      </c>
      <c r="E10" s="387">
        <f>AVERAGE(C10,D10)</f>
        <v>0.248</v>
      </c>
      <c r="F10" s="387">
        <v>0.9</v>
      </c>
      <c r="G10" s="387">
        <f>E10</f>
        <v>0.248</v>
      </c>
    </row>
    <row r="11" spans="2:22" x14ac:dyDescent="0.35">
      <c r="B11" s="200" t="s">
        <v>461</v>
      </c>
      <c r="C11" s="308">
        <v>0.33400000000000002</v>
      </c>
      <c r="D11" s="308">
        <f>1-D10-D12</f>
        <v>0.68799999999999994</v>
      </c>
      <c r="E11" s="387">
        <f t="shared" ref="E11" si="0">AVERAGE(C11,D11)</f>
        <v>0.51100000000000001</v>
      </c>
      <c r="F11" s="308">
        <v>0.1</v>
      </c>
      <c r="G11" s="387">
        <f t="shared" ref="G11:G12" si="1">E11</f>
        <v>0.51100000000000001</v>
      </c>
      <c r="T11" s="4"/>
    </row>
    <row r="12" spans="2:22" x14ac:dyDescent="0.35">
      <c r="B12" s="200" t="s">
        <v>286</v>
      </c>
      <c r="C12" s="308">
        <f>17.5%+14.1%</f>
        <v>0.31599999999999995</v>
      </c>
      <c r="D12" s="308">
        <f>20%*(1-D10)</f>
        <v>0.17200000000000001</v>
      </c>
      <c r="E12" s="387">
        <f>1-E11-E10</f>
        <v>0.24099999999999999</v>
      </c>
      <c r="F12">
        <v>0</v>
      </c>
      <c r="G12" s="387">
        <f t="shared" si="1"/>
        <v>0.24099999999999999</v>
      </c>
      <c r="L12" s="200"/>
      <c r="M12" s="76"/>
      <c r="T12" s="308"/>
      <c r="U12" s="1"/>
    </row>
    <row r="13" spans="2:22" x14ac:dyDescent="0.35">
      <c r="C13" s="386"/>
      <c r="L13" s="200"/>
      <c r="M13" s="309"/>
      <c r="N13" s="1"/>
      <c r="T13" s="308"/>
      <c r="U13" s="1"/>
    </row>
    <row r="14" spans="2:22" x14ac:dyDescent="0.35">
      <c r="J14" s="515" t="s">
        <v>611</v>
      </c>
      <c r="K14" s="515"/>
      <c r="L14" s="515">
        <f xml:space="preserve"> SUMPRODUCT(J19:J21,'Facteur émissions'!S39:S41)/1000</f>
        <v>3860.1132952799999</v>
      </c>
      <c r="M14" s="515"/>
      <c r="N14" s="29"/>
      <c r="R14" s="110"/>
    </row>
    <row r="15" spans="2:22" x14ac:dyDescent="0.35">
      <c r="B15" s="385" t="s">
        <v>230</v>
      </c>
      <c r="C15" s="383"/>
      <c r="D15" s="388" t="s">
        <v>462</v>
      </c>
      <c r="E15" s="385" t="s">
        <v>464</v>
      </c>
      <c r="F15" s="385" t="s">
        <v>604</v>
      </c>
      <c r="J15" s="515" t="s">
        <v>612</v>
      </c>
      <c r="K15" s="515"/>
      <c r="L15" s="515">
        <f ca="1">L14 - 'Alimentation - Emission'!V11</f>
        <v>977.05346199999985</v>
      </c>
      <c r="M15" s="515" t="s">
        <v>146</v>
      </c>
      <c r="R15" s="110"/>
      <c r="T15" s="4"/>
    </row>
    <row r="16" spans="2:22" x14ac:dyDescent="0.35">
      <c r="D16" s="82">
        <f>3750859-2095735</f>
        <v>1655124</v>
      </c>
      <c r="E16" s="82">
        <f>D16-F16</f>
        <v>1093024</v>
      </c>
      <c r="F16">
        <v>562100</v>
      </c>
      <c r="L16" s="200"/>
      <c r="M16" s="76"/>
      <c r="N16" s="1"/>
      <c r="U16" s="76"/>
      <c r="V16" s="1"/>
    </row>
    <row r="17" spans="2:22" x14ac:dyDescent="0.35">
      <c r="J17" s="513" t="s">
        <v>609</v>
      </c>
      <c r="L17" s="200"/>
      <c r="M17" s="38"/>
      <c r="U17" s="76"/>
      <c r="V17" s="1"/>
    </row>
    <row r="18" spans="2:22" x14ac:dyDescent="0.35">
      <c r="B18" s="385" t="s">
        <v>465</v>
      </c>
      <c r="C18" s="383"/>
      <c r="D18" s="385" t="s">
        <v>462</v>
      </c>
      <c r="E18" s="385" t="s">
        <v>464</v>
      </c>
      <c r="F18" s="385" t="s">
        <v>604</v>
      </c>
      <c r="J18" s="514" t="s">
        <v>462</v>
      </c>
      <c r="K18" s="514" t="s">
        <v>610</v>
      </c>
      <c r="L18" s="200"/>
      <c r="M18" s="38"/>
    </row>
    <row r="19" spans="2:22" x14ac:dyDescent="0.35">
      <c r="B19" s="384" t="s">
        <v>458</v>
      </c>
      <c r="D19" s="38">
        <f>E19+F19</f>
        <v>776959.95200000005</v>
      </c>
      <c r="E19" s="38">
        <f>E$16*E10</f>
        <v>271069.95199999999</v>
      </c>
      <c r="F19">
        <f>F$16*F10</f>
        <v>505890</v>
      </c>
      <c r="J19" s="515">
        <f>K19+E19</f>
        <v>410470.75199999998</v>
      </c>
      <c r="K19" s="515">
        <f>G10*F$16</f>
        <v>139400.79999999999</v>
      </c>
      <c r="L19" s="200"/>
      <c r="M19" s="38"/>
    </row>
    <row r="20" spans="2:22" x14ac:dyDescent="0.35">
      <c r="B20" s="200" t="s">
        <v>461</v>
      </c>
      <c r="D20" s="38">
        <f t="shared" ref="D20:D21" si="2">E20+F20</f>
        <v>614745.26399999997</v>
      </c>
      <c r="E20" s="38">
        <f t="shared" ref="E20:F21" si="3">E$16*E11</f>
        <v>558535.26399999997</v>
      </c>
      <c r="F20">
        <f t="shared" si="3"/>
        <v>56210</v>
      </c>
      <c r="J20" s="515">
        <f t="shared" ref="J20:J21" si="4">K20+E20</f>
        <v>845768.36399999994</v>
      </c>
      <c r="K20" s="515">
        <f>G11*F$16</f>
        <v>287233.09999999998</v>
      </c>
      <c r="L20" s="200"/>
      <c r="M20" s="38"/>
    </row>
    <row r="21" spans="2:22" x14ac:dyDescent="0.35">
      <c r="B21" s="200" t="s">
        <v>286</v>
      </c>
      <c r="D21" s="38">
        <f t="shared" si="2"/>
        <v>263418.78399999999</v>
      </c>
      <c r="E21" s="38">
        <f t="shared" si="3"/>
        <v>263418.78399999999</v>
      </c>
      <c r="F21">
        <f t="shared" si="3"/>
        <v>0</v>
      </c>
      <c r="J21" s="515">
        <f t="shared" si="4"/>
        <v>398884.88399999996</v>
      </c>
      <c r="K21" s="515">
        <f>G12*F$16</f>
        <v>135466.1</v>
      </c>
    </row>
    <row r="23" spans="2:22" s="187" customFormat="1" x14ac:dyDescent="0.35">
      <c r="B23" s="201">
        <v>2019</v>
      </c>
    </row>
    <row r="25" spans="2:22" x14ac:dyDescent="0.35">
      <c r="B25" s="385" t="s">
        <v>465</v>
      </c>
      <c r="C25" s="383"/>
      <c r="D25" s="385" t="s">
        <v>462</v>
      </c>
      <c r="E25" s="385" t="s">
        <v>464</v>
      </c>
      <c r="F25" s="385" t="s">
        <v>604</v>
      </c>
    </row>
    <row r="26" spans="2:22" x14ac:dyDescent="0.35">
      <c r="B26" s="384" t="s">
        <v>458</v>
      </c>
      <c r="D26" s="38">
        <f>E26+F26</f>
        <v>710022.34392529377</v>
      </c>
      <c r="E26" s="38">
        <f t="shared" ref="E26:E28" si="5">E19*EPT_2019/EPT_2023</f>
        <v>247716.4005574857</v>
      </c>
      <c r="F26" s="38">
        <f>F19*EPT_2019/EPT_2023</f>
        <v>462305.94336780801</v>
      </c>
    </row>
    <row r="27" spans="2:22" x14ac:dyDescent="0.35">
      <c r="B27" s="200" t="s">
        <v>461</v>
      </c>
      <c r="D27" s="38">
        <f t="shared" ref="D27:D28" si="6">E27+F27</f>
        <v>561782.97496375139</v>
      </c>
      <c r="E27" s="38">
        <f t="shared" si="5"/>
        <v>510415.6479228838</v>
      </c>
      <c r="F27" s="38">
        <f>F20*EPT_2019/EPT_2023</f>
        <v>51367.32704086756</v>
      </c>
    </row>
    <row r="28" spans="2:22" x14ac:dyDescent="0.35">
      <c r="B28" s="200" t="s">
        <v>286</v>
      </c>
      <c r="D28" s="38">
        <f t="shared" si="6"/>
        <v>240724.40538045988</v>
      </c>
      <c r="E28" s="38">
        <f t="shared" si="5"/>
        <v>240724.40538045988</v>
      </c>
      <c r="F28" s="38">
        <f>F21*EPT_2019/EPT_2023</f>
        <v>0</v>
      </c>
    </row>
    <row r="29" spans="2:22" x14ac:dyDescent="0.35">
      <c r="J29" s="166"/>
      <c r="K29" s="166"/>
    </row>
    <row r="30" spans="2:22" x14ac:dyDescent="0.35">
      <c r="J30" s="166"/>
      <c r="K30" s="166"/>
    </row>
    <row r="31" spans="2:22" x14ac:dyDescent="0.35">
      <c r="J31" s="389"/>
      <c r="K31" s="390"/>
    </row>
    <row r="32" spans="2:22" x14ac:dyDescent="0.35">
      <c r="J32" s="389"/>
      <c r="K32" s="390"/>
    </row>
    <row r="33" spans="10:11" x14ac:dyDescent="0.35">
      <c r="J33" s="389"/>
      <c r="K33" s="390"/>
    </row>
    <row r="34" spans="10:11" x14ac:dyDescent="0.35">
      <c r="J34" s="389"/>
      <c r="K34" s="390"/>
    </row>
    <row r="35" spans="10:11" x14ac:dyDescent="0.35">
      <c r="J35" s="389"/>
      <c r="K35" s="390"/>
    </row>
    <row r="36" spans="10:11" x14ac:dyDescent="0.35">
      <c r="J36" s="389"/>
      <c r="K36" s="390"/>
    </row>
    <row r="37" spans="10:11" x14ac:dyDescent="0.35">
      <c r="J37" s="389"/>
      <c r="K37" s="391"/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ACEC-A62F-4551-9DBB-CBB759D85B54}">
  <sheetPr codeName="Feuil17">
    <tabColor rgb="FF7030A0"/>
  </sheetPr>
  <dimension ref="A2:AI19"/>
  <sheetViews>
    <sheetView topLeftCell="D1" workbookViewId="0">
      <selection activeCell="G15" sqref="G15:V15"/>
    </sheetView>
  </sheetViews>
  <sheetFormatPr baseColWidth="10" defaultRowHeight="14.5" x14ac:dyDescent="0.35"/>
  <cols>
    <col min="3" max="3" width="34.453125" customWidth="1"/>
    <col min="4" max="4" width="37.54296875" customWidth="1"/>
    <col min="5" max="6" width="37.54296875" hidden="1" customWidth="1"/>
  </cols>
  <sheetData>
    <row r="2" spans="1:35" s="182" customFormat="1" ht="26" x14ac:dyDescent="0.6">
      <c r="B2" s="194" t="s">
        <v>185</v>
      </c>
    </row>
    <row r="5" spans="1:35" s="176" customFormat="1" x14ac:dyDescent="0.35">
      <c r="A5" s="195">
        <v>2023</v>
      </c>
    </row>
    <row r="6" spans="1:35" x14ac:dyDescent="0.35">
      <c r="C6" s="8"/>
    </row>
    <row r="7" spans="1:35" x14ac:dyDescent="0.35">
      <c r="G7" s="574" t="s">
        <v>523</v>
      </c>
      <c r="H7" s="575"/>
      <c r="I7" s="575"/>
      <c r="J7" s="576"/>
      <c r="K7" s="574" t="s">
        <v>520</v>
      </c>
      <c r="L7" s="575"/>
      <c r="M7" s="575"/>
      <c r="N7" s="576"/>
      <c r="O7" s="574" t="s">
        <v>547</v>
      </c>
      <c r="P7" s="575"/>
      <c r="Q7" s="575"/>
      <c r="R7" s="576"/>
      <c r="S7" s="574" t="s">
        <v>522</v>
      </c>
      <c r="T7" s="575"/>
      <c r="U7" s="575"/>
      <c r="V7" s="575"/>
    </row>
    <row r="8" spans="1:35" ht="15" thickBot="1" x14ac:dyDescent="0.4">
      <c r="B8" s="9" t="s">
        <v>16</v>
      </c>
      <c r="C8" s="10" t="s">
        <v>246</v>
      </c>
      <c r="D8" s="11" t="s">
        <v>17</v>
      </c>
      <c r="E8" s="13"/>
      <c r="F8" s="13"/>
      <c r="G8" s="12" t="s">
        <v>55</v>
      </c>
      <c r="H8" s="13" t="s">
        <v>18</v>
      </c>
      <c r="I8" s="13" t="s">
        <v>59</v>
      </c>
      <c r="J8" s="220" t="s">
        <v>19</v>
      </c>
      <c r="K8" s="12" t="s">
        <v>55</v>
      </c>
      <c r="L8" s="13" t="s">
        <v>18</v>
      </c>
      <c r="M8" s="13" t="s">
        <v>59</v>
      </c>
      <c r="N8" s="220" t="s">
        <v>19</v>
      </c>
      <c r="O8" s="12" t="s">
        <v>55</v>
      </c>
      <c r="P8" s="13" t="s">
        <v>18</v>
      </c>
      <c r="Q8" s="13" t="s">
        <v>59</v>
      </c>
      <c r="R8" s="220" t="s">
        <v>19</v>
      </c>
      <c r="S8" s="12" t="s">
        <v>55</v>
      </c>
      <c r="T8" s="13" t="s">
        <v>18</v>
      </c>
      <c r="U8" s="13" t="s">
        <v>59</v>
      </c>
      <c r="V8" s="220" t="s">
        <v>19</v>
      </c>
    </row>
    <row r="9" spans="1:35" ht="15" thickTop="1" x14ac:dyDescent="0.35">
      <c r="B9" s="15">
        <v>2023</v>
      </c>
      <c r="C9" s="16" t="s">
        <v>185</v>
      </c>
      <c r="D9" s="17"/>
      <c r="E9" s="28"/>
      <c r="F9" s="28"/>
      <c r="G9" s="48">
        <v>0</v>
      </c>
      <c r="H9" s="38">
        <v>0</v>
      </c>
      <c r="I9" s="38">
        <v>0</v>
      </c>
      <c r="J9" s="49">
        <f>SUM(G9:I9)</f>
        <v>0</v>
      </c>
      <c r="K9" s="280">
        <v>0</v>
      </c>
      <c r="L9" s="280">
        <v>0</v>
      </c>
      <c r="M9" s="280">
        <v>0</v>
      </c>
      <c r="N9" s="58">
        <v>0</v>
      </c>
      <c r="O9" s="55">
        <f>'Achat de véhicule - Calcul'!E41</f>
        <v>1146.017367521717</v>
      </c>
      <c r="P9" s="56">
        <v>0</v>
      </c>
      <c r="Q9" s="56">
        <v>0</v>
      </c>
      <c r="R9" s="58">
        <f>'Achat de véhicule - Calcul'!E41</f>
        <v>1146.017367521717</v>
      </c>
      <c r="S9" s="55">
        <f>G9+O9</f>
        <v>1146.017367521717</v>
      </c>
      <c r="T9" s="56">
        <f>H9+P9</f>
        <v>0</v>
      </c>
      <c r="U9" s="56">
        <f>I9+Q9</f>
        <v>0</v>
      </c>
      <c r="V9" s="57">
        <f>J9+R9</f>
        <v>1146.017367521717</v>
      </c>
      <c r="W9" s="15"/>
    </row>
    <row r="10" spans="1:35" x14ac:dyDescent="0.35">
      <c r="B10" s="21" t="s">
        <v>23</v>
      </c>
      <c r="C10" s="22"/>
      <c r="D10" s="23"/>
      <c r="E10" s="24"/>
      <c r="F10" s="24"/>
      <c r="G10" s="61">
        <f t="shared" ref="G10:V10" si="0">SUM(G9:G9)</f>
        <v>0</v>
      </c>
      <c r="H10" s="62">
        <f t="shared" si="0"/>
        <v>0</v>
      </c>
      <c r="I10" s="62">
        <f t="shared" si="0"/>
        <v>0</v>
      </c>
      <c r="J10" s="63">
        <f t="shared" si="0"/>
        <v>0</v>
      </c>
      <c r="K10" s="281">
        <v>0</v>
      </c>
      <c r="L10" s="281">
        <v>0</v>
      </c>
      <c r="M10" s="281">
        <v>0</v>
      </c>
      <c r="N10" s="65">
        <v>0</v>
      </c>
      <c r="O10" s="61">
        <f t="shared" si="0"/>
        <v>1146.017367521717</v>
      </c>
      <c r="P10" s="62">
        <f t="shared" si="0"/>
        <v>0</v>
      </c>
      <c r="Q10" s="62">
        <f t="shared" si="0"/>
        <v>0</v>
      </c>
      <c r="R10" s="64">
        <f t="shared" si="0"/>
        <v>1146.017367521717</v>
      </c>
      <c r="S10" s="61">
        <f t="shared" si="0"/>
        <v>1146.017367521717</v>
      </c>
      <c r="T10" s="62">
        <f t="shared" si="0"/>
        <v>0</v>
      </c>
      <c r="U10" s="62">
        <f t="shared" si="0"/>
        <v>0</v>
      </c>
      <c r="V10" s="65">
        <f t="shared" si="0"/>
        <v>1146.017367521717</v>
      </c>
      <c r="W10" s="15"/>
    </row>
    <row r="11" spans="1:35" x14ac:dyDescent="0.35">
      <c r="B11" s="196" t="s">
        <v>24</v>
      </c>
      <c r="C11" s="197"/>
      <c r="D11" s="198"/>
      <c r="E11" s="199"/>
      <c r="F11" s="199"/>
      <c r="G11" s="565">
        <f t="shared" ref="G11:V11" si="1">G10</f>
        <v>0</v>
      </c>
      <c r="H11" s="480">
        <f t="shared" si="1"/>
        <v>0</v>
      </c>
      <c r="I11" s="480">
        <f t="shared" si="1"/>
        <v>0</v>
      </c>
      <c r="J11" s="566">
        <f t="shared" si="1"/>
        <v>0</v>
      </c>
      <c r="K11" s="565">
        <f t="shared" si="1"/>
        <v>0</v>
      </c>
      <c r="L11" s="480">
        <f t="shared" si="1"/>
        <v>0</v>
      </c>
      <c r="M11" s="480">
        <f t="shared" si="1"/>
        <v>0</v>
      </c>
      <c r="N11" s="566">
        <f t="shared" si="1"/>
        <v>0</v>
      </c>
      <c r="O11" s="565">
        <f t="shared" si="1"/>
        <v>1146.017367521717</v>
      </c>
      <c r="P11" s="480">
        <f t="shared" si="1"/>
        <v>0</v>
      </c>
      <c r="Q11" s="480">
        <f t="shared" si="1"/>
        <v>0</v>
      </c>
      <c r="R11" s="566">
        <f t="shared" si="1"/>
        <v>1146.017367521717</v>
      </c>
      <c r="S11" s="565">
        <f t="shared" si="1"/>
        <v>1146.017367521717</v>
      </c>
      <c r="T11" s="480">
        <f t="shared" si="1"/>
        <v>0</v>
      </c>
      <c r="U11" s="480">
        <f t="shared" si="1"/>
        <v>0</v>
      </c>
      <c r="V11" s="566">
        <f t="shared" si="1"/>
        <v>1146.017367521717</v>
      </c>
      <c r="W11" s="15"/>
    </row>
    <row r="13" spans="1:35" s="176" customFormat="1" x14ac:dyDescent="0.35">
      <c r="A13" s="195">
        <v>2019</v>
      </c>
    </row>
    <row r="15" spans="1:35" s="176" customFormat="1" x14ac:dyDescent="0.35">
      <c r="A15"/>
      <c r="B15"/>
      <c r="C15"/>
      <c r="D15"/>
      <c r="E15"/>
      <c r="F15"/>
      <c r="G15" s="574" t="s">
        <v>523</v>
      </c>
      <c r="H15" s="575"/>
      <c r="I15" s="575"/>
      <c r="J15" s="576"/>
      <c r="K15" s="574" t="s">
        <v>520</v>
      </c>
      <c r="L15" s="575"/>
      <c r="M15" s="575"/>
      <c r="N15" s="576"/>
      <c r="O15" s="574" t="s">
        <v>547</v>
      </c>
      <c r="P15" s="575"/>
      <c r="Q15" s="575"/>
      <c r="R15" s="576"/>
      <c r="S15" s="574" t="s">
        <v>522</v>
      </c>
      <c r="T15" s="575"/>
      <c r="U15" s="575"/>
      <c r="V15" s="57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5" thickBot="1" x14ac:dyDescent="0.4">
      <c r="B16" s="9" t="s">
        <v>16</v>
      </c>
      <c r="C16" s="10" t="s">
        <v>246</v>
      </c>
      <c r="D16" s="11" t="s">
        <v>17</v>
      </c>
      <c r="E16" s="13"/>
      <c r="F16" s="13"/>
      <c r="G16" s="12" t="s">
        <v>55</v>
      </c>
      <c r="H16" s="13" t="s">
        <v>18</v>
      </c>
      <c r="I16" s="13" t="s">
        <v>59</v>
      </c>
      <c r="J16" s="220" t="s">
        <v>19</v>
      </c>
      <c r="K16" s="12" t="s">
        <v>55</v>
      </c>
      <c r="L16" s="13" t="s">
        <v>18</v>
      </c>
      <c r="M16" s="13" t="s">
        <v>59</v>
      </c>
      <c r="N16" s="220" t="s">
        <v>19</v>
      </c>
      <c r="O16" s="12" t="s">
        <v>55</v>
      </c>
      <c r="P16" s="13" t="s">
        <v>18</v>
      </c>
      <c r="Q16" s="13" t="s">
        <v>59</v>
      </c>
      <c r="R16" s="220" t="s">
        <v>19</v>
      </c>
      <c r="S16" s="12" t="s">
        <v>55</v>
      </c>
      <c r="T16" s="13" t="s">
        <v>18</v>
      </c>
      <c r="U16" s="13" t="s">
        <v>59</v>
      </c>
      <c r="V16" s="219" t="s">
        <v>19</v>
      </c>
      <c r="W16" s="15"/>
    </row>
    <row r="17" spans="2:23" ht="15" thickTop="1" x14ac:dyDescent="0.35">
      <c r="B17" s="15">
        <v>2019</v>
      </c>
      <c r="C17" s="16" t="s">
        <v>185</v>
      </c>
      <c r="D17" s="17"/>
      <c r="E17" s="28"/>
      <c r="F17" s="28"/>
      <c r="G17" s="48">
        <v>0</v>
      </c>
      <c r="H17" s="38">
        <v>0</v>
      </c>
      <c r="I17" s="38">
        <v>0</v>
      </c>
      <c r="J17" s="49">
        <f>SUM(G17:I17)</f>
        <v>0</v>
      </c>
      <c r="K17" s="280">
        <v>0</v>
      </c>
      <c r="L17" s="280">
        <v>0</v>
      </c>
      <c r="M17" s="280">
        <v>0</v>
      </c>
      <c r="N17" s="58">
        <v>0</v>
      </c>
      <c r="O17" s="48">
        <f>'Achat de véhicule - Calcul'!E52</f>
        <v>1869.3074608260586</v>
      </c>
      <c r="P17">
        <v>0</v>
      </c>
      <c r="Q17">
        <v>0</v>
      </c>
      <c r="R17" s="159">
        <f>O17</f>
        <v>1869.3074608260586</v>
      </c>
      <c r="S17" s="55">
        <f>G17+O17</f>
        <v>1869.3074608260586</v>
      </c>
      <c r="T17" s="56">
        <f>H17+P17</f>
        <v>0</v>
      </c>
      <c r="U17" s="56">
        <f>I17+Q17</f>
        <v>0</v>
      </c>
      <c r="V17" s="58">
        <f>S17</f>
        <v>1869.3074608260586</v>
      </c>
      <c r="W17" s="15"/>
    </row>
    <row r="18" spans="2:23" x14ac:dyDescent="0.35">
      <c r="B18" s="21" t="s">
        <v>23</v>
      </c>
      <c r="C18" s="22"/>
      <c r="D18" s="23"/>
      <c r="E18" s="24"/>
      <c r="F18" s="24"/>
      <c r="G18" s="172">
        <f t="shared" ref="G18:V18" si="2">SUM(G17:G17)</f>
        <v>0</v>
      </c>
      <c r="H18" s="173">
        <f t="shared" si="2"/>
        <v>0</v>
      </c>
      <c r="I18" s="173">
        <f t="shared" si="2"/>
        <v>0</v>
      </c>
      <c r="J18" s="174">
        <f t="shared" si="2"/>
        <v>0</v>
      </c>
      <c r="K18" s="289">
        <v>0</v>
      </c>
      <c r="L18" s="289">
        <v>0</v>
      </c>
      <c r="M18" s="289">
        <v>0</v>
      </c>
      <c r="N18" s="81">
        <v>0</v>
      </c>
      <c r="O18" s="172">
        <f t="shared" si="2"/>
        <v>1869.3074608260586</v>
      </c>
      <c r="P18" s="173">
        <f t="shared" si="2"/>
        <v>0</v>
      </c>
      <c r="Q18" s="173">
        <f t="shared" si="2"/>
        <v>0</v>
      </c>
      <c r="R18" s="175">
        <f t="shared" si="2"/>
        <v>1869.3074608260586</v>
      </c>
      <c r="S18" s="172">
        <f t="shared" si="2"/>
        <v>1869.3074608260586</v>
      </c>
      <c r="T18" s="78">
        <f t="shared" si="2"/>
        <v>0</v>
      </c>
      <c r="U18" s="78">
        <f t="shared" si="2"/>
        <v>0</v>
      </c>
      <c r="V18" s="81">
        <f t="shared" si="2"/>
        <v>1869.3074608260586</v>
      </c>
      <c r="W18" s="15"/>
    </row>
    <row r="19" spans="2:23" x14ac:dyDescent="0.35">
      <c r="B19" s="196" t="s">
        <v>24</v>
      </c>
      <c r="C19" s="197"/>
      <c r="D19" s="198"/>
      <c r="E19" s="199"/>
      <c r="F19" s="199"/>
      <c r="G19" s="565">
        <f t="shared" ref="G19:V19" si="3">G18</f>
        <v>0</v>
      </c>
      <c r="H19" s="480">
        <f t="shared" si="3"/>
        <v>0</v>
      </c>
      <c r="I19" s="480">
        <f t="shared" si="3"/>
        <v>0</v>
      </c>
      <c r="J19" s="566">
        <f t="shared" si="3"/>
        <v>0</v>
      </c>
      <c r="K19" s="565">
        <f t="shared" si="3"/>
        <v>0</v>
      </c>
      <c r="L19" s="480">
        <f t="shared" si="3"/>
        <v>0</v>
      </c>
      <c r="M19" s="480">
        <f t="shared" si="3"/>
        <v>0</v>
      </c>
      <c r="N19" s="566">
        <f t="shared" si="3"/>
        <v>0</v>
      </c>
      <c r="O19" s="565">
        <f t="shared" si="3"/>
        <v>1869.3074608260586</v>
      </c>
      <c r="P19" s="480">
        <f t="shared" si="3"/>
        <v>0</v>
      </c>
      <c r="Q19" s="480">
        <f t="shared" si="3"/>
        <v>0</v>
      </c>
      <c r="R19" s="566">
        <f t="shared" si="3"/>
        <v>1869.3074608260586</v>
      </c>
      <c r="S19" s="565">
        <f t="shared" si="3"/>
        <v>1869.3074608260586</v>
      </c>
      <c r="T19" s="480">
        <f t="shared" si="3"/>
        <v>0</v>
      </c>
      <c r="U19" s="480">
        <f t="shared" si="3"/>
        <v>0</v>
      </c>
      <c r="V19" s="566">
        <f t="shared" si="3"/>
        <v>1869.3074608260586</v>
      </c>
      <c r="W19" s="15"/>
    </row>
  </sheetData>
  <sheetProtection algorithmName="SHA-512" hashValue="8SY9PzRtXt2DGE8dgH3+tS74f0e+DkBtdVsBldOJGHLvBAw6Y8cU+9AJ+cHppFPEPYqzqOrzvk5d0KKk8q+teg==" saltValue="otEDtbT5y712Umwqw9/XMw==" spinCount="100000" sheet="1" objects="1" scenarios="1"/>
  <mergeCells count="8">
    <mergeCell ref="G7:J7"/>
    <mergeCell ref="O7:R7"/>
    <mergeCell ref="S7:V7"/>
    <mergeCell ref="G15:J15"/>
    <mergeCell ref="O15:R15"/>
    <mergeCell ref="S15:V15"/>
    <mergeCell ref="K7:N7"/>
    <mergeCell ref="K15:N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5183-A507-4DFC-A46E-69D796C073B1}">
  <sheetPr codeName="Feuil18">
    <tabColor rgb="FF7030A0"/>
  </sheetPr>
  <dimension ref="B3:F52"/>
  <sheetViews>
    <sheetView workbookViewId="0">
      <selection activeCell="E24" sqref="E24"/>
    </sheetView>
  </sheetViews>
  <sheetFormatPr baseColWidth="10" defaultRowHeight="14.5" x14ac:dyDescent="0.35"/>
  <cols>
    <col min="2" max="2" width="44.453125" customWidth="1"/>
    <col min="3" max="3" width="12" customWidth="1"/>
    <col min="4" max="4" width="46.54296875" customWidth="1"/>
    <col min="5" max="5" width="24.81640625" customWidth="1"/>
    <col min="6" max="6" width="20.81640625" customWidth="1"/>
    <col min="8" max="8" width="35.453125" customWidth="1"/>
  </cols>
  <sheetData>
    <row r="3" spans="2:6" s="182" customFormat="1" ht="36" x14ac:dyDescent="0.8">
      <c r="B3" s="183" t="s">
        <v>240</v>
      </c>
    </row>
    <row r="6" spans="2:6" x14ac:dyDescent="0.35">
      <c r="B6" s="185" t="s">
        <v>213</v>
      </c>
      <c r="C6" s="184" t="s">
        <v>186</v>
      </c>
      <c r="D6" s="1" t="s">
        <v>214</v>
      </c>
    </row>
    <row r="7" spans="2:6" x14ac:dyDescent="0.35">
      <c r="B7" t="s">
        <v>280</v>
      </c>
      <c r="C7" s="262">
        <f>7351.6857130432*F8/F7</f>
        <v>12252.809521738667</v>
      </c>
      <c r="E7" t="s">
        <v>278</v>
      </c>
      <c r="F7">
        <v>1200</v>
      </c>
    </row>
    <row r="8" spans="2:6" x14ac:dyDescent="0.35">
      <c r="B8" t="s">
        <v>215</v>
      </c>
      <c r="C8" s="38">
        <f>7.52*1314</f>
        <v>9881.2799999999988</v>
      </c>
      <c r="E8" t="s">
        <v>279</v>
      </c>
      <c r="F8">
        <v>2000</v>
      </c>
    </row>
    <row r="9" spans="2:6" x14ac:dyDescent="0.35">
      <c r="B9" t="s">
        <v>216</v>
      </c>
      <c r="C9">
        <v>486</v>
      </c>
    </row>
    <row r="10" spans="2:6" x14ac:dyDescent="0.35">
      <c r="B10" t="s">
        <v>217</v>
      </c>
      <c r="C10">
        <v>195</v>
      </c>
    </row>
    <row r="11" spans="2:6" x14ac:dyDescent="0.35">
      <c r="B11" t="s">
        <v>218</v>
      </c>
      <c r="C11">
        <v>22700</v>
      </c>
    </row>
    <row r="12" spans="2:6" x14ac:dyDescent="0.35">
      <c r="B12" t="s">
        <v>219</v>
      </c>
      <c r="C12">
        <f>3000*5.6</f>
        <v>16800</v>
      </c>
    </row>
    <row r="13" spans="2:6" x14ac:dyDescent="0.35">
      <c r="B13" t="s">
        <v>220</v>
      </c>
      <c r="C13">
        <f>1500*5.36</f>
        <v>8040.0000000000009</v>
      </c>
    </row>
    <row r="17" spans="2:6" x14ac:dyDescent="0.35">
      <c r="B17" s="1" t="s">
        <v>242</v>
      </c>
      <c r="C17" s="1" t="s">
        <v>210</v>
      </c>
    </row>
    <row r="18" spans="2:6" x14ac:dyDescent="0.35">
      <c r="B18" s="185" t="s">
        <v>187</v>
      </c>
      <c r="C18" s="185" t="s">
        <v>211</v>
      </c>
      <c r="D18" s="185" t="s">
        <v>212</v>
      </c>
      <c r="E18" s="185" t="s">
        <v>221</v>
      </c>
      <c r="F18" s="185" t="s">
        <v>248</v>
      </c>
    </row>
    <row r="19" spans="2:6" x14ac:dyDescent="0.35">
      <c r="B19" t="s">
        <v>188</v>
      </c>
      <c r="C19">
        <v>19</v>
      </c>
      <c r="D19" t="str">
        <f>B8</f>
        <v>market for passenger car, diesel</v>
      </c>
      <c r="E19" s="110">
        <f>C19*_xlfn.XLOOKUP(D19,$B$7:$B$15,$C$7:$C$15)/1000</f>
        <v>187.74431999999999</v>
      </c>
      <c r="F19">
        <f>C19</f>
        <v>19</v>
      </c>
    </row>
    <row r="20" spans="2:6" x14ac:dyDescent="0.35">
      <c r="B20" t="s">
        <v>189</v>
      </c>
      <c r="C20">
        <v>21</v>
      </c>
      <c r="D20" t="str">
        <f>B7</f>
        <v>market for light commercial vehicule (corrigé)</v>
      </c>
      <c r="E20" s="110">
        <f t="shared" ref="E20:E40" si="0">C20*_xlfn.XLOOKUP(D20,$B$7:$B$15,$C$7:$C$15)/1000</f>
        <v>257.30899995651203</v>
      </c>
      <c r="F20">
        <f t="shared" ref="F20:F21" si="1">C20</f>
        <v>21</v>
      </c>
    </row>
    <row r="21" spans="2:6" x14ac:dyDescent="0.35">
      <c r="B21" t="s">
        <v>190</v>
      </c>
      <c r="C21">
        <v>10</v>
      </c>
      <c r="D21" t="str">
        <f>B7</f>
        <v>market for light commercial vehicule (corrigé)</v>
      </c>
      <c r="E21" s="110">
        <f t="shared" si="0"/>
        <v>122.52809521738666</v>
      </c>
      <c r="F21">
        <f t="shared" si="1"/>
        <v>10</v>
      </c>
    </row>
    <row r="22" spans="2:6" x14ac:dyDescent="0.35">
      <c r="B22" t="s">
        <v>191</v>
      </c>
      <c r="C22">
        <v>1</v>
      </c>
      <c r="D22" t="str">
        <f>B11</f>
        <v>market for lorry, 16 metric ton</v>
      </c>
      <c r="E22" s="110">
        <f t="shared" si="0"/>
        <v>22.7</v>
      </c>
    </row>
    <row r="23" spans="2:6" x14ac:dyDescent="0.35">
      <c r="B23" t="s">
        <v>192</v>
      </c>
      <c r="C23">
        <v>12</v>
      </c>
      <c r="D23" t="str">
        <f>B13</f>
        <v>agricultural trailer production</v>
      </c>
      <c r="E23" s="110">
        <f t="shared" si="0"/>
        <v>96.480000000000018</v>
      </c>
    </row>
    <row r="24" spans="2:6" x14ac:dyDescent="0.35">
      <c r="B24" t="s">
        <v>193</v>
      </c>
      <c r="C24">
        <v>12</v>
      </c>
      <c r="D24" t="str">
        <f>B13</f>
        <v>agricultural trailer production</v>
      </c>
      <c r="E24" s="110">
        <f t="shared" si="0"/>
        <v>96.480000000000018</v>
      </c>
    </row>
    <row r="25" spans="2:6" x14ac:dyDescent="0.35">
      <c r="B25" t="s">
        <v>194</v>
      </c>
      <c r="C25">
        <v>2</v>
      </c>
      <c r="D25" s="186" t="str">
        <f>B13</f>
        <v>agricultural trailer production</v>
      </c>
      <c r="E25" s="110">
        <f t="shared" si="0"/>
        <v>16.080000000000002</v>
      </c>
    </row>
    <row r="26" spans="2:6" x14ac:dyDescent="0.35">
      <c r="B26" t="s">
        <v>195</v>
      </c>
      <c r="C26">
        <v>6</v>
      </c>
      <c r="D26" t="str">
        <f>B13</f>
        <v>agricultural trailer production</v>
      </c>
      <c r="E26" s="110">
        <f t="shared" si="0"/>
        <v>48.240000000000009</v>
      </c>
    </row>
    <row r="27" spans="2:6" x14ac:dyDescent="0.35">
      <c r="B27" t="s">
        <v>196</v>
      </c>
      <c r="C27">
        <v>5</v>
      </c>
      <c r="D27" t="str">
        <f>B10</f>
        <v>market for power saw, without catalytic converter</v>
      </c>
      <c r="E27" s="110">
        <f t="shared" si="0"/>
        <v>0.97499999999999998</v>
      </c>
    </row>
    <row r="28" spans="2:6" x14ac:dyDescent="0.35">
      <c r="B28" t="s">
        <v>197</v>
      </c>
      <c r="C28">
        <v>13</v>
      </c>
      <c r="D28" t="str">
        <f>B7</f>
        <v>market for light commercial vehicule (corrigé)</v>
      </c>
      <c r="E28" s="110">
        <f t="shared" si="0"/>
        <v>159.2865237826027</v>
      </c>
      <c r="F28">
        <f>C28</f>
        <v>13</v>
      </c>
    </row>
    <row r="29" spans="2:6" x14ac:dyDescent="0.35">
      <c r="B29" t="s">
        <v>198</v>
      </c>
      <c r="C29">
        <v>3</v>
      </c>
      <c r="D29" t="str">
        <f>B7</f>
        <v>market for light commercial vehicule (corrigé)</v>
      </c>
      <c r="E29" s="110">
        <f t="shared" si="0"/>
        <v>36.758428565216001</v>
      </c>
      <c r="F29">
        <f>C29</f>
        <v>3</v>
      </c>
    </row>
    <row r="30" spans="2:6" x14ac:dyDescent="0.35">
      <c r="B30" t="s">
        <v>199</v>
      </c>
      <c r="C30">
        <v>5</v>
      </c>
      <c r="D30" t="str">
        <f>B10</f>
        <v>market for power saw, without catalytic converter</v>
      </c>
      <c r="E30" s="110">
        <f t="shared" si="0"/>
        <v>0.97499999999999998</v>
      </c>
    </row>
    <row r="31" spans="2:6" x14ac:dyDescent="0.35">
      <c r="B31" t="s">
        <v>200</v>
      </c>
      <c r="C31">
        <v>33</v>
      </c>
      <c r="D31" s="186" t="str">
        <f>B10</f>
        <v>market for power saw, without catalytic converter</v>
      </c>
      <c r="E31" s="110">
        <f t="shared" si="0"/>
        <v>6.4349999999999996</v>
      </c>
    </row>
    <row r="32" spans="2:6" x14ac:dyDescent="0.35">
      <c r="B32" t="s">
        <v>201</v>
      </c>
      <c r="C32">
        <v>11</v>
      </c>
      <c r="D32" t="str">
        <f>B9</f>
        <v>motor scooter production</v>
      </c>
      <c r="E32" s="110">
        <f t="shared" si="0"/>
        <v>5.3460000000000001</v>
      </c>
      <c r="F32">
        <f>C32</f>
        <v>11</v>
      </c>
    </row>
    <row r="33" spans="2:6" x14ac:dyDescent="0.35">
      <c r="B33" t="s">
        <v>202</v>
      </c>
      <c r="C33">
        <v>1</v>
      </c>
      <c r="D33" t="str">
        <f>B10</f>
        <v>market for power saw, without catalytic converter</v>
      </c>
      <c r="E33" s="110">
        <f t="shared" si="0"/>
        <v>0.19500000000000001</v>
      </c>
    </row>
    <row r="34" spans="2:6" x14ac:dyDescent="0.35">
      <c r="B34" t="s">
        <v>203</v>
      </c>
      <c r="C34">
        <v>16</v>
      </c>
      <c r="D34" t="str">
        <f>B10</f>
        <v>market for power saw, without catalytic converter</v>
      </c>
      <c r="E34" s="110">
        <f t="shared" si="0"/>
        <v>3.12</v>
      </c>
    </row>
    <row r="35" spans="2:6" x14ac:dyDescent="0.35">
      <c r="B35" t="s">
        <v>204</v>
      </c>
      <c r="C35">
        <v>1</v>
      </c>
      <c r="D35" t="str">
        <f>B10</f>
        <v>market for power saw, without catalytic converter</v>
      </c>
      <c r="E35" s="110">
        <f t="shared" si="0"/>
        <v>0.19500000000000001</v>
      </c>
    </row>
    <row r="36" spans="2:6" x14ac:dyDescent="0.35">
      <c r="B36" t="s">
        <v>205</v>
      </c>
      <c r="C36">
        <v>3</v>
      </c>
      <c r="D36" t="str">
        <f>B12</f>
        <v>market for tractor, 4-wheel, agricultural</v>
      </c>
      <c r="E36" s="110">
        <f t="shared" si="0"/>
        <v>50.4</v>
      </c>
    </row>
    <row r="37" spans="2:6" x14ac:dyDescent="0.35">
      <c r="B37" t="s">
        <v>206</v>
      </c>
      <c r="C37">
        <v>1</v>
      </c>
      <c r="D37" t="str">
        <f>B12</f>
        <v>market for tractor, 4-wheel, agricultural</v>
      </c>
      <c r="E37" s="110">
        <f t="shared" si="0"/>
        <v>16.8</v>
      </c>
    </row>
    <row r="38" spans="2:6" x14ac:dyDescent="0.35">
      <c r="B38" t="s">
        <v>207</v>
      </c>
      <c r="C38">
        <v>1</v>
      </c>
      <c r="D38" t="str">
        <f>B12</f>
        <v>market for tractor, 4-wheel, agricultural</v>
      </c>
      <c r="E38" s="110">
        <f t="shared" si="0"/>
        <v>16.8</v>
      </c>
    </row>
    <row r="39" spans="2:6" x14ac:dyDescent="0.35">
      <c r="B39" t="s">
        <v>208</v>
      </c>
      <c r="C39">
        <v>5</v>
      </c>
      <c r="D39" t="str">
        <f>B10</f>
        <v>market for power saw, without catalytic converter</v>
      </c>
      <c r="E39" s="110">
        <f t="shared" si="0"/>
        <v>0.97499999999999998</v>
      </c>
    </row>
    <row r="40" spans="2:6" x14ac:dyDescent="0.35">
      <c r="B40" t="s">
        <v>209</v>
      </c>
      <c r="C40">
        <v>1</v>
      </c>
      <c r="D40" t="str">
        <f>B10</f>
        <v>market for power saw, without catalytic converter</v>
      </c>
      <c r="E40" s="110">
        <f t="shared" si="0"/>
        <v>0.19500000000000001</v>
      </c>
    </row>
    <row r="41" spans="2:6" x14ac:dyDescent="0.35">
      <c r="B41" s="188" t="s">
        <v>24</v>
      </c>
      <c r="C41" s="188">
        <f>SUM(C19:C40)</f>
        <v>182</v>
      </c>
      <c r="D41" s="187"/>
      <c r="E41" s="189">
        <f>SUM(E19:E40)</f>
        <v>1146.017367521717</v>
      </c>
      <c r="F41" s="187">
        <f>SUM(F19:F40)</f>
        <v>77</v>
      </c>
    </row>
    <row r="44" spans="2:6" x14ac:dyDescent="0.35">
      <c r="B44" s="1" t="s">
        <v>222</v>
      </c>
    </row>
    <row r="45" spans="2:6" x14ac:dyDescent="0.35">
      <c r="B45" s="185" t="s">
        <v>187</v>
      </c>
      <c r="C45" s="185" t="s">
        <v>211</v>
      </c>
      <c r="D45" s="185" t="s">
        <v>212</v>
      </c>
      <c r="E45" s="185" t="s">
        <v>221</v>
      </c>
    </row>
    <row r="46" spans="2:6" x14ac:dyDescent="0.35">
      <c r="B46" t="s">
        <v>223</v>
      </c>
      <c r="C46">
        <v>26</v>
      </c>
      <c r="D46" s="38" t="str">
        <f>B7</f>
        <v>market for light commercial vehicule (corrigé)</v>
      </c>
      <c r="E46" s="110">
        <f>C46*_xlfn.XLOOKUP(D46,$B$7:$B$15,$C$7:$C$15)/1000</f>
        <v>318.5730475652054</v>
      </c>
    </row>
    <row r="47" spans="2:6" x14ac:dyDescent="0.35">
      <c r="B47" t="s">
        <v>224</v>
      </c>
      <c r="C47">
        <v>35</v>
      </c>
      <c r="D47" s="38" t="str">
        <f>B7</f>
        <v>market for light commercial vehicule (corrigé)</v>
      </c>
      <c r="E47" s="110">
        <f t="shared" ref="E47:E50" si="2">C47*_xlfn.XLOOKUP(D47,$B$7:$B$15,$C$7:$C$15)/1000</f>
        <v>428.84833326085339</v>
      </c>
    </row>
    <row r="48" spans="2:6" x14ac:dyDescent="0.35">
      <c r="B48" t="s">
        <v>225</v>
      </c>
      <c r="C48">
        <v>36</v>
      </c>
      <c r="D48" t="str">
        <f>B8</f>
        <v>market for passenger car, diesel</v>
      </c>
      <c r="E48" s="110">
        <f t="shared" si="2"/>
        <v>355.72607999999997</v>
      </c>
    </row>
    <row r="49" spans="2:5" x14ac:dyDescent="0.35">
      <c r="B49" t="s">
        <v>226</v>
      </c>
      <c r="C49">
        <v>84</v>
      </c>
      <c r="D49" t="str">
        <f>B13</f>
        <v>agricultural trailer production</v>
      </c>
      <c r="E49" s="110">
        <f t="shared" si="2"/>
        <v>675.36000000000013</v>
      </c>
    </row>
    <row r="50" spans="2:5" x14ac:dyDescent="0.35">
      <c r="B50" s="190" t="s">
        <v>227</v>
      </c>
      <c r="C50" s="191">
        <v>4</v>
      </c>
      <c r="D50" t="str">
        <f>B11</f>
        <v>market for lorry, 16 metric ton</v>
      </c>
      <c r="E50" s="110">
        <f t="shared" si="2"/>
        <v>90.8</v>
      </c>
    </row>
    <row r="51" spans="2:5" x14ac:dyDescent="0.35">
      <c r="B51" t="s">
        <v>228</v>
      </c>
      <c r="C51" s="192"/>
      <c r="E51" s="193">
        <v>1464.72806129947</v>
      </c>
    </row>
    <row r="52" spans="2:5" x14ac:dyDescent="0.35">
      <c r="B52" s="188" t="s">
        <v>24</v>
      </c>
      <c r="C52" s="187">
        <f>SUM(C46:C50)</f>
        <v>185</v>
      </c>
      <c r="D52" s="187"/>
      <c r="E52" s="189">
        <f>SUM(E46:E51) - E51</f>
        <v>1869.3074608260586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0FE4-BF99-41D7-AD5A-8FAAAF3C2945}">
  <sheetPr codeName="Feuil19">
    <tabColor rgb="FF7030A0"/>
  </sheetPr>
  <dimension ref="A2:AI20"/>
  <sheetViews>
    <sheetView workbookViewId="0">
      <selection activeCell="L33" sqref="L33"/>
    </sheetView>
  </sheetViews>
  <sheetFormatPr baseColWidth="10" defaultRowHeight="14.5" x14ac:dyDescent="0.35"/>
  <cols>
    <col min="3" max="3" width="26.7265625" customWidth="1"/>
    <col min="4" max="4" width="20.453125" customWidth="1"/>
    <col min="5" max="6" width="20.453125" hidden="1" customWidth="1"/>
  </cols>
  <sheetData>
    <row r="2" spans="1:35" s="182" customFormat="1" ht="28.5" x14ac:dyDescent="0.65">
      <c r="B2" s="202" t="s">
        <v>243</v>
      </c>
    </row>
    <row r="4" spans="1:35" s="176" customFormat="1" x14ac:dyDescent="0.35">
      <c r="A4" s="195">
        <v>2023</v>
      </c>
    </row>
    <row r="5" spans="1:35" x14ac:dyDescent="0.35">
      <c r="C5" s="8"/>
    </row>
    <row r="6" spans="1:35" x14ac:dyDescent="0.35">
      <c r="G6" s="574" t="s">
        <v>523</v>
      </c>
      <c r="H6" s="575"/>
      <c r="I6" s="575"/>
      <c r="J6" s="576"/>
      <c r="K6" s="574" t="s">
        <v>520</v>
      </c>
      <c r="L6" s="575"/>
      <c r="M6" s="575"/>
      <c r="N6" s="576"/>
      <c r="O6" s="574" t="s">
        <v>547</v>
      </c>
      <c r="P6" s="575"/>
      <c r="Q6" s="575"/>
      <c r="R6" s="576"/>
      <c r="S6" s="574" t="s">
        <v>522</v>
      </c>
      <c r="T6" s="575"/>
      <c r="U6" s="575"/>
      <c r="V6" s="575"/>
    </row>
    <row r="7" spans="1:35" ht="15" thickBot="1" x14ac:dyDescent="0.4">
      <c r="B7" s="210" t="s">
        <v>16</v>
      </c>
      <c r="C7" s="10" t="s">
        <v>246</v>
      </c>
      <c r="D7" s="11" t="s">
        <v>17</v>
      </c>
      <c r="E7" s="171"/>
      <c r="F7" s="171"/>
      <c r="G7" s="9" t="s">
        <v>55</v>
      </c>
      <c r="H7" s="171" t="s">
        <v>18</v>
      </c>
      <c r="I7" s="171" t="s">
        <v>59</v>
      </c>
      <c r="J7" s="171" t="s">
        <v>19</v>
      </c>
      <c r="K7" s="9" t="s">
        <v>55</v>
      </c>
      <c r="L7" s="171" t="s">
        <v>18</v>
      </c>
      <c r="M7" s="171" t="s">
        <v>59</v>
      </c>
      <c r="N7" s="171" t="s">
        <v>19</v>
      </c>
      <c r="O7" s="9" t="s">
        <v>55</v>
      </c>
      <c r="P7" s="171" t="s">
        <v>18</v>
      </c>
      <c r="Q7" s="171" t="s">
        <v>59</v>
      </c>
      <c r="R7" s="11" t="s">
        <v>19</v>
      </c>
      <c r="S7" s="9" t="s">
        <v>55</v>
      </c>
      <c r="T7" s="171" t="s">
        <v>18</v>
      </c>
      <c r="U7" s="171" t="s">
        <v>59</v>
      </c>
      <c r="V7" s="11" t="s">
        <v>19</v>
      </c>
      <c r="W7" s="15"/>
    </row>
    <row r="8" spans="1:35" ht="15" thickTop="1" x14ac:dyDescent="0.35">
      <c r="B8" s="203">
        <v>2023</v>
      </c>
      <c r="C8" s="204" t="s">
        <v>244</v>
      </c>
      <c r="D8" s="203" t="s">
        <v>241</v>
      </c>
      <c r="E8" s="203"/>
      <c r="F8" s="203"/>
      <c r="G8" s="203">
        <v>0</v>
      </c>
      <c r="H8" s="166">
        <v>0</v>
      </c>
      <c r="I8" s="166">
        <v>0</v>
      </c>
      <c r="J8" s="211">
        <v>0</v>
      </c>
      <c r="K8" s="278">
        <v>0</v>
      </c>
      <c r="L8" s="211">
        <v>0</v>
      </c>
      <c r="M8" s="211">
        <v>0</v>
      </c>
      <c r="N8" s="211">
        <v>0</v>
      </c>
      <c r="O8" s="203"/>
      <c r="P8" s="166"/>
      <c r="Q8" s="166"/>
      <c r="R8" s="209">
        <f>'Matériel infor. - Calcul'!C54*EPT_2023/1000+'Matériel infor. - Calcul'!E65+'Matériel infor. - Calcul'!E76</f>
        <v>2190.8236072739196</v>
      </c>
      <c r="S8" s="60"/>
      <c r="T8" s="206"/>
      <c r="U8" s="206"/>
      <c r="V8" s="209">
        <f>R8+J8+N8</f>
        <v>2190.8236072739196</v>
      </c>
      <c r="W8" s="15"/>
    </row>
    <row r="9" spans="1:35" x14ac:dyDescent="0.35">
      <c r="B9" s="203">
        <v>2023</v>
      </c>
      <c r="C9" s="208"/>
      <c r="D9" s="203" t="s">
        <v>239</v>
      </c>
      <c r="E9" s="203"/>
      <c r="F9" s="203"/>
      <c r="G9" s="60">
        <v>0</v>
      </c>
      <c r="H9" s="206">
        <v>0</v>
      </c>
      <c r="I9" s="206">
        <v>0</v>
      </c>
      <c r="J9" s="209">
        <v>0</v>
      </c>
      <c r="K9" s="279">
        <v>0</v>
      </c>
      <c r="L9" s="209">
        <v>0</v>
      </c>
      <c r="M9" s="209">
        <v>0</v>
      </c>
      <c r="N9" s="209">
        <v>0</v>
      </c>
      <c r="O9" s="60"/>
      <c r="P9" s="206"/>
      <c r="Q9" s="206"/>
      <c r="R9" s="209">
        <f>SUM('Matériel infor. - Calcul'!H10:H27)+SUM('Matériel infor. - Calcul'!H28:H43)</f>
        <v>3180.2584548460236</v>
      </c>
      <c r="S9" s="60"/>
      <c r="T9" s="206"/>
      <c r="U9" s="206"/>
      <c r="V9" s="209">
        <f>J9+R9+N9</f>
        <v>3180.2584548460236</v>
      </c>
      <c r="W9" s="15"/>
    </row>
    <row r="10" spans="1:35" x14ac:dyDescent="0.35">
      <c r="B10" s="21" t="s">
        <v>23</v>
      </c>
      <c r="C10" s="22"/>
      <c r="D10" s="23"/>
      <c r="E10" s="24"/>
      <c r="F10" s="24"/>
      <c r="G10" s="61">
        <f t="shared" ref="G10:V10" si="0">SUM(G8:G9)</f>
        <v>0</v>
      </c>
      <c r="H10" s="62">
        <f t="shared" si="0"/>
        <v>0</v>
      </c>
      <c r="I10" s="62">
        <f t="shared" si="0"/>
        <v>0</v>
      </c>
      <c r="J10" s="63">
        <f t="shared" si="0"/>
        <v>0</v>
      </c>
      <c r="K10" s="61">
        <f t="shared" si="0"/>
        <v>0</v>
      </c>
      <c r="L10" s="62">
        <f t="shared" si="0"/>
        <v>0</v>
      </c>
      <c r="M10" s="62">
        <f t="shared" si="0"/>
        <v>0</v>
      </c>
      <c r="N10" s="63">
        <f t="shared" si="0"/>
        <v>0</v>
      </c>
      <c r="O10" s="61">
        <f t="shared" si="0"/>
        <v>0</v>
      </c>
      <c r="P10" s="62">
        <f t="shared" si="0"/>
        <v>0</v>
      </c>
      <c r="Q10" s="62">
        <f t="shared" si="0"/>
        <v>0</v>
      </c>
      <c r="R10" s="63">
        <f t="shared" si="0"/>
        <v>5371.0820621199437</v>
      </c>
      <c r="S10" s="61">
        <f t="shared" si="0"/>
        <v>0</v>
      </c>
      <c r="T10" s="62">
        <f t="shared" si="0"/>
        <v>0</v>
      </c>
      <c r="U10" s="62">
        <f t="shared" si="0"/>
        <v>0</v>
      </c>
      <c r="V10" s="63">
        <f t="shared" si="0"/>
        <v>5371.0820621199437</v>
      </c>
      <c r="W10" s="15"/>
    </row>
    <row r="11" spans="1:35" x14ac:dyDescent="0.35">
      <c r="B11" s="196" t="s">
        <v>24</v>
      </c>
      <c r="C11" s="197"/>
      <c r="D11" s="198"/>
      <c r="E11" s="199"/>
      <c r="F11" s="199"/>
      <c r="G11" s="565">
        <f t="shared" ref="G11:V11" si="1">G10</f>
        <v>0</v>
      </c>
      <c r="H11" s="480">
        <f t="shared" si="1"/>
        <v>0</v>
      </c>
      <c r="I11" s="480">
        <f t="shared" si="1"/>
        <v>0</v>
      </c>
      <c r="J11" s="566">
        <f t="shared" si="1"/>
        <v>0</v>
      </c>
      <c r="K11" s="565">
        <f t="shared" si="1"/>
        <v>0</v>
      </c>
      <c r="L11" s="480">
        <f t="shared" si="1"/>
        <v>0</v>
      </c>
      <c r="M11" s="480">
        <f t="shared" si="1"/>
        <v>0</v>
      </c>
      <c r="N11" s="566">
        <f t="shared" si="1"/>
        <v>0</v>
      </c>
      <c r="O11" s="565">
        <f t="shared" si="1"/>
        <v>0</v>
      </c>
      <c r="P11" s="480">
        <f t="shared" si="1"/>
        <v>0</v>
      </c>
      <c r="Q11" s="480">
        <f t="shared" si="1"/>
        <v>0</v>
      </c>
      <c r="R11" s="567">
        <f t="shared" si="1"/>
        <v>5371.0820621199437</v>
      </c>
      <c r="S11" s="565">
        <f t="shared" si="1"/>
        <v>0</v>
      </c>
      <c r="T11" s="480">
        <f t="shared" si="1"/>
        <v>0</v>
      </c>
      <c r="U11" s="480">
        <f t="shared" si="1"/>
        <v>0</v>
      </c>
      <c r="V11" s="567">
        <f t="shared" si="1"/>
        <v>5371.0820621199437</v>
      </c>
      <c r="W11" s="15"/>
    </row>
    <row r="13" spans="1:35" s="176" customFormat="1" x14ac:dyDescent="0.35">
      <c r="A13" s="195">
        <v>2019</v>
      </c>
    </row>
    <row r="15" spans="1:35" s="176" customFormat="1" x14ac:dyDescent="0.35">
      <c r="A15"/>
      <c r="B15"/>
      <c r="C15"/>
      <c r="D15"/>
      <c r="E15"/>
      <c r="F15"/>
      <c r="G15" s="574" t="s">
        <v>523</v>
      </c>
      <c r="H15" s="575"/>
      <c r="I15" s="575"/>
      <c r="J15" s="576"/>
      <c r="K15" s="574" t="s">
        <v>520</v>
      </c>
      <c r="L15" s="575"/>
      <c r="M15" s="575"/>
      <c r="N15" s="576"/>
      <c r="O15" s="574" t="s">
        <v>547</v>
      </c>
      <c r="P15" s="575"/>
      <c r="Q15" s="575"/>
      <c r="R15" s="576"/>
      <c r="S15" s="574" t="s">
        <v>522</v>
      </c>
      <c r="T15" s="575"/>
      <c r="U15" s="575"/>
      <c r="V15" s="57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5" thickBot="1" x14ac:dyDescent="0.4">
      <c r="B16" s="9" t="s">
        <v>16</v>
      </c>
      <c r="C16" s="10" t="s">
        <v>246</v>
      </c>
      <c r="D16" s="11" t="s">
        <v>17</v>
      </c>
      <c r="E16" s="13"/>
      <c r="F16" s="13"/>
      <c r="G16" s="12" t="s">
        <v>55</v>
      </c>
      <c r="H16" s="13" t="s">
        <v>18</v>
      </c>
      <c r="I16" s="13" t="s">
        <v>59</v>
      </c>
      <c r="J16" s="14" t="s">
        <v>19</v>
      </c>
      <c r="K16" s="9" t="s">
        <v>55</v>
      </c>
      <c r="L16" s="171" t="s">
        <v>18</v>
      </c>
      <c r="M16" s="171" t="s">
        <v>59</v>
      </c>
      <c r="N16" s="11" t="s">
        <v>19</v>
      </c>
      <c r="O16" s="12" t="s">
        <v>55</v>
      </c>
      <c r="P16" s="13" t="s">
        <v>18</v>
      </c>
      <c r="Q16" s="13" t="s">
        <v>59</v>
      </c>
      <c r="R16" s="14" t="s">
        <v>19</v>
      </c>
      <c r="S16" s="12" t="s">
        <v>55</v>
      </c>
      <c r="T16" s="13" t="s">
        <v>18</v>
      </c>
      <c r="U16" s="13" t="s">
        <v>59</v>
      </c>
      <c r="V16" s="13" t="s">
        <v>19</v>
      </c>
      <c r="W16" s="15"/>
    </row>
    <row r="17" spans="2:23" ht="15" thickTop="1" x14ac:dyDescent="0.35">
      <c r="B17" s="203">
        <v>2019</v>
      </c>
      <c r="C17" s="204" t="str">
        <f>C8</f>
        <v>Matériel informatique</v>
      </c>
      <c r="D17" s="205" t="str">
        <f>D8</f>
        <v>Administratif</v>
      </c>
      <c r="E17" s="166"/>
      <c r="F17" s="166"/>
      <c r="G17" s="536">
        <v>0</v>
      </c>
      <c r="H17" s="107">
        <v>0</v>
      </c>
      <c r="I17" s="107">
        <v>0</v>
      </c>
      <c r="J17" s="568">
        <v>0</v>
      </c>
      <c r="K17" s="107">
        <v>0</v>
      </c>
      <c r="L17" s="107">
        <v>0</v>
      </c>
      <c r="M17" s="107">
        <v>0</v>
      </c>
      <c r="N17" s="107">
        <v>0</v>
      </c>
      <c r="O17" s="536">
        <v>0</v>
      </c>
      <c r="P17" s="107">
        <v>0</v>
      </c>
      <c r="Q17" s="107">
        <v>0</v>
      </c>
      <c r="R17" s="568">
        <f>'Matériel infor. - Calcul'!C54*EPT_2019/1000+('Matériel infor. - Calcul'!E76+'Matériel infor. - Calcul'!E65) * EPT_2019/EPT_2023</f>
        <v>2002.0770810121439</v>
      </c>
      <c r="S17" s="536">
        <v>0</v>
      </c>
      <c r="T17" s="107">
        <v>0</v>
      </c>
      <c r="U17" s="107">
        <v>0</v>
      </c>
      <c r="V17" s="326">
        <f>J17+N17+R17</f>
        <v>2002.0770810121439</v>
      </c>
      <c r="W17" s="15"/>
    </row>
    <row r="18" spans="2:23" x14ac:dyDescent="0.35">
      <c r="B18" s="203"/>
      <c r="C18" s="204"/>
      <c r="D18" s="205" t="str">
        <f>D9</f>
        <v>Pédagogique</v>
      </c>
      <c r="E18" s="166"/>
      <c r="F18" s="166"/>
      <c r="G18" s="536">
        <v>0</v>
      </c>
      <c r="H18" s="107">
        <v>0</v>
      </c>
      <c r="I18" s="107">
        <v>0</v>
      </c>
      <c r="J18" s="568">
        <v>0</v>
      </c>
      <c r="K18" s="107">
        <v>0</v>
      </c>
      <c r="L18" s="107">
        <v>0</v>
      </c>
      <c r="M18" s="107">
        <v>0</v>
      </c>
      <c r="N18" s="107">
        <v>0</v>
      </c>
      <c r="O18" s="536">
        <v>0</v>
      </c>
      <c r="P18" s="107">
        <v>0</v>
      </c>
      <c r="Q18" s="107">
        <v>0</v>
      </c>
      <c r="R18" s="568">
        <f>SUM('Matériel infor. - Calcul'!I10:I27)+SUM('Matériel infor. - Calcul'!I28:I43)</f>
        <v>2970.1340225603094</v>
      </c>
      <c r="S18" s="536">
        <v>0</v>
      </c>
      <c r="T18" s="107">
        <v>0</v>
      </c>
      <c r="U18" s="107">
        <v>0</v>
      </c>
      <c r="V18" s="326">
        <f>J18+N18+R18</f>
        <v>2970.1340225603094</v>
      </c>
      <c r="W18" s="15"/>
    </row>
    <row r="19" spans="2:23" x14ac:dyDescent="0.35">
      <c r="B19" s="21" t="s">
        <v>23</v>
      </c>
      <c r="C19" s="22"/>
      <c r="D19" s="23"/>
      <c r="E19" s="24"/>
      <c r="F19" s="24"/>
      <c r="G19" s="61">
        <v>0</v>
      </c>
      <c r="H19" s="62">
        <v>0</v>
      </c>
      <c r="I19" s="62">
        <v>0</v>
      </c>
      <c r="J19" s="63">
        <v>0</v>
      </c>
      <c r="K19" s="65">
        <v>0</v>
      </c>
      <c r="L19" s="65">
        <v>0</v>
      </c>
      <c r="M19" s="65">
        <v>0</v>
      </c>
      <c r="N19" s="65">
        <v>0</v>
      </c>
      <c r="O19" s="61"/>
      <c r="P19" s="62"/>
      <c r="Q19" s="62"/>
      <c r="R19" s="63">
        <f>SUM(R17:R18)</f>
        <v>4972.2111035724538</v>
      </c>
      <c r="S19" s="61">
        <v>0</v>
      </c>
      <c r="T19" s="62">
        <v>0</v>
      </c>
      <c r="U19" s="62">
        <v>0</v>
      </c>
      <c r="V19" s="65">
        <f>SUM(V17:V18)</f>
        <v>4972.2111035724538</v>
      </c>
      <c r="W19" s="15"/>
    </row>
    <row r="20" spans="2:23" x14ac:dyDescent="0.35">
      <c r="B20" s="196" t="s">
        <v>24</v>
      </c>
      <c r="C20" s="197"/>
      <c r="D20" s="198"/>
      <c r="E20" s="199"/>
      <c r="F20" s="199"/>
      <c r="G20" s="565">
        <f t="shared" ref="G20:V20" si="2">G19</f>
        <v>0</v>
      </c>
      <c r="H20" s="480">
        <f t="shared" si="2"/>
        <v>0</v>
      </c>
      <c r="I20" s="480">
        <f t="shared" si="2"/>
        <v>0</v>
      </c>
      <c r="J20" s="567">
        <f t="shared" si="2"/>
        <v>0</v>
      </c>
      <c r="K20" s="565">
        <f t="shared" si="2"/>
        <v>0</v>
      </c>
      <c r="L20" s="480">
        <f t="shared" si="2"/>
        <v>0</v>
      </c>
      <c r="M20" s="480">
        <f t="shared" si="2"/>
        <v>0</v>
      </c>
      <c r="N20" s="566">
        <f t="shared" si="2"/>
        <v>0</v>
      </c>
      <c r="O20" s="565">
        <f t="shared" si="2"/>
        <v>0</v>
      </c>
      <c r="P20" s="480">
        <f t="shared" si="2"/>
        <v>0</v>
      </c>
      <c r="Q20" s="480">
        <f t="shared" si="2"/>
        <v>0</v>
      </c>
      <c r="R20" s="567">
        <f t="shared" si="2"/>
        <v>4972.2111035724538</v>
      </c>
      <c r="S20" s="565">
        <f t="shared" si="2"/>
        <v>0</v>
      </c>
      <c r="T20" s="480">
        <f t="shared" si="2"/>
        <v>0</v>
      </c>
      <c r="U20" s="480">
        <f t="shared" si="2"/>
        <v>0</v>
      </c>
      <c r="V20" s="567">
        <f t="shared" si="2"/>
        <v>4972.2111035724538</v>
      </c>
      <c r="W20" s="15"/>
    </row>
  </sheetData>
  <sheetProtection algorithmName="SHA-512" hashValue="7z42IKqprh3AUPDBIg/RJRRaLm5XMyG/TKR/aYQi6PcLqDv/Y97CEtbwO9odEWVXBO9pBzdcqjGW7z/OWT12Kw==" saltValue="ASuh9H+O+3rpI5cHlK0+cA==" spinCount="100000" sheet="1" objects="1" scenarios="1"/>
  <mergeCells count="8">
    <mergeCell ref="G6:J6"/>
    <mergeCell ref="O6:R6"/>
    <mergeCell ref="S6:V6"/>
    <mergeCell ref="G15:J15"/>
    <mergeCell ref="O15:R15"/>
    <mergeCell ref="S15:V15"/>
    <mergeCell ref="K6:N6"/>
    <mergeCell ref="K15:N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66DC-F361-45A4-8839-A1F487767906}">
  <sheetPr codeName="Feuil2"/>
  <dimension ref="B3:C17"/>
  <sheetViews>
    <sheetView workbookViewId="0">
      <selection activeCell="C19" sqref="C19"/>
    </sheetView>
  </sheetViews>
  <sheetFormatPr baseColWidth="10" defaultRowHeight="14.5" x14ac:dyDescent="0.35"/>
  <sheetData>
    <row r="3" spans="2:3" s="520" customFormat="1" ht="31" x14ac:dyDescent="0.7">
      <c r="B3" s="521" t="s">
        <v>614</v>
      </c>
    </row>
    <row r="6" spans="2:3" x14ac:dyDescent="0.35">
      <c r="B6" s="522" t="s">
        <v>615</v>
      </c>
      <c r="C6" s="522"/>
    </row>
    <row r="8" spans="2:3" x14ac:dyDescent="0.35">
      <c r="B8" s="4">
        <v>2019</v>
      </c>
      <c r="C8" s="82">
        <f ca="1">'Chaleur du bâtiment - Emission'!V34+'Electricité - Emissions '!V22+'Mobilité pro.- Emissions'!V28+'Mobilité pendulaire - Emissions'!V43+'Agriculture - Emissions'!V28+'Construction - Emission'!V26+'Alimentation - Emission'!V21+'Achat de véhicule - Emissions'!V18+'Matériel infor.- Emission'!V19+'Achats courants - Emissions '!V24+'Déchet - émissions'!V20</f>
        <v>97889.499945179225</v>
      </c>
    </row>
    <row r="9" spans="2:3" x14ac:dyDescent="0.35">
      <c r="B9" s="4">
        <v>2023</v>
      </c>
      <c r="C9" s="82">
        <f ca="1">'Bilan carbone ACV 2023'!S34</f>
        <v>106520.2593721404</v>
      </c>
    </row>
    <row r="10" spans="2:3" x14ac:dyDescent="0.35">
      <c r="B10" t="s">
        <v>616</v>
      </c>
      <c r="C10" s="76">
        <f ca="1">-1+C9/C8</f>
        <v>8.8168388149848953E-2</v>
      </c>
    </row>
    <row r="13" spans="2:3" x14ac:dyDescent="0.35">
      <c r="B13" s="522" t="s">
        <v>617</v>
      </c>
      <c r="C13" s="522"/>
    </row>
    <row r="15" spans="2:3" x14ac:dyDescent="0.35">
      <c r="B15">
        <v>2019</v>
      </c>
      <c r="C15" s="38">
        <f>'Chaleur du bâtiment - Emission'!J34+'Chaleur du bâtiment - Emission'!K34+'Electricité - Emissions '!N22+'Mobilité pro.- Emissions'!J28+'Agriculture - Emissions'!J28</f>
        <v>19729.185100938896</v>
      </c>
    </row>
    <row r="16" spans="2:3" x14ac:dyDescent="0.35">
      <c r="B16">
        <v>2023</v>
      </c>
      <c r="C16" s="82">
        <f>'Bilan carbone ACV 2023'!D43</f>
        <v>18441.44284349454</v>
      </c>
    </row>
    <row r="17" spans="2:3" x14ac:dyDescent="0.35">
      <c r="B17" t="s">
        <v>616</v>
      </c>
      <c r="C17" s="76">
        <f>-1+C16/C15</f>
        <v>-6.5270929886661833E-2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A72A-2E23-443B-8AA2-1F3DBF26D0E9}">
  <sheetPr codeName="Feuil20">
    <tabColor rgb="FF7030A0"/>
  </sheetPr>
  <dimension ref="A3:I76"/>
  <sheetViews>
    <sheetView topLeftCell="A5" zoomScaleNormal="100" workbookViewId="0">
      <selection activeCell="H23" sqref="H23"/>
    </sheetView>
  </sheetViews>
  <sheetFormatPr baseColWidth="10" defaultRowHeight="14.5" x14ac:dyDescent="0.35"/>
  <cols>
    <col min="1" max="1" width="20.1796875" customWidth="1"/>
    <col min="2" max="2" width="24.54296875" customWidth="1"/>
    <col min="3" max="3" width="31.26953125" customWidth="1"/>
    <col min="4" max="4" width="18.453125" customWidth="1"/>
    <col min="5" max="5" width="19.90625" customWidth="1"/>
    <col min="6" max="6" width="18.7265625" customWidth="1"/>
    <col min="7" max="7" width="15.453125" customWidth="1"/>
    <col min="8" max="8" width="21.26953125" customWidth="1"/>
    <col min="9" max="9" width="13.54296875" customWidth="1"/>
  </cols>
  <sheetData>
    <row r="3" spans="2:9" s="351" customFormat="1" ht="36" x14ac:dyDescent="0.8">
      <c r="B3" s="352" t="s">
        <v>387</v>
      </c>
    </row>
    <row r="6" spans="2:9" s="310" customFormat="1" x14ac:dyDescent="0.35">
      <c r="B6" s="311" t="s">
        <v>388</v>
      </c>
    </row>
    <row r="9" spans="2:9" ht="29" x14ac:dyDescent="0.35">
      <c r="B9" s="355" t="s">
        <v>398</v>
      </c>
      <c r="C9" s="355" t="s">
        <v>399</v>
      </c>
      <c r="D9" s="355" t="s">
        <v>400</v>
      </c>
      <c r="E9" s="355" t="s">
        <v>401</v>
      </c>
      <c r="F9" s="355" t="s">
        <v>402</v>
      </c>
      <c r="G9" s="355" t="s">
        <v>403</v>
      </c>
      <c r="H9" s="355" t="s">
        <v>423</v>
      </c>
      <c r="I9" s="355" t="s">
        <v>487</v>
      </c>
    </row>
    <row r="10" spans="2:9" x14ac:dyDescent="0.35">
      <c r="B10" s="38" t="s">
        <v>245</v>
      </c>
      <c r="C10" s="38" t="s">
        <v>404</v>
      </c>
      <c r="D10" s="38" t="s">
        <v>424</v>
      </c>
      <c r="E10">
        <v>579</v>
      </c>
      <c r="F10" s="38">
        <v>122.94187500000018</v>
      </c>
      <c r="G10">
        <v>5</v>
      </c>
      <c r="H10" s="38">
        <f>(F10/G10)*E10/1000</f>
        <v>14.23666912500002</v>
      </c>
      <c r="I10" s="38">
        <f>IF(Inventaire[[#This Row],[Quantité 2020]]="X",Inventaire[[#This Row],[2024, t CO2 eq.]],Inventaire[[#This Row],[Quantité 2020]]*Inventaire[[#This Row],[Facteur d''émissions, kg CO2 eq.]]/(Inventaire[[#This Row],[Durée de vie, an]]*1000))</f>
        <v>14.23666912500002</v>
      </c>
    </row>
    <row r="11" spans="2:9" x14ac:dyDescent="0.35">
      <c r="B11" s="38" t="s">
        <v>245</v>
      </c>
      <c r="C11" s="38" t="s">
        <v>405</v>
      </c>
      <c r="D11" s="38" t="s">
        <v>424</v>
      </c>
      <c r="E11">
        <v>33</v>
      </c>
      <c r="H11" s="38">
        <v>3.7453377549410534</v>
      </c>
      <c r="I11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3.7453377549410534</v>
      </c>
    </row>
    <row r="12" spans="2:9" x14ac:dyDescent="0.35">
      <c r="B12" s="38" t="s">
        <v>245</v>
      </c>
      <c r="C12" s="38" t="s">
        <v>406</v>
      </c>
      <c r="D12" s="38" t="s">
        <v>424</v>
      </c>
      <c r="E12">
        <v>7</v>
      </c>
      <c r="H12" s="38">
        <v>0.77600000000000002</v>
      </c>
      <c r="I12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0.77600000000000002</v>
      </c>
    </row>
    <row r="13" spans="2:9" x14ac:dyDescent="0.35">
      <c r="B13" s="38" t="s">
        <v>245</v>
      </c>
      <c r="C13" s="38" t="s">
        <v>407</v>
      </c>
      <c r="D13" s="38">
        <v>10890</v>
      </c>
      <c r="E13">
        <v>25532</v>
      </c>
      <c r="F13" s="38">
        <v>119.25</v>
      </c>
      <c r="G13">
        <v>6</v>
      </c>
      <c r="H13" s="38">
        <f t="shared" ref="H13:H25" si="0">(F13/G13)*E13/1000</f>
        <v>507.44850000000002</v>
      </c>
      <c r="I13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216.43875</v>
      </c>
    </row>
    <row r="14" spans="2:9" x14ac:dyDescent="0.35">
      <c r="B14" s="38" t="s">
        <v>245</v>
      </c>
      <c r="C14" s="38" t="s">
        <v>408</v>
      </c>
      <c r="D14" s="38">
        <v>12142</v>
      </c>
      <c r="E14">
        <v>14468</v>
      </c>
      <c r="F14" s="38">
        <v>281.91999999999996</v>
      </c>
      <c r="G14">
        <v>7</v>
      </c>
      <c r="H14" s="38">
        <f t="shared" si="0"/>
        <v>582.68836571428562</v>
      </c>
      <c r="I14" s="38">
        <f>IF(Inventaire[[#This Row],[Quantité 2020]]="X",Inventaire[[#This Row],[2024, t CO2 eq.]],Inventaire[[#This Row],[Quantité 2020]]*Inventaire[[#This Row],[Facteur d''émissions, kg CO2 eq.]]/(Inventaire[[#This Row],[Durée de vie, an]]*1000))</f>
        <v>489.01037714285707</v>
      </c>
    </row>
    <row r="15" spans="2:9" x14ac:dyDescent="0.35">
      <c r="B15" s="38" t="s">
        <v>245</v>
      </c>
      <c r="C15" s="38" t="s">
        <v>409</v>
      </c>
      <c r="D15" s="38">
        <v>0</v>
      </c>
      <c r="E15">
        <v>11132</v>
      </c>
      <c r="F15" s="38">
        <v>336.12599999999998</v>
      </c>
      <c r="G15">
        <v>7</v>
      </c>
      <c r="H15" s="38">
        <f t="shared" si="0"/>
        <v>534.5363759999999</v>
      </c>
      <c r="I15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</v>
      </c>
    </row>
    <row r="16" spans="2:9" x14ac:dyDescent="0.35">
      <c r="B16" s="38" t="s">
        <v>245</v>
      </c>
      <c r="C16" s="38" t="s">
        <v>410</v>
      </c>
      <c r="D16" s="38" t="s">
        <v>424</v>
      </c>
      <c r="E16">
        <v>5344</v>
      </c>
      <c r="F16" s="38">
        <v>41.179999999999993</v>
      </c>
      <c r="G16">
        <v>5</v>
      </c>
      <c r="H16" s="38">
        <f t="shared" si="0"/>
        <v>44.013183999999995</v>
      </c>
      <c r="I16" s="38">
        <f>IF(Inventaire[[#This Row],[Quantité 2020]]="X",Inventaire[[#This Row],[2024, t CO2 eq.]],Inventaire[[#This Row],[Quantité 2020]]*Inventaire[[#This Row],[Facteur d''émissions, kg CO2 eq.]]/(Inventaire[[#This Row],[Durée de vie, an]]*1000))</f>
        <v>44.013183999999995</v>
      </c>
    </row>
    <row r="17" spans="2:9" x14ac:dyDescent="0.35">
      <c r="B17" s="38" t="s">
        <v>245</v>
      </c>
      <c r="C17" s="38" t="s">
        <v>411</v>
      </c>
      <c r="D17" s="38" t="s">
        <v>424</v>
      </c>
      <c r="E17">
        <v>3548</v>
      </c>
      <c r="F17" s="38">
        <v>18.58235294117647</v>
      </c>
      <c r="G17">
        <v>10</v>
      </c>
      <c r="H17" s="38">
        <f t="shared" si="0"/>
        <v>6.5930188235294116</v>
      </c>
      <c r="I17" s="38">
        <f>IF(Inventaire[[#This Row],[Quantité 2020]]="X",Inventaire[[#This Row],[2024, t CO2 eq.]],Inventaire[[#This Row],[Quantité 2020]]*Inventaire[[#This Row],[Facteur d''émissions, kg CO2 eq.]]/(Inventaire[[#This Row],[Durée de vie, an]]*1000))</f>
        <v>6.5930188235294116</v>
      </c>
    </row>
    <row r="18" spans="2:9" x14ac:dyDescent="0.35">
      <c r="B18" s="38" t="s">
        <v>245</v>
      </c>
      <c r="C18" s="38" t="s">
        <v>412</v>
      </c>
      <c r="D18" s="38" t="s">
        <v>424</v>
      </c>
      <c r="E18">
        <f>7200*2/5+24</f>
        <v>2904</v>
      </c>
      <c r="F18" s="38">
        <v>116.67509433962263</v>
      </c>
      <c r="G18">
        <v>10</v>
      </c>
      <c r="H18" s="38">
        <f t="shared" si="0"/>
        <v>33.882447396226411</v>
      </c>
      <c r="I18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33.882447396226411</v>
      </c>
    </row>
    <row r="19" spans="2:9" s="354" customFormat="1" x14ac:dyDescent="0.35">
      <c r="B19" s="262" t="s">
        <v>245</v>
      </c>
      <c r="C19" s="262" t="s">
        <v>413</v>
      </c>
      <c r="D19" s="262" t="s">
        <v>424</v>
      </c>
      <c r="E19" s="29">
        <f>7200*2/5+7</f>
        <v>2887</v>
      </c>
      <c r="F19" s="262">
        <v>702</v>
      </c>
      <c r="G19" s="29">
        <v>8</v>
      </c>
      <c r="H19" s="262">
        <f t="shared" si="0"/>
        <v>253.33425</v>
      </c>
      <c r="I19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253.33425</v>
      </c>
    </row>
    <row r="20" spans="2:9" x14ac:dyDescent="0.35">
      <c r="B20" s="38" t="s">
        <v>245</v>
      </c>
      <c r="C20" s="38" t="s">
        <v>414</v>
      </c>
      <c r="D20" s="38" t="s">
        <v>424</v>
      </c>
      <c r="E20">
        <v>2124</v>
      </c>
      <c r="F20" s="38">
        <v>0.75800000000000001</v>
      </c>
      <c r="G20">
        <v>5</v>
      </c>
      <c r="H20" s="110">
        <f t="shared" si="0"/>
        <v>0.32199840000000002</v>
      </c>
      <c r="I20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0.32199840000000002</v>
      </c>
    </row>
    <row r="21" spans="2:9" x14ac:dyDescent="0.35">
      <c r="B21" s="38" t="s">
        <v>245</v>
      </c>
      <c r="C21" s="38" t="s">
        <v>415</v>
      </c>
      <c r="D21" s="38">
        <v>15085</v>
      </c>
      <c r="E21">
        <v>920</v>
      </c>
      <c r="F21" s="38">
        <v>320.916</v>
      </c>
      <c r="G21">
        <v>7</v>
      </c>
      <c r="H21" s="38">
        <f t="shared" si="0"/>
        <v>42.177531428571427</v>
      </c>
      <c r="I21" s="38">
        <f>IF(Inventaire[[#This Row],[Quantité 2020]]="X",Inventaire[[#This Row],[2024, t CO2 eq.]],Inventaire[[#This Row],[Quantité 2020]]*Inventaire[[#This Row],[Facteur d''émissions, kg CO2 eq.]]/(Inventaire[[#This Row],[Durée de vie, an]]*1000))</f>
        <v>691.57398000000001</v>
      </c>
    </row>
    <row r="22" spans="2:9" x14ac:dyDescent="0.35">
      <c r="B22" s="38" t="s">
        <v>245</v>
      </c>
      <c r="C22" s="38" t="s">
        <v>416</v>
      </c>
      <c r="D22" s="38" t="s">
        <v>424</v>
      </c>
      <c r="E22">
        <v>5</v>
      </c>
      <c r="F22" s="38">
        <v>64</v>
      </c>
      <c r="G22">
        <v>7</v>
      </c>
      <c r="H22" s="110">
        <f t="shared" si="0"/>
        <v>4.5714285714285707E-2</v>
      </c>
      <c r="I22" s="38">
        <f>IF(Inventaire[[#This Row],[Quantité 2020]]="X",Inventaire[[#This Row],[2024, t CO2 eq.]],Inventaire[[#This Row],[Quantité 2020]]*Inventaire[[#This Row],[Facteur d''émissions, kg CO2 eq.]]/(Inventaire[[#This Row],[Durée de vie, an]]*1000))</f>
        <v>4.5714285714285707E-2</v>
      </c>
    </row>
    <row r="23" spans="2:9" x14ac:dyDescent="0.35">
      <c r="B23" s="38" t="s">
        <v>245</v>
      </c>
      <c r="C23" s="38" t="s">
        <v>396</v>
      </c>
      <c r="D23" s="38">
        <v>7</v>
      </c>
      <c r="E23">
        <v>2</v>
      </c>
      <c r="F23" s="38">
        <v>350</v>
      </c>
      <c r="G23">
        <v>7</v>
      </c>
      <c r="H23" s="110">
        <f t="shared" si="0"/>
        <v>0.1</v>
      </c>
      <c r="I23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0.35</v>
      </c>
    </row>
    <row r="24" spans="2:9" x14ac:dyDescent="0.35">
      <c r="B24" s="38" t="s">
        <v>245</v>
      </c>
      <c r="C24" s="38" t="s">
        <v>417</v>
      </c>
      <c r="D24" s="38">
        <v>901</v>
      </c>
      <c r="E24">
        <v>838</v>
      </c>
      <c r="F24" s="38">
        <v>445.8</v>
      </c>
      <c r="G24">
        <v>5</v>
      </c>
      <c r="H24" s="38">
        <f t="shared" si="0"/>
        <v>74.716080000000005</v>
      </c>
      <c r="I24" s="38">
        <f>IF(Inventaire[[#This Row],[Quantité 2020]]="X",Inventaire[[#This Row],[2024, t CO2 eq.]],Inventaire[[#This Row],[Quantité 2020]]*Inventaire[[#This Row],[Facteur d''émissions, kg CO2 eq.]]/(Inventaire[[#This Row],[Durée de vie, an]]*1000))</f>
        <v>80.333159999999992</v>
      </c>
    </row>
    <row r="25" spans="2:9" x14ac:dyDescent="0.35">
      <c r="B25" s="38" t="s">
        <v>245</v>
      </c>
      <c r="C25" s="38" t="s">
        <v>418</v>
      </c>
      <c r="D25" s="38">
        <v>624</v>
      </c>
      <c r="E25">
        <v>751</v>
      </c>
      <c r="F25" s="38">
        <v>690.5</v>
      </c>
      <c r="G25">
        <v>5</v>
      </c>
      <c r="H25" s="38">
        <f t="shared" si="0"/>
        <v>103.7131</v>
      </c>
      <c r="I25" s="38">
        <f>IF(Inventaire[[#This Row],[Quantité 2020]]="X",Inventaire[[#This Row],[2024, t CO2 eq.]],Inventaire[[#This Row],[Quantité 2020]]*Inventaire[[#This Row],[Facteur d''émissions, kg CO2 eq.]]/(Inventaire[[#This Row],[Durée de vie, an]]*1000))</f>
        <v>86.174400000000006</v>
      </c>
    </row>
    <row r="26" spans="2:9" x14ac:dyDescent="0.35">
      <c r="B26" s="38" t="s">
        <v>245</v>
      </c>
      <c r="C26" s="38" t="s">
        <v>419</v>
      </c>
      <c r="D26" s="38" t="s">
        <v>424</v>
      </c>
      <c r="E26">
        <v>6656</v>
      </c>
      <c r="F26" s="38"/>
      <c r="H26" s="38">
        <f>51779.8542857133/1000</f>
        <v>51.779854285713299</v>
      </c>
      <c r="I26" s="38">
        <f>IF(Inventaire[[#This Row],[Quantité 2020]]="X",Inventaire[[#This Row],[2024, t CO2 eq.]],Inventaire[[#This Row],[Quantité 2020]]*Inventaire[[#This Row],[Facteur d''émissions, kg CO2 eq.]]/(Inventaire[[#This Row],[Durée de vie, an]]*1000))</f>
        <v>51.779854285713299</v>
      </c>
    </row>
    <row r="27" spans="2:9" x14ac:dyDescent="0.35">
      <c r="B27" s="38" t="s">
        <v>245</v>
      </c>
      <c r="C27" s="38" t="s">
        <v>420</v>
      </c>
      <c r="D27" s="38" t="s">
        <v>424</v>
      </c>
      <c r="E27">
        <v>682</v>
      </c>
      <c r="F27" s="38"/>
      <c r="H27" s="38">
        <f>27433.950857143/1000</f>
        <v>27.433950857143003</v>
      </c>
      <c r="I27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27.433950857143003</v>
      </c>
    </row>
    <row r="28" spans="2:9" x14ac:dyDescent="0.35">
      <c r="B28" s="38" t="s">
        <v>422</v>
      </c>
      <c r="C28" s="38" t="s">
        <v>404</v>
      </c>
      <c r="D28" s="38" t="s">
        <v>424</v>
      </c>
      <c r="E28">
        <v>214</v>
      </c>
      <c r="F28" s="38">
        <v>122.94187500000018</v>
      </c>
      <c r="G28">
        <v>5</v>
      </c>
      <c r="H28" s="38">
        <f>(F28/G28)*E28/1000</f>
        <v>5.261912250000008</v>
      </c>
      <c r="I28" s="38">
        <f>IF(Inventaire[[#This Row],[Quantité 2020]]="X",Inventaire[[#This Row],[2024, t CO2 eq.]],Inventaire[[#This Row],[Quantité 2020]]*Inventaire[[#This Row],[Facteur d''émissions, kg CO2 eq.]]/(Inventaire[[#This Row],[Durée de vie, an]]*1000))</f>
        <v>5.261912250000008</v>
      </c>
    </row>
    <row r="29" spans="2:9" x14ac:dyDescent="0.35">
      <c r="B29" s="38" t="s">
        <v>422</v>
      </c>
      <c r="C29" s="38" t="s">
        <v>405</v>
      </c>
      <c r="D29" s="38" t="s">
        <v>424</v>
      </c>
      <c r="E29">
        <f>124+90</f>
        <v>214</v>
      </c>
      <c r="H29" s="38">
        <f>27232.645625/1000</f>
        <v>27.232645625</v>
      </c>
      <c r="I29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27.232645625</v>
      </c>
    </row>
    <row r="30" spans="2:9" x14ac:dyDescent="0.35">
      <c r="B30" s="38" t="s">
        <v>422</v>
      </c>
      <c r="C30" s="38" t="s">
        <v>406</v>
      </c>
      <c r="D30" s="38" t="s">
        <v>424</v>
      </c>
      <c r="E30">
        <v>45</v>
      </c>
      <c r="H30" s="38">
        <f>3606.66666666667/1000</f>
        <v>3.60666666666667</v>
      </c>
      <c r="I30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3.60666666666667</v>
      </c>
    </row>
    <row r="31" spans="2:9" x14ac:dyDescent="0.35">
      <c r="B31" s="38" t="s">
        <v>422</v>
      </c>
      <c r="C31" s="38" t="s">
        <v>409</v>
      </c>
      <c r="D31" s="38" t="s">
        <v>424</v>
      </c>
      <c r="E31">
        <v>5618</v>
      </c>
      <c r="F31" s="38">
        <v>336.12599999999998</v>
      </c>
      <c r="G31">
        <v>7</v>
      </c>
      <c r="H31" s="38">
        <f t="shared" ref="H31:H40" si="1">(F31/G31)*E31/1000</f>
        <v>269.76512399999996</v>
      </c>
      <c r="I31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269.76512399999996</v>
      </c>
    </row>
    <row r="32" spans="2:9" x14ac:dyDescent="0.35">
      <c r="B32" s="38" t="s">
        <v>422</v>
      </c>
      <c r="C32" s="38" t="s">
        <v>415</v>
      </c>
      <c r="D32" s="38">
        <v>7274</v>
      </c>
      <c r="E32">
        <v>4088</v>
      </c>
      <c r="F32" s="38">
        <v>320.916</v>
      </c>
      <c r="G32">
        <v>7</v>
      </c>
      <c r="H32" s="38">
        <f t="shared" si="1"/>
        <v>187.41494399999999</v>
      </c>
      <c r="I32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333.47756914285719</v>
      </c>
    </row>
    <row r="33" spans="2:9" x14ac:dyDescent="0.35">
      <c r="B33" s="38" t="s">
        <v>422</v>
      </c>
      <c r="C33" s="38" t="s">
        <v>416</v>
      </c>
      <c r="D33" s="38">
        <v>2208</v>
      </c>
      <c r="E33">
        <v>3351</v>
      </c>
      <c r="F33" s="38">
        <v>64</v>
      </c>
      <c r="G33">
        <v>7</v>
      </c>
      <c r="H33" s="38">
        <f>(F33/G33)*E33/1000</f>
        <v>30.637714285714281</v>
      </c>
      <c r="I33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20.187428571428573</v>
      </c>
    </row>
    <row r="34" spans="2:9" s="29" customFormat="1" x14ac:dyDescent="0.35">
      <c r="B34" s="262" t="s">
        <v>422</v>
      </c>
      <c r="C34" s="262" t="s">
        <v>408</v>
      </c>
      <c r="D34" s="262">
        <v>1560</v>
      </c>
      <c r="E34" s="29">
        <v>3155</v>
      </c>
      <c r="F34" s="262">
        <v>281.91999999999996</v>
      </c>
      <c r="G34" s="29">
        <v>7</v>
      </c>
      <c r="H34" s="262">
        <f t="shared" si="1"/>
        <v>127.06537142857142</v>
      </c>
      <c r="I34" s="38">
        <f>IF(Inventaire[[#This Row],[Quantité 2020]]="X",Inventaire[[#This Row],[2024, t CO2 eq.]],Inventaire[[#This Row],[Quantité 2020]]*Inventaire[[#This Row],[Facteur d''émissions, kg CO2 eq.]]/(Inventaire[[#This Row],[Durée de vie, an]]*1000))</f>
        <v>62.827885714285706</v>
      </c>
    </row>
    <row r="35" spans="2:9" x14ac:dyDescent="0.35">
      <c r="B35" s="38" t="s">
        <v>422</v>
      </c>
      <c r="C35" s="38" t="s">
        <v>413</v>
      </c>
      <c r="D35" s="38" t="s">
        <v>424</v>
      </c>
      <c r="E35">
        <f>54+1250</f>
        <v>1304</v>
      </c>
      <c r="F35">
        <v>702</v>
      </c>
      <c r="G35">
        <v>8</v>
      </c>
      <c r="H35" s="38">
        <f t="shared" si="1"/>
        <v>114.426</v>
      </c>
      <c r="I35" s="38">
        <f>IF(Inventaire[[#This Row],[Quantité 2020]]="X",Inventaire[[#This Row],[2024, t CO2 eq.]],Inventaire[[#This Row],[Quantité 2020]]*Inventaire[[#This Row],[Facteur d''émissions, kg CO2 eq.]]/(Inventaire[[#This Row],[Durée de vie, an]]*1000))</f>
        <v>114.426</v>
      </c>
    </row>
    <row r="36" spans="2:9" x14ac:dyDescent="0.35">
      <c r="B36" s="38" t="s">
        <v>422</v>
      </c>
      <c r="C36" s="38" t="s">
        <v>407</v>
      </c>
      <c r="D36" s="38" t="s">
        <v>424</v>
      </c>
      <c r="E36">
        <v>872</v>
      </c>
      <c r="F36" s="38">
        <v>119.25</v>
      </c>
      <c r="G36">
        <v>6</v>
      </c>
      <c r="H36" s="38">
        <f t="shared" si="1"/>
        <v>17.331</v>
      </c>
      <c r="I36" s="38">
        <f>IF(Inventaire[[#This Row],[Quantité 2020]]="X",Inventaire[[#This Row],[2024, t CO2 eq.]],Inventaire[[#This Row],[Quantité 2020]]*Inventaire[[#This Row],[Facteur d''émissions, kg CO2 eq.]]/(Inventaire[[#This Row],[Durée de vie, an]]*1000))</f>
        <v>17.331</v>
      </c>
    </row>
    <row r="37" spans="2:9" x14ac:dyDescent="0.35">
      <c r="B37" s="38" t="s">
        <v>422</v>
      </c>
      <c r="C37" s="38" t="s">
        <v>412</v>
      </c>
      <c r="D37" s="38" t="s">
        <v>424</v>
      </c>
      <c r="E37">
        <v>157</v>
      </c>
      <c r="F37" s="110">
        <v>116.67509433962263</v>
      </c>
      <c r="G37">
        <v>10</v>
      </c>
      <c r="H37" s="38">
        <f t="shared" si="1"/>
        <v>1.8317989811320752</v>
      </c>
      <c r="I37" s="38">
        <f>IF(Inventaire[[#This Row],[Quantité 2020]]="X",Inventaire[[#This Row],[2024, t CO2 eq.]],Inventaire[[#This Row],[Quantité 2020]]*Inventaire[[#This Row],[Facteur d''émissions, kg CO2 eq.]]/(Inventaire[[#This Row],[Durée de vie, an]]*1000))</f>
        <v>1.8317989811320752</v>
      </c>
    </row>
    <row r="38" spans="2:9" x14ac:dyDescent="0.35">
      <c r="B38" s="38" t="s">
        <v>422</v>
      </c>
      <c r="C38" s="38" t="s">
        <v>396</v>
      </c>
      <c r="D38" s="38" t="s">
        <v>424</v>
      </c>
      <c r="E38">
        <v>6</v>
      </c>
      <c r="F38">
        <v>350</v>
      </c>
      <c r="G38">
        <v>7</v>
      </c>
      <c r="H38" s="110">
        <f t="shared" si="1"/>
        <v>0.3</v>
      </c>
      <c r="I38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0.3</v>
      </c>
    </row>
    <row r="39" spans="2:9" x14ac:dyDescent="0.35">
      <c r="B39" s="38" t="s">
        <v>422</v>
      </c>
      <c r="C39" s="38" t="s">
        <v>417</v>
      </c>
      <c r="D39" s="38" t="s">
        <v>424</v>
      </c>
      <c r="E39">
        <v>316</v>
      </c>
      <c r="F39" s="38">
        <v>445.8</v>
      </c>
      <c r="G39">
        <v>5</v>
      </c>
      <c r="H39" s="38">
        <f t="shared" si="1"/>
        <v>28.174559999999996</v>
      </c>
      <c r="I39" s="38">
        <f>IF(Inventaire[[#This Row],[Quantité 2020]]="X",Inventaire[[#This Row],[2024, t CO2 eq.]],Inventaire[[#This Row],[Quantité 2020]]*Inventaire[[#This Row],[Facteur d''émissions, kg CO2 eq.]]/(Inventaire[[#This Row],[Durée de vie, an]]*1000))</f>
        <v>28.174559999999996</v>
      </c>
    </row>
    <row r="40" spans="2:9" x14ac:dyDescent="0.35">
      <c r="B40" s="38" t="s">
        <v>422</v>
      </c>
      <c r="C40" s="38" t="s">
        <v>418</v>
      </c>
      <c r="D40" s="38" t="s">
        <v>424</v>
      </c>
      <c r="E40">
        <v>269</v>
      </c>
      <c r="F40" s="38">
        <v>690.5</v>
      </c>
      <c r="G40">
        <v>5</v>
      </c>
      <c r="H40" s="38">
        <f t="shared" si="1"/>
        <v>37.148900000000005</v>
      </c>
      <c r="I40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37.148900000000005</v>
      </c>
    </row>
    <row r="41" spans="2:9" x14ac:dyDescent="0.35">
      <c r="B41" s="38" t="s">
        <v>422</v>
      </c>
      <c r="C41" s="38" t="s">
        <v>419</v>
      </c>
      <c r="D41" s="38" t="s">
        <v>424</v>
      </c>
      <c r="E41">
        <f>1377+308</f>
        <v>1685</v>
      </c>
      <c r="H41" s="38">
        <f>11719.4573949577/1000</f>
        <v>11.719457394957701</v>
      </c>
      <c r="I41" s="38">
        <f>IF(Inventaire[[#This Row],[Quantité 2020]]="X",Inventaire[[#This Row],[2024, t CO2 eq.]],Inventaire[[#This Row],[Quantité 2020]]*Inventaire[[#This Row],[Facteur d''émissions, kg CO2 eq.]]/(Inventaire[[#This Row],[Durée de vie, an]]*1000))</f>
        <v>11.719457394957701</v>
      </c>
    </row>
    <row r="42" spans="2:9" x14ac:dyDescent="0.35">
      <c r="B42" s="38" t="s">
        <v>422</v>
      </c>
      <c r="C42" s="38" t="s">
        <v>420</v>
      </c>
      <c r="D42" s="38" t="s">
        <v>424</v>
      </c>
      <c r="E42">
        <f>482+587</f>
        <v>1069</v>
      </c>
      <c r="H42" s="38">
        <f>36799.9821428572/1000</f>
        <v>36.799982142857203</v>
      </c>
      <c r="I42" s="38">
        <f>IF(Inventaire[[#This Row],[Quantité 2020]]="X",Inventaire[[#This Row],[2024, t CO2 eq.]],Inventaire[[#This Row],[Quantité 2020]]*Inventaire[[#This Row],[Facteur d''émissions, kg CO2 eq.]]/(Inventaire[[#This Row],[Durée de vie, an]]*1000))</f>
        <v>36.799982142857203</v>
      </c>
    </row>
    <row r="43" spans="2:9" x14ac:dyDescent="0.35">
      <c r="B43" s="38" t="s">
        <v>422</v>
      </c>
      <c r="C43" s="38" t="s">
        <v>421</v>
      </c>
      <c r="D43" s="38" t="s">
        <v>424</v>
      </c>
      <c r="E43">
        <v>468</v>
      </c>
      <c r="F43">
        <v>0</v>
      </c>
      <c r="G43">
        <v>0</v>
      </c>
      <c r="H43" s="38">
        <v>0</v>
      </c>
      <c r="I43" s="38">
        <f>IF(Inventaire[[#This Row],[Quantité 2020]]="X",Inventaire[[#This Row],[2024, t CO2 eq.]],Inventaire[[#This Row],[Quantité 2020]]*Inventaire[[#This Row],[Facteur d''émissions, kg CO2 eq.]]/(Inventaire[[#This Row],[Durée de vie, an]]*1000))</f>
        <v>0</v>
      </c>
    </row>
    <row r="44" spans="2:9" x14ac:dyDescent="0.35">
      <c r="B44" s="339"/>
      <c r="C44" s="339"/>
      <c r="D44" s="339"/>
      <c r="E44" s="310"/>
      <c r="F44" s="310"/>
      <c r="G44" s="311" t="s">
        <v>24</v>
      </c>
      <c r="H44" s="323">
        <f>SUM(H10:H43)</f>
        <v>3180.2584548460236</v>
      </c>
      <c r="I44" s="323">
        <f>SUM(I10:I43)</f>
        <v>2970.1340225603094</v>
      </c>
    </row>
    <row r="45" spans="2:9" ht="17.149999999999999" customHeight="1" x14ac:dyDescent="0.35"/>
    <row r="51" spans="1:8" s="310" customFormat="1" x14ac:dyDescent="0.35">
      <c r="A51" s="353"/>
      <c r="B51" s="311" t="s">
        <v>606</v>
      </c>
      <c r="C51" s="353"/>
      <c r="D51" s="353"/>
      <c r="E51" s="353"/>
      <c r="F51" s="353"/>
      <c r="G51" s="353"/>
      <c r="H51" s="353"/>
    </row>
    <row r="53" spans="1:8" x14ac:dyDescent="0.35">
      <c r="B53" s="1" t="s">
        <v>602</v>
      </c>
    </row>
    <row r="54" spans="1:8" x14ac:dyDescent="0.35">
      <c r="B54" t="s">
        <v>601</v>
      </c>
      <c r="C54">
        <v>89.4</v>
      </c>
      <c r="D54" t="s">
        <v>186</v>
      </c>
    </row>
    <row r="57" spans="1:8" s="310" customFormat="1" x14ac:dyDescent="0.35">
      <c r="B57" s="311" t="s">
        <v>568</v>
      </c>
    </row>
    <row r="59" spans="1:8" x14ac:dyDescent="0.35">
      <c r="B59" s="477" t="s">
        <v>332</v>
      </c>
      <c r="C59" s="477" t="s">
        <v>569</v>
      </c>
      <c r="D59" s="311" t="s">
        <v>393</v>
      </c>
      <c r="E59" s="311" t="s">
        <v>397</v>
      </c>
    </row>
    <row r="60" spans="1:8" x14ac:dyDescent="0.35">
      <c r="B60" s="476" t="s">
        <v>570</v>
      </c>
      <c r="C60" s="476">
        <v>304</v>
      </c>
      <c r="D60" s="510">
        <f>H11/E11*1000</f>
        <v>113.49508348306223</v>
      </c>
      <c r="E60">
        <f>C60*D60/1000</f>
        <v>34.50250537885092</v>
      </c>
    </row>
    <row r="61" spans="1:8" x14ac:dyDescent="0.35">
      <c r="B61" s="476" t="s">
        <v>571</v>
      </c>
      <c r="C61" s="476">
        <v>151</v>
      </c>
      <c r="D61" s="511">
        <f>E28</f>
        <v>214</v>
      </c>
      <c r="E61">
        <f t="shared" ref="E61:E63" si="2">C61*D61/1000</f>
        <v>32.314</v>
      </c>
    </row>
    <row r="62" spans="1:8" x14ac:dyDescent="0.35">
      <c r="B62" s="476" t="s">
        <v>572</v>
      </c>
      <c r="C62" s="476">
        <v>2042</v>
      </c>
      <c r="D62" s="512">
        <f>H41/E41*1000</f>
        <v>6.9551675934467063</v>
      </c>
      <c r="E62">
        <f t="shared" si="2"/>
        <v>14.202452225818176</v>
      </c>
    </row>
    <row r="63" spans="1:8" x14ac:dyDescent="0.35">
      <c r="B63" s="476" t="s">
        <v>573</v>
      </c>
      <c r="C63" s="476">
        <v>1152</v>
      </c>
      <c r="D63" s="512">
        <f>H42/E42*1000</f>
        <v>34.424679273018896</v>
      </c>
      <c r="E63">
        <f t="shared" si="2"/>
        <v>39.657230522517771</v>
      </c>
    </row>
    <row r="64" spans="1:8" x14ac:dyDescent="0.35">
      <c r="B64" s="476" t="s">
        <v>420</v>
      </c>
      <c r="C64" s="476">
        <v>1889</v>
      </c>
      <c r="D64" s="512">
        <f>D63</f>
        <v>34.424679273018896</v>
      </c>
      <c r="E64">
        <f>C64*D64/1000</f>
        <v>65.028219146732695</v>
      </c>
    </row>
    <row r="65" spans="1:8" x14ac:dyDescent="0.35">
      <c r="B65" s="310" t="s">
        <v>24</v>
      </c>
      <c r="C65" s="310"/>
      <c r="D65" s="310"/>
      <c r="E65" s="323">
        <f>SUM(E60:E64)</f>
        <v>185.70440727391957</v>
      </c>
    </row>
    <row r="67" spans="1:8" x14ac:dyDescent="0.35">
      <c r="A67" s="310"/>
      <c r="B67" s="311" t="s">
        <v>389</v>
      </c>
      <c r="C67" s="310"/>
      <c r="D67" s="310"/>
      <c r="E67" s="310"/>
      <c r="F67" s="310"/>
      <c r="G67" s="310"/>
      <c r="H67" s="310"/>
    </row>
    <row r="70" spans="1:8" x14ac:dyDescent="0.35">
      <c r="B70" t="s">
        <v>390</v>
      </c>
      <c r="C70">
        <v>5</v>
      </c>
      <c r="D70" t="s">
        <v>391</v>
      </c>
    </row>
    <row r="72" spans="1:8" x14ac:dyDescent="0.35">
      <c r="B72" s="311" t="s">
        <v>392</v>
      </c>
      <c r="C72" s="311" t="s">
        <v>211</v>
      </c>
      <c r="D72" s="311" t="s">
        <v>393</v>
      </c>
      <c r="E72" s="311" t="s">
        <v>397</v>
      </c>
    </row>
    <row r="73" spans="1:8" x14ac:dyDescent="0.35">
      <c r="B73" t="s">
        <v>394</v>
      </c>
      <c r="C73">
        <v>700</v>
      </c>
      <c r="D73">
        <f>20+98+2</f>
        <v>120</v>
      </c>
      <c r="E73">
        <f>C73*D73/(C70*1000)</f>
        <v>16.8</v>
      </c>
    </row>
    <row r="74" spans="1:8" x14ac:dyDescent="0.35">
      <c r="B74" t="s">
        <v>395</v>
      </c>
      <c r="C74">
        <v>1500</v>
      </c>
      <c r="D74">
        <f>680+11</f>
        <v>691</v>
      </c>
      <c r="E74">
        <f>C74*D74/(C70*1000)</f>
        <v>207.3</v>
      </c>
    </row>
    <row r="75" spans="1:8" x14ac:dyDescent="0.35">
      <c r="B75" t="s">
        <v>396</v>
      </c>
      <c r="C75">
        <v>5</v>
      </c>
      <c r="D75">
        <v>350</v>
      </c>
      <c r="E75">
        <f xml:space="preserve"> (C75*D75) / (C70*1000)</f>
        <v>0.35</v>
      </c>
    </row>
    <row r="76" spans="1:8" x14ac:dyDescent="0.35">
      <c r="B76" s="310" t="s">
        <v>24</v>
      </c>
      <c r="C76" s="310"/>
      <c r="D76" s="310"/>
      <c r="E76" s="323">
        <f>SUM(E73:E75)</f>
        <v>224.45000000000002</v>
      </c>
    </row>
  </sheetData>
  <pageMargins left="0.7" right="0.7" top="0.75" bottom="0.75" header="0.3" footer="0.3"/>
  <ignoredErrors>
    <ignoredError sqref="I10:I16 I18:I44" calculatedColumn="1"/>
  </ignoredErrors>
  <legacy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1AFA-A50E-445E-BB21-FF80CE0C571A}">
  <sheetPr codeName="Feuil21">
    <tabColor rgb="FF7030A0"/>
  </sheetPr>
  <dimension ref="A2:AI38"/>
  <sheetViews>
    <sheetView topLeftCell="C1" workbookViewId="0">
      <selection activeCell="O30" sqref="O30"/>
    </sheetView>
  </sheetViews>
  <sheetFormatPr baseColWidth="10" defaultRowHeight="14.5" x14ac:dyDescent="0.35"/>
  <cols>
    <col min="3" max="3" width="34" customWidth="1"/>
    <col min="4" max="4" width="27.54296875" customWidth="1"/>
    <col min="5" max="5" width="14" hidden="1" customWidth="1"/>
    <col min="6" max="6" width="12.54296875" hidden="1" customWidth="1"/>
  </cols>
  <sheetData>
    <row r="2" spans="1:23" s="182" customFormat="1" ht="28.5" x14ac:dyDescent="0.65">
      <c r="B2" s="202" t="s">
        <v>625</v>
      </c>
    </row>
    <row r="4" spans="1:23" s="176" customFormat="1" x14ac:dyDescent="0.35">
      <c r="A4" s="195">
        <v>2023</v>
      </c>
    </row>
    <row r="5" spans="1:23" x14ac:dyDescent="0.35">
      <c r="C5" s="8"/>
    </row>
    <row r="6" spans="1:23" x14ac:dyDescent="0.35">
      <c r="G6" s="574" t="s">
        <v>523</v>
      </c>
      <c r="H6" s="575"/>
      <c r="I6" s="575"/>
      <c r="J6" s="576"/>
      <c r="K6" s="574" t="s">
        <v>520</v>
      </c>
      <c r="L6" s="575"/>
      <c r="M6" s="575"/>
      <c r="N6" s="576"/>
      <c r="O6" s="574" t="s">
        <v>547</v>
      </c>
      <c r="P6" s="575"/>
      <c r="Q6" s="575"/>
      <c r="R6" s="576"/>
      <c r="S6" s="574" t="s">
        <v>522</v>
      </c>
      <c r="T6" s="575"/>
      <c r="U6" s="575"/>
      <c r="V6" s="575"/>
    </row>
    <row r="7" spans="1:23" ht="15" thickBot="1" x14ac:dyDescent="0.4">
      <c r="B7" s="210" t="s">
        <v>16</v>
      </c>
      <c r="C7" s="10" t="s">
        <v>246</v>
      </c>
      <c r="D7" s="11" t="s">
        <v>17</v>
      </c>
      <c r="E7" s="171"/>
      <c r="F7" s="171"/>
      <c r="G7" s="9" t="s">
        <v>55</v>
      </c>
      <c r="H7" s="171" t="s">
        <v>18</v>
      </c>
      <c r="I7" s="171" t="s">
        <v>59</v>
      </c>
      <c r="J7" s="171" t="s">
        <v>19</v>
      </c>
      <c r="K7" s="9" t="s">
        <v>55</v>
      </c>
      <c r="L7" s="171" t="s">
        <v>18</v>
      </c>
      <c r="M7" s="171" t="s">
        <v>59</v>
      </c>
      <c r="N7" s="171" t="s">
        <v>19</v>
      </c>
      <c r="O7" s="9" t="s">
        <v>55</v>
      </c>
      <c r="P7" s="171" t="s">
        <v>18</v>
      </c>
      <c r="Q7" s="171" t="s">
        <v>59</v>
      </c>
      <c r="R7" s="11" t="s">
        <v>19</v>
      </c>
      <c r="S7" s="9" t="s">
        <v>55</v>
      </c>
      <c r="T7" s="171" t="s">
        <v>18</v>
      </c>
      <c r="U7" s="171" t="s">
        <v>59</v>
      </c>
      <c r="V7" s="11" t="s">
        <v>19</v>
      </c>
      <c r="W7" s="15"/>
    </row>
    <row r="8" spans="1:23" ht="15" thickTop="1" x14ac:dyDescent="0.35">
      <c r="B8" s="203">
        <v>2023</v>
      </c>
      <c r="C8" s="204" t="s">
        <v>625</v>
      </c>
      <c r="D8" s="203" t="s">
        <v>241</v>
      </c>
      <c r="E8" s="203"/>
      <c r="F8" s="203"/>
      <c r="G8" s="203">
        <v>0</v>
      </c>
      <c r="H8" s="166">
        <v>0</v>
      </c>
      <c r="I8" s="166">
        <v>0</v>
      </c>
      <c r="J8">
        <v>0</v>
      </c>
      <c r="K8" s="15">
        <v>0</v>
      </c>
      <c r="L8" s="166">
        <v>0</v>
      </c>
      <c r="M8" s="166">
        <v>0</v>
      </c>
      <c r="N8" s="166">
        <v>0</v>
      </c>
      <c r="O8" s="495">
        <v>0</v>
      </c>
      <c r="P8" s="496">
        <v>0</v>
      </c>
      <c r="Q8" s="496">
        <v>0</v>
      </c>
      <c r="R8" s="378">
        <f>'Achat courant - Calcul'!C15</f>
        <v>4518.5319012544005</v>
      </c>
      <c r="S8" s="203">
        <v>0</v>
      </c>
      <c r="T8" s="166">
        <v>0</v>
      </c>
      <c r="U8" s="166">
        <v>0</v>
      </c>
      <c r="V8" s="378">
        <f>R8</f>
        <v>4518.5319012544005</v>
      </c>
      <c r="W8" s="15"/>
    </row>
    <row r="9" spans="1:23" x14ac:dyDescent="0.35">
      <c r="B9" s="203">
        <v>2023</v>
      </c>
      <c r="C9" s="208"/>
      <c r="D9" s="203" t="s">
        <v>239</v>
      </c>
      <c r="E9" s="203"/>
      <c r="F9" s="203"/>
      <c r="G9" s="60">
        <v>0</v>
      </c>
      <c r="H9" s="206">
        <v>0</v>
      </c>
      <c r="I9" s="206">
        <v>0</v>
      </c>
      <c r="J9">
        <v>0</v>
      </c>
      <c r="K9" s="15">
        <v>0</v>
      </c>
      <c r="L9" s="206">
        <v>0</v>
      </c>
      <c r="M9" s="206">
        <v>0</v>
      </c>
      <c r="N9" s="206">
        <v>0</v>
      </c>
      <c r="O9" s="497">
        <v>0</v>
      </c>
      <c r="P9" s="378">
        <v>0</v>
      </c>
      <c r="Q9" s="378">
        <v>0</v>
      </c>
      <c r="R9" s="378">
        <f>'Achat courant - Calcul'!C9</f>
        <v>10590.525772000001</v>
      </c>
      <c r="S9" s="60">
        <v>0</v>
      </c>
      <c r="T9" s="206">
        <v>0</v>
      </c>
      <c r="U9" s="206"/>
      <c r="V9" s="378">
        <f>R9</f>
        <v>10590.525772000001</v>
      </c>
      <c r="W9" s="15"/>
    </row>
    <row r="10" spans="1:23" x14ac:dyDescent="0.35">
      <c r="B10" s="22"/>
      <c r="C10" s="23"/>
      <c r="D10" s="24"/>
      <c r="E10" s="24"/>
      <c r="F10" s="61">
        <v>0</v>
      </c>
      <c r="G10" s="61">
        <v>0</v>
      </c>
      <c r="H10" s="62">
        <v>0</v>
      </c>
      <c r="I10" s="62">
        <v>0</v>
      </c>
      <c r="J10" s="62">
        <v>0</v>
      </c>
      <c r="K10" s="61">
        <v>0</v>
      </c>
      <c r="L10" s="62">
        <v>0</v>
      </c>
      <c r="M10" s="62">
        <v>0</v>
      </c>
      <c r="N10" s="62">
        <v>0</v>
      </c>
      <c r="O10" s="293">
        <v>0</v>
      </c>
      <c r="P10" s="281">
        <v>0</v>
      </c>
      <c r="Q10" s="281">
        <v>0</v>
      </c>
      <c r="R10" s="498">
        <f>SUM(R8:R9)</f>
        <v>15109.057673254401</v>
      </c>
      <c r="S10" s="61">
        <v>0</v>
      </c>
      <c r="T10" s="62">
        <v>0</v>
      </c>
      <c r="U10" s="62">
        <v>0</v>
      </c>
      <c r="V10" s="65">
        <f>SUM(V8:V9)</f>
        <v>15109.057673254401</v>
      </c>
      <c r="W10" s="15"/>
    </row>
    <row r="11" spans="1:23" x14ac:dyDescent="0.35">
      <c r="B11" s="203">
        <v>2023</v>
      </c>
      <c r="C11" s="208" t="s">
        <v>592</v>
      </c>
      <c r="D11" s="166"/>
      <c r="E11" s="107">
        <f>'Achat courant - Calcul'!D44</f>
        <v>34373513.479999997</v>
      </c>
      <c r="F11" s="166" t="s">
        <v>450</v>
      </c>
      <c r="G11" s="492">
        <f>_xlfn.XLOOKUP($W$11,'Facteur émissions'!$B:$B,'Facteur émissions'!D:D)*'Achats courants - Emissions '!$E$11/1000</f>
        <v>0</v>
      </c>
      <c r="H11" s="206">
        <f>_xlfn.XLOOKUP($W$11,'Facteur émissions'!$B:$B,'Facteur émissions'!E:E)*'Achats courants - Emissions '!$E$11/1000</f>
        <v>0</v>
      </c>
      <c r="I11" s="494">
        <f>_xlfn.XLOOKUP($W$11,'Facteur émissions'!$B:$B,'Facteur émissions'!F:F)*'Achats courants - Emissions '!$E$11/1000</f>
        <v>0</v>
      </c>
      <c r="J11" s="493">
        <f>_xlfn.XLOOKUP($W$11,'Facteur émissions'!$B:$B,'Facteur émissions'!G:G)*'Achats courants - Emissions '!$E$11/1000</f>
        <v>0</v>
      </c>
      <c r="K11" s="492">
        <f>_xlfn.XLOOKUP($W$11,'Facteur émissions'!$B:$B,'Facteur émissions'!H:H)*'Achats courants - Emissions '!$E$11/1000</f>
        <v>0</v>
      </c>
      <c r="L11" s="206">
        <f>_xlfn.XLOOKUP($W$11,'Facteur émissions'!$B:$B,'Facteur émissions'!I:I)*'Achats courants - Emissions '!$E$11/1000</f>
        <v>0</v>
      </c>
      <c r="M11" s="494">
        <f>_xlfn.XLOOKUP($W$11,'Facteur émissions'!$B:$B,'Facteur émissions'!J:J)*'Achats courants - Emissions '!$E$11/1000</f>
        <v>0</v>
      </c>
      <c r="N11" s="493">
        <f>_xlfn.XLOOKUP($W$11,'Facteur émissions'!$B:$B,'Facteur émissions'!K:K)*'Achats courants - Emissions '!$E$11/1000</f>
        <v>0</v>
      </c>
      <c r="O11" s="499">
        <f>_xlfn.XLOOKUP($W$11,'Facteur émissions'!$B:$B,'Facteur émissions'!L:L)*'Achats courants - Emissions '!$E$11/1000</f>
        <v>1488.4958962321425</v>
      </c>
      <c r="P11" s="500">
        <f>_xlfn.XLOOKUP($W$11,'Facteur émissions'!$B:$B,'Facteur émissions'!M:M)*'Achats courants - Emissions '!$E$11/1000</f>
        <v>0</v>
      </c>
      <c r="Q11" s="378">
        <f>_xlfn.XLOOKUP($W$11,'Facteur émissions'!$B:$B,'Facteur émissions'!N:N)*'Achats courants - Emissions '!$E$11/1000</f>
        <v>0</v>
      </c>
      <c r="R11" s="501">
        <f>_xlfn.XLOOKUP($W$11,'Facteur émissions'!$B:$B,'Facteur émissions'!O:O)*'Achats courants - Emissions '!$E$11/1000</f>
        <v>1488.4958962321425</v>
      </c>
      <c r="S11" s="492">
        <f>_xlfn.XLOOKUP($W$11,'Facteur émissions'!$B:$B,'Facteur émissions'!P:P)*'Achats courants - Emissions '!$E$11/1000</f>
        <v>1488.4958962321425</v>
      </c>
      <c r="T11" s="206">
        <f>_xlfn.XLOOKUP($W$11,'Facteur émissions'!$B:$B,'Facteur émissions'!Q:Q)*'Achats courants - Emissions '!$E$11/1000</f>
        <v>0</v>
      </c>
      <c r="U11" s="494">
        <f>_xlfn.XLOOKUP($W$11,'Facteur émissions'!$B:$B,'Facteur émissions'!R:R)*'Achats courants - Emissions '!$E$11/1000</f>
        <v>0</v>
      </c>
      <c r="V11" s="378">
        <f>_xlfn.XLOOKUP($W$11,'Facteur émissions'!$B:$B,'Facteur émissions'!S:S)*'Achats courants - Emissions '!$E$11/1000</f>
        <v>1488.4958962321425</v>
      </c>
      <c r="W11" s="491" t="s">
        <v>595</v>
      </c>
    </row>
    <row r="12" spans="1:23" x14ac:dyDescent="0.35">
      <c r="B12" s="21" t="s">
        <v>23</v>
      </c>
      <c r="C12" s="22"/>
      <c r="D12" s="23"/>
      <c r="E12" s="24"/>
      <c r="F12" s="24"/>
      <c r="G12" s="61">
        <f t="shared" ref="G12:V12" si="0">G11</f>
        <v>0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1">
        <f t="shared" si="0"/>
        <v>0</v>
      </c>
      <c r="L12" s="62">
        <f t="shared" si="0"/>
        <v>0</v>
      </c>
      <c r="M12" s="62">
        <f t="shared" si="0"/>
        <v>0</v>
      </c>
      <c r="N12" s="62">
        <f t="shared" si="0"/>
        <v>0</v>
      </c>
      <c r="O12" s="293">
        <f t="shared" si="0"/>
        <v>1488.4958962321425</v>
      </c>
      <c r="P12" s="281">
        <f t="shared" si="0"/>
        <v>0</v>
      </c>
      <c r="Q12" s="281">
        <f t="shared" si="0"/>
        <v>0</v>
      </c>
      <c r="R12" s="281">
        <f t="shared" si="0"/>
        <v>1488.4958962321425</v>
      </c>
      <c r="S12" s="61">
        <f t="shared" si="0"/>
        <v>1488.4958962321425</v>
      </c>
      <c r="T12" s="62">
        <f t="shared" si="0"/>
        <v>0</v>
      </c>
      <c r="U12" s="62">
        <f t="shared" si="0"/>
        <v>0</v>
      </c>
      <c r="V12" s="65">
        <f t="shared" si="0"/>
        <v>1488.4958962321425</v>
      </c>
      <c r="W12" s="15"/>
    </row>
    <row r="13" spans="1:23" x14ac:dyDescent="0.35">
      <c r="B13" s="196" t="s">
        <v>24</v>
      </c>
      <c r="C13" s="197"/>
      <c r="D13" s="198"/>
      <c r="E13" s="199"/>
      <c r="F13" s="199"/>
      <c r="G13" s="196"/>
      <c r="H13" s="199"/>
      <c r="I13" s="199"/>
      <c r="J13" s="199"/>
      <c r="K13" s="196"/>
      <c r="L13" s="199"/>
      <c r="M13" s="199"/>
      <c r="N13" s="199"/>
      <c r="O13" s="502"/>
      <c r="P13" s="503"/>
      <c r="Q13" s="503"/>
      <c r="R13" s="504"/>
      <c r="S13" s="412"/>
      <c r="T13" s="413"/>
      <c r="U13" s="413"/>
      <c r="V13" s="414"/>
      <c r="W13" s="15"/>
    </row>
    <row r="14" spans="1:23" x14ac:dyDescent="0.35">
      <c r="K14" s="15"/>
      <c r="O14" s="200"/>
      <c r="P14" s="200"/>
      <c r="Q14" s="200"/>
      <c r="R14" s="200"/>
    </row>
    <row r="15" spans="1:23" s="176" customFormat="1" x14ac:dyDescent="0.35">
      <c r="A15" s="195">
        <v>2019</v>
      </c>
      <c r="K15" s="277"/>
      <c r="O15" s="505"/>
      <c r="P15" s="505"/>
      <c r="Q15" s="505"/>
      <c r="R15" s="505"/>
    </row>
    <row r="16" spans="1:23" x14ac:dyDescent="0.35">
      <c r="K16" s="15"/>
      <c r="O16" s="200"/>
      <c r="P16" s="200"/>
      <c r="Q16" s="200"/>
      <c r="R16" s="200"/>
    </row>
    <row r="17" spans="1:35" s="176" customFormat="1" x14ac:dyDescent="0.35">
      <c r="A17"/>
      <c r="B17"/>
      <c r="C17"/>
      <c r="D17"/>
      <c r="E17"/>
      <c r="F17"/>
      <c r="G17" s="574" t="s">
        <v>523</v>
      </c>
      <c r="H17" s="575"/>
      <c r="I17" s="575"/>
      <c r="J17" s="576"/>
      <c r="K17" s="574" t="s">
        <v>520</v>
      </c>
      <c r="L17" s="575"/>
      <c r="M17" s="575"/>
      <c r="N17" s="576"/>
      <c r="O17" s="574" t="s">
        <v>547</v>
      </c>
      <c r="P17" s="575"/>
      <c r="Q17" s="575"/>
      <c r="R17" s="576"/>
      <c r="S17" s="574" t="s">
        <v>522</v>
      </c>
      <c r="T17" s="575"/>
      <c r="U17" s="575"/>
      <c r="V17" s="575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5" thickBot="1" x14ac:dyDescent="0.4">
      <c r="B18" s="9" t="s">
        <v>16</v>
      </c>
      <c r="C18" s="10" t="s">
        <v>246</v>
      </c>
      <c r="D18" s="11" t="s">
        <v>17</v>
      </c>
      <c r="E18" s="13"/>
      <c r="F18" s="13"/>
      <c r="G18" s="12" t="s">
        <v>55</v>
      </c>
      <c r="H18" s="13" t="s">
        <v>18</v>
      </c>
      <c r="I18" s="13" t="s">
        <v>59</v>
      </c>
      <c r="J18" s="13" t="s">
        <v>19</v>
      </c>
      <c r="K18" s="9" t="s">
        <v>55</v>
      </c>
      <c r="L18" s="171" t="s">
        <v>18</v>
      </c>
      <c r="M18" s="171" t="s">
        <v>59</v>
      </c>
      <c r="N18" s="11" t="s">
        <v>19</v>
      </c>
      <c r="O18" s="506" t="s">
        <v>55</v>
      </c>
      <c r="P18" s="507" t="s">
        <v>18</v>
      </c>
      <c r="Q18" s="507" t="s">
        <v>59</v>
      </c>
      <c r="R18" s="508" t="s">
        <v>19</v>
      </c>
      <c r="S18" s="12" t="s">
        <v>55</v>
      </c>
      <c r="T18" s="13" t="s">
        <v>18</v>
      </c>
      <c r="U18" s="13" t="s">
        <v>59</v>
      </c>
      <c r="V18" s="13" t="s">
        <v>19</v>
      </c>
      <c r="W18" s="15"/>
    </row>
    <row r="19" spans="1:35" ht="15" thickTop="1" x14ac:dyDescent="0.35">
      <c r="B19" s="203">
        <v>2019</v>
      </c>
      <c r="C19" s="204" t="s">
        <v>625</v>
      </c>
      <c r="D19" s="203" t="s">
        <v>241</v>
      </c>
      <c r="E19" s="203"/>
      <c r="F19" s="203"/>
      <c r="G19" s="203">
        <v>0</v>
      </c>
      <c r="H19" s="166">
        <v>0</v>
      </c>
      <c r="I19" s="166">
        <v>0</v>
      </c>
      <c r="J19">
        <v>0</v>
      </c>
      <c r="K19" s="15">
        <v>0</v>
      </c>
      <c r="L19" s="166">
        <v>0</v>
      </c>
      <c r="M19" s="166">
        <v>0</v>
      </c>
      <c r="N19" s="166">
        <v>0</v>
      </c>
      <c r="O19" s="495">
        <v>0</v>
      </c>
      <c r="P19" s="496">
        <v>0</v>
      </c>
      <c r="Q19" s="496">
        <v>0</v>
      </c>
      <c r="R19" s="113">
        <f>'Achat courant - Calcul'!C21</f>
        <v>3963.6244747845622</v>
      </c>
      <c r="S19" s="203">
        <v>0</v>
      </c>
      <c r="T19" s="166">
        <v>0</v>
      </c>
      <c r="U19" s="166">
        <v>0</v>
      </c>
      <c r="V19" s="113">
        <f>R19</f>
        <v>3963.6244747845622</v>
      </c>
      <c r="W19" s="15"/>
    </row>
    <row r="20" spans="1:35" x14ac:dyDescent="0.35">
      <c r="B20" s="15">
        <v>2019</v>
      </c>
      <c r="C20" s="16"/>
      <c r="D20" s="203" t="s">
        <v>239</v>
      </c>
      <c r="E20" s="203"/>
      <c r="F20" s="203"/>
      <c r="G20" s="60">
        <v>0</v>
      </c>
      <c r="H20" s="206">
        <v>0</v>
      </c>
      <c r="I20" s="206">
        <v>0</v>
      </c>
      <c r="J20">
        <v>0</v>
      </c>
      <c r="K20" s="15">
        <v>0</v>
      </c>
      <c r="L20" s="206">
        <v>0</v>
      </c>
      <c r="M20" s="206">
        <v>0</v>
      </c>
      <c r="N20" s="206">
        <v>0</v>
      </c>
      <c r="O20" s="497">
        <v>0</v>
      </c>
      <c r="P20" s="378">
        <v>0</v>
      </c>
      <c r="Q20" s="378">
        <v>0</v>
      </c>
      <c r="R20" s="378">
        <f>'Achat courant - Calcul'!C22</f>
        <v>9289.9348877193006</v>
      </c>
      <c r="S20" s="60">
        <v>0</v>
      </c>
      <c r="T20" s="206">
        <v>0</v>
      </c>
      <c r="U20" s="206"/>
      <c r="V20" s="378">
        <f>R20</f>
        <v>9289.9348877193006</v>
      </c>
      <c r="W20" s="15"/>
    </row>
    <row r="21" spans="1:35" x14ac:dyDescent="0.35">
      <c r="B21" s="21" t="s">
        <v>23</v>
      </c>
      <c r="C21" s="22"/>
      <c r="D21" s="23"/>
      <c r="E21" s="24"/>
      <c r="F21" s="24"/>
      <c r="G21" s="61">
        <v>0</v>
      </c>
      <c r="H21" s="62">
        <v>0</v>
      </c>
      <c r="I21" s="62">
        <v>0</v>
      </c>
      <c r="J21" s="62">
        <v>0</v>
      </c>
      <c r="K21" s="61">
        <v>0</v>
      </c>
      <c r="L21" s="62">
        <v>0</v>
      </c>
      <c r="M21" s="62">
        <v>0</v>
      </c>
      <c r="N21" s="62">
        <v>0</v>
      </c>
      <c r="O21" s="293">
        <v>0</v>
      </c>
      <c r="P21" s="281">
        <v>0</v>
      </c>
      <c r="Q21" s="281">
        <v>0</v>
      </c>
      <c r="R21" s="498">
        <f>SUM(R19:R20)</f>
        <v>13253.559362503864</v>
      </c>
      <c r="S21" s="61">
        <v>0</v>
      </c>
      <c r="T21" s="62">
        <v>0</v>
      </c>
      <c r="U21" s="62">
        <v>0</v>
      </c>
      <c r="V21" s="65">
        <f>SUM(V19:V20)</f>
        <v>13253.559362503864</v>
      </c>
      <c r="W21" s="15"/>
    </row>
    <row r="22" spans="1:35" x14ac:dyDescent="0.35">
      <c r="B22" s="15">
        <v>2019</v>
      </c>
      <c r="C22" s="16" t="s">
        <v>592</v>
      </c>
      <c r="D22" s="166"/>
      <c r="E22" s="107">
        <f>'Achat courant - Calcul'!C44</f>
        <v>21460385.399999999</v>
      </c>
      <c r="F22" s="166" t="s">
        <v>450</v>
      </c>
      <c r="G22" s="492">
        <f>_xlfn.XLOOKUP($W$11,'Facteur émissions'!$B:$B,'Facteur émissions'!D:D)*'Achats courants - Emissions '!$E$11/1000</f>
        <v>0</v>
      </c>
      <c r="H22" s="206">
        <f>_xlfn.XLOOKUP($W$11,'Facteur émissions'!$B:$B,'Facteur émissions'!E:E)*'Achats courants - Emissions '!$E$11/1000</f>
        <v>0</v>
      </c>
      <c r="I22" s="494">
        <f>_xlfn.XLOOKUP($W$11,'Facteur émissions'!$B:$B,'Facteur émissions'!F:F)*'Achats courants - Emissions '!$E$11/1000</f>
        <v>0</v>
      </c>
      <c r="J22" s="493">
        <f>_xlfn.XLOOKUP($W$11,'Facteur émissions'!$B:$B,'Facteur émissions'!G:G)*'Achats courants - Emissions '!$E$11/1000</f>
        <v>0</v>
      </c>
      <c r="K22" s="492">
        <f>_xlfn.XLOOKUP($W$11,'Facteur émissions'!$B:$B,'Facteur émissions'!H:H)*'Achats courants - Emissions '!$E$11/1000</f>
        <v>0</v>
      </c>
      <c r="L22" s="206">
        <f>_xlfn.XLOOKUP($W$11,'Facteur émissions'!$B:$B,'Facteur émissions'!I:I)*'Achats courants - Emissions '!$E$11/1000</f>
        <v>0</v>
      </c>
      <c r="M22" s="494">
        <f>_xlfn.XLOOKUP($W$11,'Facteur émissions'!$B:$B,'Facteur émissions'!J:J)*'Achats courants - Emissions '!$E$11/1000</f>
        <v>0</v>
      </c>
      <c r="N22" s="493">
        <f>_xlfn.XLOOKUP($W$11,'Facteur émissions'!$B:$B,'Facteur émissions'!K:K)*'Achats courants - Emissions '!$E$11/1000</f>
        <v>0</v>
      </c>
      <c r="O22" s="499">
        <f>_xlfn.XLOOKUP($W$11,'Facteur émissions'!$B:$B,'Facteur émissions'!L:L)*'Achats courants - Emissions '!$E$11/1000</f>
        <v>1488.4958962321425</v>
      </c>
      <c r="P22" s="500">
        <f>_xlfn.XLOOKUP($W$11,'Facteur émissions'!$B:$B,'Facteur émissions'!M:M)*'Achats courants - Emissions '!$E$11/1000</f>
        <v>0</v>
      </c>
      <c r="Q22" s="378">
        <f>_xlfn.XLOOKUP($W$11,'Facteur émissions'!$B:$B,'Facteur émissions'!N:N)*'Achats courants - Emissions '!$E$11/1000</f>
        <v>0</v>
      </c>
      <c r="R22" s="501">
        <f>_xlfn.XLOOKUP($W$11,'Facteur émissions'!$B:$B,'Facteur émissions'!O:O)*'Achats courants - Emissions '!$E$11/1000</f>
        <v>1488.4958962321425</v>
      </c>
      <c r="S22" s="492">
        <f>_xlfn.XLOOKUP($W$11,'Facteur émissions'!$B:$B,'Facteur émissions'!P:P)*'Achats courants - Emissions '!$E$11/1000</f>
        <v>1488.4958962321425</v>
      </c>
      <c r="T22" s="206">
        <f>_xlfn.XLOOKUP($W$11,'Facteur émissions'!$B:$B,'Facteur émissions'!Q:Q)*'Achats courants - Emissions '!$E$11/1000</f>
        <v>0</v>
      </c>
      <c r="U22" s="494">
        <f>_xlfn.XLOOKUP($W$11,'Facteur émissions'!$B:$B,'Facteur émissions'!R:R)*'Achats courants - Emissions '!$E$11/1000</f>
        <v>0</v>
      </c>
      <c r="V22" s="378">
        <f>_xlfn.XLOOKUP($W$11,'Facteur émissions'!$B:$B,'Facteur émissions'!S:S)*'Achats courants - Emissions '!$E$11/1000</f>
        <v>1488.4958962321425</v>
      </c>
      <c r="W22" s="491" t="s">
        <v>595</v>
      </c>
    </row>
    <row r="23" spans="1:35" x14ac:dyDescent="0.35">
      <c r="B23" s="21" t="s">
        <v>23</v>
      </c>
      <c r="C23" s="22"/>
      <c r="D23" s="23"/>
      <c r="E23" s="24"/>
      <c r="F23" s="24"/>
      <c r="G23" s="61">
        <f t="shared" ref="G23:V23" si="1">G22</f>
        <v>0</v>
      </c>
      <c r="H23" s="62">
        <f t="shared" si="1"/>
        <v>0</v>
      </c>
      <c r="I23" s="62">
        <f t="shared" si="1"/>
        <v>0</v>
      </c>
      <c r="J23" s="62">
        <f t="shared" si="1"/>
        <v>0</v>
      </c>
      <c r="K23" s="61">
        <f t="shared" si="1"/>
        <v>0</v>
      </c>
      <c r="L23" s="62">
        <f t="shared" si="1"/>
        <v>0</v>
      </c>
      <c r="M23" s="62">
        <f t="shared" si="1"/>
        <v>0</v>
      </c>
      <c r="N23" s="62">
        <f t="shared" si="1"/>
        <v>0</v>
      </c>
      <c r="O23" s="293">
        <f t="shared" si="1"/>
        <v>1488.4958962321425</v>
      </c>
      <c r="P23" s="281">
        <f t="shared" si="1"/>
        <v>0</v>
      </c>
      <c r="Q23" s="281">
        <f t="shared" si="1"/>
        <v>0</v>
      </c>
      <c r="R23" s="281">
        <f t="shared" si="1"/>
        <v>1488.4958962321425</v>
      </c>
      <c r="S23" s="61">
        <f t="shared" si="1"/>
        <v>1488.4958962321425</v>
      </c>
      <c r="T23" s="62">
        <f t="shared" si="1"/>
        <v>0</v>
      </c>
      <c r="U23" s="62">
        <f t="shared" si="1"/>
        <v>0</v>
      </c>
      <c r="V23" s="65">
        <f t="shared" si="1"/>
        <v>1488.4958962321425</v>
      </c>
      <c r="W23" s="15"/>
    </row>
    <row r="24" spans="1:35" x14ac:dyDescent="0.35">
      <c r="B24" s="196" t="s">
        <v>24</v>
      </c>
      <c r="C24" s="197"/>
      <c r="D24" s="198"/>
      <c r="E24" s="199"/>
      <c r="F24" s="199"/>
      <c r="G24" s="196"/>
      <c r="H24" s="199"/>
      <c r="I24" s="199"/>
      <c r="J24" s="199"/>
      <c r="K24" s="196"/>
      <c r="L24" s="199"/>
      <c r="M24" s="199"/>
      <c r="N24" s="199"/>
      <c r="O24" s="502"/>
      <c r="P24" s="503"/>
      <c r="Q24" s="503"/>
      <c r="R24" s="504"/>
      <c r="S24" s="412"/>
      <c r="T24" s="413"/>
      <c r="U24" s="413"/>
      <c r="V24" s="414"/>
      <c r="W24" s="15"/>
    </row>
    <row r="27" spans="1:35" x14ac:dyDescent="0.35">
      <c r="V27" s="76">
        <f>-1+(V13+'Matériel infor.- Emission'!V10+'Achat de véhicule - Emissions'!V10) /('Achat de véhicule - Emissions'!V18+'Matériel infor.- Emission'!V19+'Achats courants - Emissions '!V24)</f>
        <v>-4.7419170422929868E-2</v>
      </c>
    </row>
    <row r="31" spans="1:35" x14ac:dyDescent="0.35">
      <c r="Q31" s="28"/>
    </row>
    <row r="32" spans="1:35" x14ac:dyDescent="0.35">
      <c r="P32" s="28"/>
    </row>
    <row r="38" spans="17:17" x14ac:dyDescent="0.35">
      <c r="Q38" s="28"/>
    </row>
  </sheetData>
  <sheetProtection algorithmName="SHA-512" hashValue="2drqK8MYll1JqsxfzSfoRN/UPwsQPntztwxipB/9rycvpMJhc8BkoMZ29OkjYapLbnwUWEINGr+vNaa7iHFnPg==" saltValue="1tu/Lv2liWWEb/6x6LCRiA==" spinCount="100000" sheet="1" objects="1" scenarios="1"/>
  <mergeCells count="8">
    <mergeCell ref="G6:J6"/>
    <mergeCell ref="O6:R6"/>
    <mergeCell ref="S6:V6"/>
    <mergeCell ref="G17:J17"/>
    <mergeCell ref="O17:R17"/>
    <mergeCell ref="S17:V17"/>
    <mergeCell ref="K6:N6"/>
    <mergeCell ref="K17:N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FDB7-4AB0-4AD4-8A83-028D87F230FA}">
  <sheetPr codeName="Feuil22">
    <tabColor rgb="FF7030A0"/>
  </sheetPr>
  <dimension ref="B2:H44"/>
  <sheetViews>
    <sheetView topLeftCell="A29" workbookViewId="0">
      <selection activeCell="D51" sqref="D51"/>
    </sheetView>
  </sheetViews>
  <sheetFormatPr baseColWidth="10" defaultRowHeight="14.5" x14ac:dyDescent="0.35"/>
  <cols>
    <col min="2" max="2" width="17.54296875" customWidth="1"/>
    <col min="3" max="3" width="18.7265625" customWidth="1"/>
    <col min="4" max="4" width="40.81640625" customWidth="1"/>
    <col min="5" max="5" width="40.453125" customWidth="1"/>
    <col min="6" max="6" width="34.1796875" customWidth="1"/>
    <col min="7" max="7" width="30.7265625" customWidth="1"/>
    <col min="8" max="8" width="17.453125" customWidth="1"/>
  </cols>
  <sheetData>
    <row r="2" spans="2:4" s="341" customFormat="1" ht="31" x14ac:dyDescent="0.7">
      <c r="B2" s="340" t="s">
        <v>328</v>
      </c>
    </row>
    <row r="4" spans="2:4" s="187" customFormat="1" x14ac:dyDescent="0.35">
      <c r="B4" s="188" t="s">
        <v>358</v>
      </c>
    </row>
    <row r="6" spans="2:4" x14ac:dyDescent="0.35">
      <c r="B6" s="310" t="s">
        <v>360</v>
      </c>
      <c r="C6" s="310"/>
    </row>
    <row r="7" spans="2:4" x14ac:dyDescent="0.35">
      <c r="B7" t="s">
        <v>355</v>
      </c>
      <c r="C7">
        <v>5903</v>
      </c>
      <c r="D7" s="1" t="s">
        <v>488</v>
      </c>
    </row>
    <row r="8" spans="2:4" x14ac:dyDescent="0.35">
      <c r="B8" t="s">
        <v>327</v>
      </c>
      <c r="C8" s="38">
        <f>SUM(F28:F31)</f>
        <v>4687.525772</v>
      </c>
    </row>
    <row r="9" spans="2:4" x14ac:dyDescent="0.35">
      <c r="B9" t="s">
        <v>492</v>
      </c>
      <c r="C9" s="38">
        <f>C8+C7</f>
        <v>10590.525772000001</v>
      </c>
    </row>
    <row r="12" spans="2:4" x14ac:dyDescent="0.35">
      <c r="B12" s="310" t="s">
        <v>361</v>
      </c>
      <c r="C12" s="310"/>
    </row>
    <row r="13" spans="2:4" x14ac:dyDescent="0.35">
      <c r="B13" t="s">
        <v>355</v>
      </c>
      <c r="C13">
        <v>3924</v>
      </c>
      <c r="D13" s="1" t="s">
        <v>488</v>
      </c>
    </row>
    <row r="14" spans="2:4" x14ac:dyDescent="0.35">
      <c r="B14" t="s">
        <v>356</v>
      </c>
      <c r="C14" s="38">
        <f>SUM(F32:F37)</f>
        <v>594.53190125440005</v>
      </c>
    </row>
    <row r="15" spans="2:4" x14ac:dyDescent="0.35">
      <c r="B15" t="s">
        <v>492</v>
      </c>
      <c r="C15" s="38">
        <f>C14+C13</f>
        <v>4518.5319012544005</v>
      </c>
    </row>
    <row r="16" spans="2:4" x14ac:dyDescent="0.35">
      <c r="C16" s="38"/>
    </row>
    <row r="17" spans="2:8" x14ac:dyDescent="0.35">
      <c r="B17" s="4" t="s">
        <v>357</v>
      </c>
      <c r="C17" s="321">
        <f>C7+C8+C13+C14</f>
        <v>15109.057673254401</v>
      </c>
    </row>
    <row r="19" spans="2:8" x14ac:dyDescent="0.35">
      <c r="B19" s="343" t="s">
        <v>489</v>
      </c>
      <c r="C19" s="343"/>
    </row>
    <row r="20" spans="2:8" s="200" customFormat="1" x14ac:dyDescent="0.35">
      <c r="B20" s="200" t="s">
        <v>359</v>
      </c>
      <c r="C20" s="257">
        <f>C17/1.14</f>
        <v>13253.559362503862</v>
      </c>
    </row>
    <row r="21" spans="2:8" s="200" customFormat="1" x14ac:dyDescent="0.35">
      <c r="B21" s="200" t="s">
        <v>490</v>
      </c>
      <c r="C21" s="257">
        <f>C20* (C13+C14) /C17</f>
        <v>3963.6244747845622</v>
      </c>
    </row>
    <row r="22" spans="2:8" x14ac:dyDescent="0.35">
      <c r="B22" s="200" t="s">
        <v>491</v>
      </c>
      <c r="C22" s="38">
        <f>C20* (C8+C7) /C17</f>
        <v>9289.9348877193006</v>
      </c>
    </row>
    <row r="24" spans="2:8" s="187" customFormat="1" x14ac:dyDescent="0.35">
      <c r="B24" s="188" t="s">
        <v>329</v>
      </c>
    </row>
    <row r="27" spans="2:8" x14ac:dyDescent="0.35">
      <c r="B27" s="336" t="s">
        <v>330</v>
      </c>
      <c r="C27" s="337" t="s">
        <v>331</v>
      </c>
      <c r="D27" s="336" t="s">
        <v>332</v>
      </c>
      <c r="E27" s="336" t="s">
        <v>333</v>
      </c>
      <c r="F27" s="336" t="s">
        <v>334</v>
      </c>
      <c r="G27" s="336" t="s">
        <v>335</v>
      </c>
    </row>
    <row r="28" spans="2:8" x14ac:dyDescent="0.35">
      <c r="B28" t="s">
        <v>336</v>
      </c>
      <c r="C28" s="82">
        <v>1436400</v>
      </c>
      <c r="D28" t="s">
        <v>337</v>
      </c>
      <c r="E28" s="38">
        <v>110.96</v>
      </c>
      <c r="F28" s="38">
        <f>E28*C28/(1000*1000)</f>
        <v>159.38294400000001</v>
      </c>
      <c r="G28" s="38" t="s">
        <v>338</v>
      </c>
    </row>
    <row r="29" spans="2:8" x14ac:dyDescent="0.35">
      <c r="B29" t="s">
        <v>339</v>
      </c>
      <c r="C29" s="82">
        <v>2330800</v>
      </c>
      <c r="D29" t="s">
        <v>340</v>
      </c>
      <c r="E29" s="38">
        <v>358.91</v>
      </c>
      <c r="F29" s="38">
        <f t="shared" ref="F29:F35" si="0">E29*C29/(1000*1000)</f>
        <v>836.54742799999997</v>
      </c>
      <c r="G29" s="38" t="s">
        <v>338</v>
      </c>
    </row>
    <row r="30" spans="2:8" x14ac:dyDescent="0.35">
      <c r="B30" t="s">
        <v>336</v>
      </c>
      <c r="C30" s="82">
        <v>915300</v>
      </c>
      <c r="D30" t="s">
        <v>231</v>
      </c>
      <c r="E30" s="38">
        <v>418</v>
      </c>
      <c r="F30" s="38">
        <f t="shared" si="0"/>
        <v>382.59539999999998</v>
      </c>
      <c r="G30" s="38" t="s">
        <v>338</v>
      </c>
      <c r="H30" t="s">
        <v>341</v>
      </c>
    </row>
    <row r="31" spans="2:8" x14ac:dyDescent="0.35">
      <c r="B31" t="s">
        <v>342</v>
      </c>
      <c r="C31" s="82">
        <v>17468338</v>
      </c>
      <c r="D31" t="s">
        <v>343</v>
      </c>
      <c r="E31" t="s">
        <v>344</v>
      </c>
      <c r="F31">
        <v>3309</v>
      </c>
      <c r="G31" s="38" t="s">
        <v>338</v>
      </c>
    </row>
    <row r="32" spans="2:8" x14ac:dyDescent="0.35">
      <c r="B32" t="s">
        <v>345</v>
      </c>
      <c r="C32" s="82">
        <v>85000</v>
      </c>
      <c r="D32" t="s">
        <v>346</v>
      </c>
      <c r="E32" s="38">
        <v>202.255</v>
      </c>
      <c r="F32" s="38">
        <f t="shared" si="0"/>
        <v>17.191675</v>
      </c>
      <c r="G32" s="38" t="s">
        <v>347</v>
      </c>
      <c r="H32" t="s">
        <v>348</v>
      </c>
    </row>
    <row r="33" spans="2:8" x14ac:dyDescent="0.35">
      <c r="B33" t="s">
        <v>349</v>
      </c>
      <c r="C33" s="82">
        <v>122800</v>
      </c>
      <c r="D33" t="s">
        <v>346</v>
      </c>
      <c r="E33" s="38">
        <v>202.255</v>
      </c>
      <c r="F33" s="38">
        <f t="shared" si="0"/>
        <v>24.836914</v>
      </c>
      <c r="G33" s="38" t="s">
        <v>347</v>
      </c>
      <c r="H33" t="s">
        <v>350</v>
      </c>
    </row>
    <row r="34" spans="2:8" x14ac:dyDescent="0.35">
      <c r="B34" t="s">
        <v>351</v>
      </c>
      <c r="C34" s="82">
        <v>218241.59999999998</v>
      </c>
      <c r="D34" t="s">
        <v>343</v>
      </c>
      <c r="E34" t="s">
        <v>344</v>
      </c>
      <c r="F34" s="38">
        <v>42.54</v>
      </c>
      <c r="G34" s="38" t="s">
        <v>347</v>
      </c>
    </row>
    <row r="35" spans="2:8" x14ac:dyDescent="0.35">
      <c r="B35" t="s">
        <v>352</v>
      </c>
      <c r="C35" s="82">
        <v>67554.880000000005</v>
      </c>
      <c r="D35" t="s">
        <v>346</v>
      </c>
      <c r="E35" s="38">
        <v>202.255</v>
      </c>
      <c r="F35" s="38">
        <f t="shared" si="0"/>
        <v>13.663312254399999</v>
      </c>
      <c r="G35" s="38" t="s">
        <v>347</v>
      </c>
    </row>
    <row r="36" spans="2:8" x14ac:dyDescent="0.35">
      <c r="B36" t="s">
        <v>353</v>
      </c>
      <c r="C36" s="82">
        <v>591137</v>
      </c>
      <c r="D36" t="s">
        <v>343</v>
      </c>
      <c r="E36" t="s">
        <v>344</v>
      </c>
      <c r="F36" s="38">
        <v>130.80000000000001</v>
      </c>
      <c r="G36" s="38" t="s">
        <v>347</v>
      </c>
    </row>
    <row r="37" spans="2:8" x14ac:dyDescent="0.35">
      <c r="B37" t="s">
        <v>354</v>
      </c>
      <c r="C37" s="82"/>
      <c r="D37" t="s">
        <v>343</v>
      </c>
      <c r="E37" t="s">
        <v>344</v>
      </c>
      <c r="F37">
        <v>365.5</v>
      </c>
      <c r="G37" s="38" t="s">
        <v>347</v>
      </c>
    </row>
    <row r="38" spans="2:8" x14ac:dyDescent="0.35">
      <c r="B38" s="310"/>
      <c r="C38" s="338" t="s">
        <v>24</v>
      </c>
      <c r="D38" s="338"/>
      <c r="E38" s="310"/>
      <c r="F38" s="339">
        <f>SUM(F28:F37)</f>
        <v>5282.0576732544005</v>
      </c>
      <c r="G38" s="310"/>
    </row>
    <row r="41" spans="2:8" s="310" customFormat="1" x14ac:dyDescent="0.35">
      <c r="B41" s="311" t="s">
        <v>592</v>
      </c>
    </row>
    <row r="43" spans="2:8" x14ac:dyDescent="0.35">
      <c r="B43" s="351"/>
      <c r="C43" s="351">
        <v>2019</v>
      </c>
      <c r="D43" s="351">
        <v>2023</v>
      </c>
    </row>
    <row r="44" spans="2:8" x14ac:dyDescent="0.35">
      <c r="B44" t="s">
        <v>593</v>
      </c>
      <c r="C44" s="82">
        <v>21460385.399999999</v>
      </c>
      <c r="D44" s="82">
        <v>34373513.479999997</v>
      </c>
      <c r="E44" s="82" t="s">
        <v>450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BE9B-EE75-4010-A7D9-51F73C0BACD3}">
  <sheetPr codeName="Feuil23">
    <tabColor rgb="FF002060"/>
  </sheetPr>
  <dimension ref="A2:AI21"/>
  <sheetViews>
    <sheetView workbookViewId="0">
      <selection activeCell="G16" sqref="G16:V16"/>
    </sheetView>
  </sheetViews>
  <sheetFormatPr baseColWidth="10" defaultRowHeight="14.5" x14ac:dyDescent="0.35"/>
  <cols>
    <col min="3" max="3" width="23.7265625" customWidth="1"/>
    <col min="4" max="4" width="22.26953125" customWidth="1"/>
    <col min="5" max="5" width="13.7265625" customWidth="1"/>
    <col min="6" max="6" width="11.1796875" customWidth="1"/>
  </cols>
  <sheetData>
    <row r="2" spans="1:35" s="313" customFormat="1" ht="33.5" x14ac:dyDescent="0.75">
      <c r="B2" s="314" t="s">
        <v>299</v>
      </c>
    </row>
    <row r="5" spans="1:35" s="176" customFormat="1" x14ac:dyDescent="0.35">
      <c r="A5" s="195">
        <v>2023</v>
      </c>
    </row>
    <row r="6" spans="1:35" x14ac:dyDescent="0.35">
      <c r="C6" s="8"/>
    </row>
    <row r="7" spans="1:35" x14ac:dyDescent="0.35">
      <c r="E7" s="20"/>
      <c r="F7" s="19"/>
      <c r="G7" s="574" t="s">
        <v>523</v>
      </c>
      <c r="H7" s="575"/>
      <c r="I7" s="575"/>
      <c r="J7" s="576"/>
      <c r="K7" s="574" t="s">
        <v>520</v>
      </c>
      <c r="L7" s="575"/>
      <c r="M7" s="575"/>
      <c r="N7" s="576"/>
      <c r="O7" s="574" t="s">
        <v>547</v>
      </c>
      <c r="P7" s="575"/>
      <c r="Q7" s="575"/>
      <c r="R7" s="576"/>
      <c r="S7" s="574" t="s">
        <v>522</v>
      </c>
      <c r="T7" s="575"/>
      <c r="U7" s="575"/>
      <c r="V7" s="575"/>
    </row>
    <row r="8" spans="1:35" ht="15" thickBot="1" x14ac:dyDescent="0.4">
      <c r="B8" s="10" t="s">
        <v>16</v>
      </c>
      <c r="C8" s="10" t="s">
        <v>246</v>
      </c>
      <c r="D8" s="11" t="s">
        <v>17</v>
      </c>
      <c r="E8" s="171" t="s">
        <v>238</v>
      </c>
      <c r="F8" s="171" t="s">
        <v>27</v>
      </c>
      <c r="G8" s="9" t="s">
        <v>55</v>
      </c>
      <c r="H8" s="171" t="s">
        <v>18</v>
      </c>
      <c r="I8" s="171" t="s">
        <v>59</v>
      </c>
      <c r="J8" s="171" t="s">
        <v>19</v>
      </c>
      <c r="K8" s="9" t="s">
        <v>55</v>
      </c>
      <c r="L8" s="171" t="s">
        <v>18</v>
      </c>
      <c r="M8" s="171" t="s">
        <v>59</v>
      </c>
      <c r="N8" s="171" t="s">
        <v>19</v>
      </c>
      <c r="O8" s="9" t="s">
        <v>55</v>
      </c>
      <c r="P8" s="171" t="s">
        <v>18</v>
      </c>
      <c r="Q8" s="171" t="s">
        <v>59</v>
      </c>
      <c r="R8" s="11" t="s">
        <v>19</v>
      </c>
      <c r="S8" s="9" t="s">
        <v>55</v>
      </c>
      <c r="T8" s="171" t="s">
        <v>18</v>
      </c>
      <c r="U8" s="171" t="s">
        <v>59</v>
      </c>
      <c r="V8" s="11" t="s">
        <v>19</v>
      </c>
      <c r="W8" s="15"/>
    </row>
    <row r="9" spans="1:35" ht="15" thickTop="1" x14ac:dyDescent="0.35">
      <c r="B9" s="203">
        <v>2023</v>
      </c>
      <c r="C9" s="204"/>
      <c r="D9" s="203" t="s">
        <v>300</v>
      </c>
      <c r="E9" s="315">
        <f>'Déchets - Calcul'!D8</f>
        <v>19918</v>
      </c>
      <c r="F9" s="166" t="s">
        <v>270</v>
      </c>
      <c r="G9" s="203">
        <f>+K9</f>
        <v>0</v>
      </c>
      <c r="H9" s="166">
        <v>0</v>
      </c>
      <c r="I9" s="166">
        <v>0</v>
      </c>
      <c r="J9">
        <v>0</v>
      </c>
      <c r="K9" s="15">
        <v>0</v>
      </c>
      <c r="L9" s="166">
        <v>0</v>
      </c>
      <c r="M9" s="166">
        <v>0</v>
      </c>
      <c r="N9" s="166">
        <v>0</v>
      </c>
      <c r="O9" s="203">
        <v>0</v>
      </c>
      <c r="P9" s="82">
        <f>R9-Q9</f>
        <v>91.4411735745187</v>
      </c>
      <c r="Q9" s="206">
        <f>'Déchets - Calcul'!D19</f>
        <v>497.04869327306113</v>
      </c>
      <c r="R9" s="326">
        <f>'Déchets - Calcul'!D14</f>
        <v>588.48986684757983</v>
      </c>
      <c r="S9" s="60">
        <f>G9+K9+O9</f>
        <v>0</v>
      </c>
      <c r="T9" s="329">
        <f t="shared" ref="T9:V10" si="0">H9+L9+P9</f>
        <v>91.4411735745187</v>
      </c>
      <c r="U9" s="206">
        <f t="shared" si="0"/>
        <v>497.04869327306113</v>
      </c>
      <c r="V9" s="327">
        <f t="shared" si="0"/>
        <v>588.48986684757983</v>
      </c>
      <c r="W9" s="15"/>
    </row>
    <row r="10" spans="1:35" x14ac:dyDescent="0.35">
      <c r="B10" s="203">
        <v>2023</v>
      </c>
      <c r="C10" s="208"/>
      <c r="D10" s="203" t="s">
        <v>301</v>
      </c>
      <c r="E10" s="316">
        <f>E9</f>
        <v>19918</v>
      </c>
      <c r="F10" s="166" t="s">
        <v>270</v>
      </c>
      <c r="G10" s="60">
        <v>0</v>
      </c>
      <c r="H10" s="206">
        <v>0</v>
      </c>
      <c r="I10" s="206">
        <v>0</v>
      </c>
      <c r="J10">
        <v>0</v>
      </c>
      <c r="K10" s="15">
        <v>0</v>
      </c>
      <c r="L10" s="206">
        <v>0</v>
      </c>
      <c r="M10">
        <v>0</v>
      </c>
      <c r="N10">
        <v>0</v>
      </c>
      <c r="O10" s="60">
        <v>0</v>
      </c>
      <c r="P10" s="206">
        <f>'Déchets - Calcul'!D29</f>
        <v>805.72227070913925</v>
      </c>
      <c r="Q10" s="206">
        <v>0</v>
      </c>
      <c r="R10" s="209">
        <f>SUM(O10:Q10)</f>
        <v>805.72227070913925</v>
      </c>
      <c r="S10" s="60">
        <f>G10+K10+O10</f>
        <v>0</v>
      </c>
      <c r="T10" s="330">
        <f t="shared" si="0"/>
        <v>805.72227070913925</v>
      </c>
      <c r="U10" s="206">
        <f t="shared" si="0"/>
        <v>0</v>
      </c>
      <c r="V10" s="328">
        <f t="shared" si="0"/>
        <v>805.72227070913925</v>
      </c>
      <c r="W10" s="15"/>
    </row>
    <row r="11" spans="1:35" x14ac:dyDescent="0.35">
      <c r="B11" s="21" t="s">
        <v>23</v>
      </c>
      <c r="C11" s="22"/>
      <c r="D11" s="23"/>
      <c r="E11" s="24"/>
      <c r="F11" s="24"/>
      <c r="G11" s="61">
        <f>G9+G10</f>
        <v>0</v>
      </c>
      <c r="H11" s="62">
        <f t="shared" ref="H11:V11" si="1">H9+H10</f>
        <v>0</v>
      </c>
      <c r="I11" s="62">
        <f t="shared" si="1"/>
        <v>0</v>
      </c>
      <c r="J11" s="64">
        <f t="shared" si="1"/>
        <v>0</v>
      </c>
      <c r="K11" s="61">
        <f t="shared" si="1"/>
        <v>0</v>
      </c>
      <c r="L11" s="62">
        <f t="shared" si="1"/>
        <v>0</v>
      </c>
      <c r="M11" s="62">
        <f t="shared" si="1"/>
        <v>0</v>
      </c>
      <c r="N11" s="62">
        <f t="shared" si="1"/>
        <v>0</v>
      </c>
      <c r="O11" s="61">
        <f t="shared" si="1"/>
        <v>0</v>
      </c>
      <c r="P11" s="62">
        <f t="shared" si="1"/>
        <v>897.16344428365801</v>
      </c>
      <c r="Q11" s="62">
        <f t="shared" si="1"/>
        <v>497.04869327306113</v>
      </c>
      <c r="R11" s="62">
        <f t="shared" si="1"/>
        <v>1394.212137556719</v>
      </c>
      <c r="S11" s="61">
        <f t="shared" si="1"/>
        <v>0</v>
      </c>
      <c r="T11" s="62">
        <f t="shared" si="1"/>
        <v>897.16344428365801</v>
      </c>
      <c r="U11" s="62">
        <f t="shared" si="1"/>
        <v>497.04869327306113</v>
      </c>
      <c r="V11" s="64">
        <f t="shared" si="1"/>
        <v>1394.212137556719</v>
      </c>
      <c r="W11" s="15"/>
    </row>
    <row r="12" spans="1:35" x14ac:dyDescent="0.35">
      <c r="B12" s="196" t="s">
        <v>24</v>
      </c>
      <c r="C12" s="197"/>
      <c r="D12" s="198"/>
      <c r="E12" s="199"/>
      <c r="F12" s="199"/>
      <c r="G12" s="196"/>
      <c r="H12" s="199"/>
      <c r="I12" s="199"/>
      <c r="J12" s="199"/>
      <c r="K12" s="196"/>
      <c r="L12" s="199"/>
      <c r="M12" s="199"/>
      <c r="N12" s="199"/>
      <c r="O12" s="196"/>
      <c r="P12" s="199"/>
      <c r="Q12" s="199"/>
      <c r="R12" s="198"/>
      <c r="S12" s="196"/>
      <c r="T12" s="199"/>
      <c r="U12" s="199"/>
      <c r="V12" s="199"/>
      <c r="W12" s="15"/>
    </row>
    <row r="13" spans="1:35" x14ac:dyDescent="0.35">
      <c r="K13" s="15"/>
    </row>
    <row r="14" spans="1:35" s="176" customFormat="1" x14ac:dyDescent="0.35">
      <c r="A14" s="195">
        <v>2019</v>
      </c>
      <c r="K14" s="277"/>
    </row>
    <row r="15" spans="1:35" x14ac:dyDescent="0.35">
      <c r="K15" s="15"/>
    </row>
    <row r="16" spans="1:35" s="176" customFormat="1" x14ac:dyDescent="0.35">
      <c r="A16"/>
      <c r="B16"/>
      <c r="C16"/>
      <c r="D16"/>
      <c r="E16" s="20"/>
      <c r="F16" s="19"/>
      <c r="G16" s="574" t="s">
        <v>276</v>
      </c>
      <c r="H16" s="575"/>
      <c r="I16" s="575"/>
      <c r="J16" s="576"/>
      <c r="K16" s="574" t="s">
        <v>277</v>
      </c>
      <c r="L16" s="575"/>
      <c r="M16" s="575"/>
      <c r="N16" s="576"/>
      <c r="O16" s="574" t="s">
        <v>159</v>
      </c>
      <c r="P16" s="575"/>
      <c r="Q16" s="575"/>
      <c r="R16" s="576"/>
      <c r="S16" s="574" t="s">
        <v>15</v>
      </c>
      <c r="T16" s="575"/>
      <c r="U16" s="575"/>
      <c r="V16" s="57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2:23" ht="15" thickBot="1" x14ac:dyDescent="0.4">
      <c r="B17" s="9" t="s">
        <v>16</v>
      </c>
      <c r="C17" s="10" t="s">
        <v>246</v>
      </c>
      <c r="D17" s="11" t="s">
        <v>17</v>
      </c>
      <c r="E17" s="171" t="s">
        <v>238</v>
      </c>
      <c r="F17" s="171" t="s">
        <v>27</v>
      </c>
      <c r="G17" s="12" t="s">
        <v>55</v>
      </c>
      <c r="H17" s="13" t="s">
        <v>18</v>
      </c>
      <c r="I17" s="13" t="s">
        <v>59</v>
      </c>
      <c r="J17" s="13" t="s">
        <v>19</v>
      </c>
      <c r="K17" s="9" t="s">
        <v>55</v>
      </c>
      <c r="L17" s="171" t="s">
        <v>18</v>
      </c>
      <c r="M17" s="171" t="s">
        <v>59</v>
      </c>
      <c r="N17" s="11" t="s">
        <v>19</v>
      </c>
      <c r="O17" s="12" t="s">
        <v>55</v>
      </c>
      <c r="P17" s="13" t="s">
        <v>18</v>
      </c>
      <c r="Q17" s="13" t="s">
        <v>59</v>
      </c>
      <c r="R17" s="14" t="s">
        <v>19</v>
      </c>
      <c r="S17" s="12" t="s">
        <v>55</v>
      </c>
      <c r="T17" s="13" t="s">
        <v>18</v>
      </c>
      <c r="U17" s="13" t="s">
        <v>59</v>
      </c>
      <c r="V17" s="13" t="s">
        <v>19</v>
      </c>
      <c r="W17" s="15"/>
    </row>
    <row r="18" spans="2:23" ht="15" thickTop="1" x14ac:dyDescent="0.35">
      <c r="B18" s="203">
        <v>2019</v>
      </c>
      <c r="C18" s="204"/>
      <c r="D18" s="205" t="s">
        <v>300</v>
      </c>
      <c r="E18" s="166">
        <f>'Déchets - Calcul'!C8</f>
        <v>18202</v>
      </c>
      <c r="F18" s="166" t="s">
        <v>270</v>
      </c>
      <c r="G18" s="203">
        <v>0</v>
      </c>
      <c r="H18" s="166">
        <v>0</v>
      </c>
      <c r="I18" s="166">
        <v>0</v>
      </c>
      <c r="J18" s="166">
        <v>0</v>
      </c>
      <c r="K18" s="203">
        <v>0</v>
      </c>
      <c r="L18" s="166">
        <v>0</v>
      </c>
      <c r="M18" s="166">
        <v>0</v>
      </c>
      <c r="N18" s="166">
        <v>0</v>
      </c>
      <c r="O18" s="203">
        <v>0</v>
      </c>
      <c r="P18" s="107">
        <f>R18-Q18</f>
        <v>84.351259511021567</v>
      </c>
      <c r="Q18" s="206">
        <f>'Déchets - Calcul'!C19</f>
        <v>574.16520574577589</v>
      </c>
      <c r="R18" s="331">
        <f>'Déchets - Calcul'!C14</f>
        <v>658.51646525679746</v>
      </c>
      <c r="S18" s="60">
        <f>G18+K18+O18</f>
        <v>0</v>
      </c>
      <c r="T18" s="329">
        <f t="shared" ref="T18:T19" si="2">H18+L18+P18</f>
        <v>84.351259511021567</v>
      </c>
      <c r="U18" s="206">
        <f t="shared" ref="U18:U19" si="3">I18+M18+Q18</f>
        <v>574.16520574577589</v>
      </c>
      <c r="V18" s="327">
        <f t="shared" ref="V18:V19" si="4">J18+N18+R18</f>
        <v>658.51646525679746</v>
      </c>
      <c r="W18" s="15"/>
    </row>
    <row r="19" spans="2:23" x14ac:dyDescent="0.35">
      <c r="B19" s="203">
        <v>2019</v>
      </c>
      <c r="C19" s="204"/>
      <c r="D19" s="205" t="s">
        <v>302</v>
      </c>
      <c r="E19" s="166">
        <f>E18</f>
        <v>18202</v>
      </c>
      <c r="F19" s="166" t="s">
        <v>270</v>
      </c>
      <c r="G19" s="203">
        <v>0</v>
      </c>
      <c r="H19" s="166">
        <v>0</v>
      </c>
      <c r="I19" s="166">
        <v>0</v>
      </c>
      <c r="J19" s="205">
        <v>0</v>
      </c>
      <c r="K19" s="166">
        <v>0</v>
      </c>
      <c r="L19" s="166">
        <v>0</v>
      </c>
      <c r="M19" s="166">
        <v>0</v>
      </c>
      <c r="N19" s="166">
        <v>0</v>
      </c>
      <c r="O19" s="203">
        <v>0</v>
      </c>
      <c r="P19" s="206">
        <f>'Déchets - Calcul'!C29</f>
        <v>736.30669602609464</v>
      </c>
      <c r="Q19" s="166">
        <v>0</v>
      </c>
      <c r="R19" s="332">
        <f>SUM(O19:Q19)</f>
        <v>736.30669602609464</v>
      </c>
      <c r="S19" s="60">
        <f>G19+K19+O19</f>
        <v>0</v>
      </c>
      <c r="T19" s="330">
        <f t="shared" si="2"/>
        <v>736.30669602609464</v>
      </c>
      <c r="U19" s="206">
        <f t="shared" si="3"/>
        <v>0</v>
      </c>
      <c r="V19" s="328">
        <f t="shared" si="4"/>
        <v>736.30669602609464</v>
      </c>
      <c r="W19" s="15"/>
    </row>
    <row r="20" spans="2:23" x14ac:dyDescent="0.35">
      <c r="B20" s="21" t="s">
        <v>23</v>
      </c>
      <c r="C20" s="22"/>
      <c r="D20" s="23"/>
      <c r="E20" s="24"/>
      <c r="F20" s="24"/>
      <c r="G20" s="61">
        <f>G18+G19</f>
        <v>0</v>
      </c>
      <c r="H20" s="62">
        <f t="shared" ref="H20" si="5">H18+H19</f>
        <v>0</v>
      </c>
      <c r="I20" s="62">
        <f t="shared" ref="I20" si="6">I18+I19</f>
        <v>0</v>
      </c>
      <c r="J20" s="64">
        <f t="shared" ref="J20" si="7">J18+J19</f>
        <v>0</v>
      </c>
      <c r="K20" s="61">
        <f t="shared" ref="K20" si="8">K18+K19</f>
        <v>0</v>
      </c>
      <c r="L20" s="62">
        <f t="shared" ref="L20" si="9">L18+L19</f>
        <v>0</v>
      </c>
      <c r="M20" s="62">
        <f t="shared" ref="M20" si="10">M18+M19</f>
        <v>0</v>
      </c>
      <c r="N20" s="62">
        <f t="shared" ref="N20" si="11">N18+N19</f>
        <v>0</v>
      </c>
      <c r="O20" s="61">
        <f t="shared" ref="O20" si="12">O18+O19</f>
        <v>0</v>
      </c>
      <c r="P20" s="62">
        <f t="shared" ref="P20" si="13">P18+P19</f>
        <v>820.65795553711621</v>
      </c>
      <c r="Q20" s="62">
        <f t="shared" ref="Q20" si="14">Q18+Q19</f>
        <v>574.16520574577589</v>
      </c>
      <c r="R20" s="62">
        <f t="shared" ref="R20" si="15">R18+R19</f>
        <v>1394.8231612828922</v>
      </c>
      <c r="S20" s="61">
        <f t="shared" ref="S20" si="16">S18+S19</f>
        <v>0</v>
      </c>
      <c r="T20" s="62">
        <f t="shared" ref="T20" si="17">T18+T19</f>
        <v>820.65795553711621</v>
      </c>
      <c r="U20" s="62">
        <f t="shared" ref="U20" si="18">U18+U19</f>
        <v>574.16520574577589</v>
      </c>
      <c r="V20" s="64">
        <f t="shared" ref="V20" si="19">V18+V19</f>
        <v>1394.8231612828922</v>
      </c>
      <c r="W20" s="15"/>
    </row>
    <row r="21" spans="2:23" x14ac:dyDescent="0.35">
      <c r="B21" s="196" t="s">
        <v>24</v>
      </c>
      <c r="C21" s="197"/>
      <c r="D21" s="198"/>
      <c r="E21" s="199"/>
      <c r="F21" s="199"/>
      <c r="G21" s="196"/>
      <c r="H21" s="199"/>
      <c r="I21" s="199"/>
      <c r="J21" s="198"/>
      <c r="K21" s="199"/>
      <c r="L21" s="199"/>
      <c r="M21" s="199"/>
      <c r="N21" s="199"/>
      <c r="O21" s="196"/>
      <c r="P21" s="199"/>
      <c r="Q21" s="199"/>
      <c r="R21" s="198"/>
      <c r="S21" s="196"/>
      <c r="T21" s="199"/>
      <c r="U21" s="199"/>
      <c r="V21" s="199"/>
      <c r="W21" s="15"/>
    </row>
  </sheetData>
  <sheetProtection algorithmName="SHA-512" hashValue="3Njlab18/7TKMkKCocfxcCzlU6Rrj4Zkq5xe9i9mXZRGEiZyY1sXLBwRsiwdCmV/OuFJgwxLvbc1w3c4nn8smw==" saltValue="BT5f37ca6QAVVkJRKxsm8Q==" spinCount="100000" sheet="1" objects="1" scenarios="1"/>
  <mergeCells count="8">
    <mergeCell ref="G7:J7"/>
    <mergeCell ref="K7:N7"/>
    <mergeCell ref="O7:R7"/>
    <mergeCell ref="S7:V7"/>
    <mergeCell ref="G16:J16"/>
    <mergeCell ref="K16:N16"/>
    <mergeCell ref="O16:R16"/>
    <mergeCell ref="S16:V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BBA4-0AB1-4327-997E-31284F86EC16}">
  <sheetPr codeName="Feuil24">
    <tabColor rgb="FF002060"/>
  </sheetPr>
  <dimension ref="B2:H29"/>
  <sheetViews>
    <sheetView topLeftCell="A2" workbookViewId="0">
      <selection activeCell="F11" sqref="F11"/>
    </sheetView>
  </sheetViews>
  <sheetFormatPr baseColWidth="10" defaultRowHeight="14.5" x14ac:dyDescent="0.35"/>
  <cols>
    <col min="2" max="2" width="38.81640625" customWidth="1"/>
  </cols>
  <sheetData>
    <row r="2" spans="2:8" s="313" customFormat="1" ht="31" x14ac:dyDescent="0.7">
      <c r="B2" s="317" t="s">
        <v>303</v>
      </c>
    </row>
    <row r="5" spans="2:8" s="176" customFormat="1" x14ac:dyDescent="0.35">
      <c r="B5" s="318" t="s">
        <v>305</v>
      </c>
    </row>
    <row r="7" spans="2:8" x14ac:dyDescent="0.35">
      <c r="B7" s="311"/>
      <c r="C7" s="311">
        <v>2019</v>
      </c>
      <c r="D7" s="311">
        <v>2023</v>
      </c>
    </row>
    <row r="8" spans="2:8" x14ac:dyDescent="0.35">
      <c r="B8" t="s">
        <v>309</v>
      </c>
      <c r="C8" s="82">
        <f>EPT_2019</f>
        <v>18202</v>
      </c>
      <c r="D8" s="82">
        <f>EPT_2023</f>
        <v>19918</v>
      </c>
    </row>
    <row r="9" spans="2:8" x14ac:dyDescent="0.35">
      <c r="B9" t="s">
        <v>304</v>
      </c>
      <c r="C9" s="82">
        <f>1/3</f>
        <v>0.33333333333333331</v>
      </c>
      <c r="D9" s="82">
        <f>C9</f>
        <v>0.33333333333333331</v>
      </c>
    </row>
    <row r="10" spans="2:8" x14ac:dyDescent="0.35">
      <c r="B10" t="s">
        <v>316</v>
      </c>
      <c r="C10" s="257">
        <v>103464</v>
      </c>
      <c r="D10" s="82">
        <v>98119</v>
      </c>
    </row>
    <row r="11" spans="2:8" x14ac:dyDescent="0.35">
      <c r="B11" t="s">
        <v>306</v>
      </c>
      <c r="C11" s="82">
        <v>953280</v>
      </c>
      <c r="D11" s="82">
        <v>1106977</v>
      </c>
      <c r="G11" s="82"/>
      <c r="H11" s="82"/>
    </row>
    <row r="12" spans="2:8" x14ac:dyDescent="0.35">
      <c r="B12" t="s">
        <v>307</v>
      </c>
      <c r="C12" s="509">
        <f>C10/C11</f>
        <v>0.10853474320241692</v>
      </c>
      <c r="D12" s="509">
        <f>D10/D11</f>
        <v>8.863689128139067E-2</v>
      </c>
    </row>
    <row r="13" spans="2:8" x14ac:dyDescent="0.35">
      <c r="B13" t="s">
        <v>315</v>
      </c>
      <c r="C13" s="509">
        <f>C12*C9</f>
        <v>3.6178247734138969E-2</v>
      </c>
      <c r="D13" s="523">
        <f>D12*D9</f>
        <v>2.9545630427130223E-2</v>
      </c>
    </row>
    <row r="14" spans="2:8" x14ac:dyDescent="0.35">
      <c r="B14" s="4" t="s">
        <v>314</v>
      </c>
      <c r="C14" s="321">
        <f>C13*C8</f>
        <v>658.51646525679746</v>
      </c>
      <c r="D14" s="321">
        <f>D13*D8</f>
        <v>588.48986684757983</v>
      </c>
    </row>
    <row r="15" spans="2:8" x14ac:dyDescent="0.35">
      <c r="B15" s="4"/>
      <c r="C15" s="321"/>
      <c r="D15" s="321"/>
    </row>
    <row r="16" spans="2:8" x14ac:dyDescent="0.35">
      <c r="B16" s="311"/>
      <c r="C16" s="323">
        <v>2019</v>
      </c>
      <c r="D16" s="323">
        <v>2023</v>
      </c>
    </row>
    <row r="17" spans="2:4" x14ac:dyDescent="0.35">
      <c r="B17" t="s">
        <v>317</v>
      </c>
      <c r="C17" s="322">
        <v>90211</v>
      </c>
      <c r="D17" s="322">
        <v>82873</v>
      </c>
    </row>
    <row r="18" spans="2:4" x14ac:dyDescent="0.35">
      <c r="B18" s="320" t="s">
        <v>318</v>
      </c>
      <c r="C18" s="324">
        <f>C17/C10</f>
        <v>0.87190713678187581</v>
      </c>
      <c r="D18" s="324">
        <f>D17/D10</f>
        <v>0.84461725048155811</v>
      </c>
    </row>
    <row r="19" spans="2:4" x14ac:dyDescent="0.35">
      <c r="B19" s="320" t="s">
        <v>365</v>
      </c>
      <c r="C19" s="325">
        <f>C18*C14</f>
        <v>574.16520574577589</v>
      </c>
      <c r="D19" s="325">
        <f>D18*D14</f>
        <v>497.04869327306113</v>
      </c>
    </row>
    <row r="20" spans="2:4" x14ac:dyDescent="0.35">
      <c r="B20" s="320"/>
      <c r="C20" s="325"/>
      <c r="D20" s="325"/>
    </row>
    <row r="21" spans="2:4" x14ac:dyDescent="0.35">
      <c r="B21" s="4"/>
    </row>
    <row r="22" spans="2:4" s="176" customFormat="1" x14ac:dyDescent="0.35">
      <c r="B22" s="318" t="s">
        <v>308</v>
      </c>
    </row>
    <row r="24" spans="2:4" x14ac:dyDescent="0.35">
      <c r="B24" s="311"/>
      <c r="C24" s="311">
        <v>2019</v>
      </c>
      <c r="D24" s="311">
        <v>2023</v>
      </c>
    </row>
    <row r="25" spans="2:4" x14ac:dyDescent="0.35">
      <c r="B25" t="s">
        <v>309</v>
      </c>
      <c r="C25">
        <f>EPT_2019</f>
        <v>18202</v>
      </c>
      <c r="D25">
        <f>EPT_2023</f>
        <v>19918</v>
      </c>
    </row>
    <row r="26" spans="2:4" x14ac:dyDescent="0.35">
      <c r="B26" t="s">
        <v>310</v>
      </c>
      <c r="D26">
        <v>19455.419999999998</v>
      </c>
    </row>
    <row r="27" spans="2:4" x14ac:dyDescent="0.35">
      <c r="B27" t="s">
        <v>311</v>
      </c>
      <c r="D27" s="29">
        <f>787.01</f>
        <v>787.01</v>
      </c>
    </row>
    <row r="28" spans="2:4" x14ac:dyDescent="0.35">
      <c r="B28" t="s">
        <v>312</v>
      </c>
      <c r="D28" s="80">
        <f>D27/D26</f>
        <v>4.0451966598510858E-2</v>
      </c>
    </row>
    <row r="29" spans="2:4" x14ac:dyDescent="0.35">
      <c r="B29" s="4" t="s">
        <v>313</v>
      </c>
      <c r="C29" s="319">
        <f>C25*D28</f>
        <v>736.30669602609464</v>
      </c>
      <c r="D29" s="319">
        <f>D28*D25</f>
        <v>805.72227070913925</v>
      </c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F801-FB92-48DC-BB1F-1F04301C7175}">
  <sheetPr codeName="Feuil25"/>
  <dimension ref="B2:S44"/>
  <sheetViews>
    <sheetView topLeftCell="H2" workbookViewId="0">
      <selection activeCell="L11" sqref="L11"/>
    </sheetView>
  </sheetViews>
  <sheetFormatPr baseColWidth="10" defaultRowHeight="14.5" x14ac:dyDescent="0.35"/>
  <cols>
    <col min="2" max="2" width="80.7265625" customWidth="1"/>
    <col min="3" max="3" width="18.7265625" customWidth="1"/>
    <col min="4" max="6" width="19.81640625" customWidth="1"/>
    <col min="7" max="11" width="21" style="4" customWidth="1"/>
    <col min="12" max="14" width="21" customWidth="1"/>
    <col min="15" max="15" width="23.7265625" style="4" customWidth="1"/>
    <col min="16" max="18" width="18.7265625" customWidth="1"/>
    <col min="19" max="19" width="19.81640625" style="4" customWidth="1"/>
    <col min="20" max="20" width="20.54296875" customWidth="1"/>
  </cols>
  <sheetData>
    <row r="2" spans="2:19" s="142" customFormat="1" ht="36" x14ac:dyDescent="0.8">
      <c r="B2" s="141" t="s">
        <v>139</v>
      </c>
      <c r="G2" s="143"/>
      <c r="H2" s="143"/>
      <c r="I2" s="143"/>
      <c r="J2" s="143"/>
      <c r="K2" s="143"/>
      <c r="O2" s="143"/>
      <c r="S2" s="143"/>
    </row>
    <row r="3" spans="2:19" x14ac:dyDescent="0.35">
      <c r="B3" t="s">
        <v>140</v>
      </c>
    </row>
    <row r="5" spans="2:19" ht="15" thickBot="1" x14ac:dyDescent="0.4">
      <c r="B5" s="1" t="s">
        <v>141</v>
      </c>
      <c r="D5" s="585" t="s">
        <v>281</v>
      </c>
      <c r="E5" s="585"/>
      <c r="F5" s="585"/>
      <c r="G5" s="585"/>
      <c r="H5" s="586" t="s">
        <v>282</v>
      </c>
      <c r="I5" s="585"/>
      <c r="J5" s="585"/>
      <c r="K5" s="587"/>
      <c r="L5" s="586" t="s">
        <v>161</v>
      </c>
      <c r="M5" s="585"/>
      <c r="N5" s="585"/>
      <c r="O5" s="587"/>
      <c r="P5" s="586" t="s">
        <v>142</v>
      </c>
      <c r="Q5" s="585"/>
      <c r="R5" s="585"/>
      <c r="S5" s="585"/>
    </row>
    <row r="6" spans="2:19" ht="15" thickBot="1" x14ac:dyDescent="0.4">
      <c r="B6" s="124" t="s">
        <v>121</v>
      </c>
      <c r="C6" s="125" t="s">
        <v>122</v>
      </c>
      <c r="D6" s="125" t="s">
        <v>55</v>
      </c>
      <c r="E6" s="125" t="s">
        <v>18</v>
      </c>
      <c r="F6" s="125" t="s">
        <v>59</v>
      </c>
      <c r="G6" s="240" t="s">
        <v>123</v>
      </c>
      <c r="H6" s="125" t="s">
        <v>55</v>
      </c>
      <c r="I6" s="125" t="s">
        <v>18</v>
      </c>
      <c r="J6" s="125" t="s">
        <v>59</v>
      </c>
      <c r="K6" s="240" t="s">
        <v>123</v>
      </c>
      <c r="L6" s="249" t="s">
        <v>55</v>
      </c>
      <c r="M6" s="127" t="s">
        <v>18</v>
      </c>
      <c r="N6" s="127" t="s">
        <v>59</v>
      </c>
      <c r="O6" s="250" t="s">
        <v>124</v>
      </c>
      <c r="P6" s="243" t="s">
        <v>55</v>
      </c>
      <c r="Q6" s="125" t="s">
        <v>18</v>
      </c>
      <c r="R6" s="125" t="s">
        <v>59</v>
      </c>
      <c r="S6" s="126" t="s">
        <v>125</v>
      </c>
    </row>
    <row r="7" spans="2:19" ht="15" thickTop="1" x14ac:dyDescent="0.35">
      <c r="B7" s="128" t="s">
        <v>126</v>
      </c>
      <c r="C7" s="129" t="s">
        <v>127</v>
      </c>
      <c r="D7" s="130">
        <f>G7</f>
        <v>0.2651</v>
      </c>
      <c r="E7" s="130">
        <v>0</v>
      </c>
      <c r="F7" s="130">
        <v>0</v>
      </c>
      <c r="G7" s="248">
        <v>0.2651</v>
      </c>
      <c r="H7" s="266">
        <v>0</v>
      </c>
      <c r="I7" s="267">
        <v>0</v>
      </c>
      <c r="J7" s="267">
        <v>0</v>
      </c>
      <c r="K7" s="264">
        <v>0</v>
      </c>
      <c r="L7" s="251">
        <f>O7</f>
        <v>5.8900000000000008E-2</v>
      </c>
      <c r="M7" s="132">
        <v>0</v>
      </c>
      <c r="N7" s="132">
        <v>0</v>
      </c>
      <c r="O7" s="252">
        <f t="shared" ref="O7:O15" si="0">S7-G7</f>
        <v>5.8900000000000008E-2</v>
      </c>
      <c r="P7" s="244">
        <f>S7</f>
        <v>0.32400000000000001</v>
      </c>
      <c r="Q7" s="130">
        <v>0</v>
      </c>
      <c r="R7" s="130">
        <v>0</v>
      </c>
      <c r="S7" s="131">
        <v>0.32400000000000001</v>
      </c>
    </row>
    <row r="8" spans="2:19" x14ac:dyDescent="0.35">
      <c r="B8" s="133" t="s">
        <v>128</v>
      </c>
      <c r="C8" s="129" t="s">
        <v>127</v>
      </c>
      <c r="D8" s="130">
        <f t="shared" ref="D8:D16" si="1">G8</f>
        <v>0.20119999999999999</v>
      </c>
      <c r="E8" s="130">
        <v>0</v>
      </c>
      <c r="F8" s="130">
        <v>0</v>
      </c>
      <c r="G8" s="241">
        <v>0.20119999999999999</v>
      </c>
      <c r="H8" s="266">
        <v>0</v>
      </c>
      <c r="I8" s="267">
        <v>0</v>
      </c>
      <c r="J8" s="267">
        <v>0</v>
      </c>
      <c r="K8" s="264">
        <v>0</v>
      </c>
      <c r="L8" s="251">
        <f t="shared" ref="L8:L15" si="2">O8</f>
        <v>2.880000000000002E-2</v>
      </c>
      <c r="M8" s="132">
        <v>0</v>
      </c>
      <c r="N8" s="132">
        <v>0</v>
      </c>
      <c r="O8" s="252">
        <f t="shared" si="0"/>
        <v>2.880000000000002E-2</v>
      </c>
      <c r="P8" s="244">
        <f t="shared" ref="P8:P16" si="3">S8</f>
        <v>0.23</v>
      </c>
      <c r="Q8" s="130">
        <v>0</v>
      </c>
      <c r="R8" s="130">
        <v>0</v>
      </c>
      <c r="S8" s="134">
        <v>0.23</v>
      </c>
    </row>
    <row r="9" spans="2:19" x14ac:dyDescent="0.35">
      <c r="B9" s="133" t="s">
        <v>129</v>
      </c>
      <c r="C9" s="129" t="s">
        <v>127</v>
      </c>
      <c r="D9" s="130">
        <f t="shared" si="1"/>
        <v>0</v>
      </c>
      <c r="E9" s="130">
        <v>0</v>
      </c>
      <c r="F9" s="130">
        <v>0</v>
      </c>
      <c r="G9" s="241">
        <v>0</v>
      </c>
      <c r="H9" s="266">
        <v>0</v>
      </c>
      <c r="I9" s="267">
        <v>0</v>
      </c>
      <c r="J9" s="267">
        <v>0</v>
      </c>
      <c r="K9" s="264">
        <v>0</v>
      </c>
      <c r="L9" s="251">
        <f t="shared" si="2"/>
        <v>0.124</v>
      </c>
      <c r="M9" s="132">
        <v>0</v>
      </c>
      <c r="N9" s="132">
        <v>0</v>
      </c>
      <c r="O9" s="252">
        <f t="shared" si="0"/>
        <v>0.124</v>
      </c>
      <c r="P9" s="244">
        <f t="shared" si="3"/>
        <v>0.124</v>
      </c>
      <c r="Q9" s="245">
        <v>0</v>
      </c>
      <c r="R9" s="245">
        <v>0</v>
      </c>
      <c r="S9" s="246">
        <v>0.124</v>
      </c>
    </row>
    <row r="10" spans="2:19" x14ac:dyDescent="0.35">
      <c r="B10" s="133" t="s">
        <v>130</v>
      </c>
      <c r="C10" s="129" t="s">
        <v>127</v>
      </c>
      <c r="D10" s="130">
        <f t="shared" si="1"/>
        <v>0</v>
      </c>
      <c r="E10" s="130">
        <v>0</v>
      </c>
      <c r="F10" s="130">
        <v>0</v>
      </c>
      <c r="G10" s="241">
        <v>0</v>
      </c>
      <c r="H10" s="266">
        <v>0</v>
      </c>
      <c r="I10" s="267">
        <v>0</v>
      </c>
      <c r="J10" s="267">
        <v>0</v>
      </c>
      <c r="K10" s="264">
        <v>0</v>
      </c>
      <c r="L10" s="251">
        <f t="shared" si="2"/>
        <v>2.3E-2</v>
      </c>
      <c r="M10" s="132">
        <v>0</v>
      </c>
      <c r="N10" s="132">
        <v>0</v>
      </c>
      <c r="O10" s="252">
        <f t="shared" si="0"/>
        <v>2.3E-2</v>
      </c>
      <c r="P10" s="244">
        <f t="shared" si="3"/>
        <v>2.3E-2</v>
      </c>
      <c r="Q10" s="130">
        <v>0</v>
      </c>
      <c r="R10" s="130">
        <v>0</v>
      </c>
      <c r="S10" s="134">
        <v>2.3E-2</v>
      </c>
    </row>
    <row r="11" spans="2:19" x14ac:dyDescent="0.35">
      <c r="B11" s="133" t="s">
        <v>131</v>
      </c>
      <c r="C11" s="129" t="s">
        <v>127</v>
      </c>
      <c r="D11" s="130">
        <f t="shared" si="1"/>
        <v>0</v>
      </c>
      <c r="E11" s="130">
        <v>0</v>
      </c>
      <c r="F11" s="130">
        <v>0</v>
      </c>
      <c r="G11" s="241">
        <v>0</v>
      </c>
      <c r="H11" s="266">
        <v>0</v>
      </c>
      <c r="I11" s="267">
        <v>0</v>
      </c>
      <c r="J11" s="267">
        <v>0</v>
      </c>
      <c r="K11" s="264">
        <v>0</v>
      </c>
      <c r="L11" s="251">
        <f t="shared" si="2"/>
        <v>1.0999999999999999E-2</v>
      </c>
      <c r="M11" s="132">
        <v>0</v>
      </c>
      <c r="N11" s="132">
        <v>0</v>
      </c>
      <c r="O11" s="252">
        <f t="shared" si="0"/>
        <v>1.0999999999999999E-2</v>
      </c>
      <c r="P11" s="244">
        <f t="shared" si="3"/>
        <v>1.0999999999999999E-2</v>
      </c>
      <c r="Q11" s="136">
        <v>0</v>
      </c>
      <c r="R11" s="245">
        <v>0</v>
      </c>
      <c r="S11" s="134">
        <v>1.0999999999999999E-2</v>
      </c>
    </row>
    <row r="12" spans="2:19" x14ac:dyDescent="0.35">
      <c r="B12" s="133" t="s">
        <v>132</v>
      </c>
      <c r="C12" s="129" t="s">
        <v>127</v>
      </c>
      <c r="D12" s="130">
        <f t="shared" si="1"/>
        <v>0</v>
      </c>
      <c r="E12" s="130">
        <v>0</v>
      </c>
      <c r="F12" s="130">
        <v>0</v>
      </c>
      <c r="G12" s="241">
        <v>0</v>
      </c>
      <c r="H12" s="266">
        <v>0</v>
      </c>
      <c r="I12" s="267">
        <v>0</v>
      </c>
      <c r="J12" s="267">
        <v>0</v>
      </c>
      <c r="K12" s="264">
        <v>0</v>
      </c>
      <c r="L12" s="251">
        <f t="shared" si="2"/>
        <v>2.8000000000000001E-2</v>
      </c>
      <c r="M12" s="132">
        <v>0</v>
      </c>
      <c r="N12" s="132">
        <v>0</v>
      </c>
      <c r="O12" s="252">
        <f t="shared" si="0"/>
        <v>2.8000000000000001E-2</v>
      </c>
      <c r="P12" s="244">
        <f t="shared" si="3"/>
        <v>2.8000000000000001E-2</v>
      </c>
      <c r="Q12" s="130">
        <v>0</v>
      </c>
      <c r="R12" s="130">
        <v>0</v>
      </c>
      <c r="S12" s="134">
        <v>2.8000000000000001E-2</v>
      </c>
    </row>
    <row r="13" spans="2:19" x14ac:dyDescent="0.35">
      <c r="B13" s="133" t="s">
        <v>133</v>
      </c>
      <c r="C13" s="129" t="s">
        <v>134</v>
      </c>
      <c r="D13" s="130">
        <f t="shared" si="1"/>
        <v>0</v>
      </c>
      <c r="E13" s="130">
        <v>0</v>
      </c>
      <c r="F13" s="130">
        <v>0</v>
      </c>
      <c r="G13" s="241">
        <v>0</v>
      </c>
      <c r="H13" s="266">
        <v>0</v>
      </c>
      <c r="I13" s="267">
        <v>0</v>
      </c>
      <c r="J13" s="267">
        <v>0</v>
      </c>
      <c r="K13" s="264">
        <v>0</v>
      </c>
      <c r="L13" s="251">
        <f t="shared" si="2"/>
        <v>1.4999999999999999E-2</v>
      </c>
      <c r="M13" s="132">
        <v>0</v>
      </c>
      <c r="N13" s="132">
        <v>0</v>
      </c>
      <c r="O13" s="252">
        <f t="shared" si="0"/>
        <v>1.4999999999999999E-2</v>
      </c>
      <c r="P13" s="244">
        <f t="shared" si="3"/>
        <v>1.4999999999999999E-2</v>
      </c>
      <c r="Q13" s="130">
        <v>0</v>
      </c>
      <c r="R13" s="130">
        <v>0</v>
      </c>
      <c r="S13" s="134">
        <v>1.4999999999999999E-2</v>
      </c>
    </row>
    <row r="14" spans="2:19" x14ac:dyDescent="0.35">
      <c r="B14" s="133" t="s">
        <v>135</v>
      </c>
      <c r="C14" s="129" t="s">
        <v>127</v>
      </c>
      <c r="D14" s="130">
        <f t="shared" si="1"/>
        <v>0</v>
      </c>
      <c r="E14" s="130">
        <v>0</v>
      </c>
      <c r="F14" s="130">
        <v>0</v>
      </c>
      <c r="G14" s="241">
        <v>0</v>
      </c>
      <c r="H14" s="266">
        <v>0</v>
      </c>
      <c r="I14" s="267">
        <v>0</v>
      </c>
      <c r="J14" s="267">
        <v>0</v>
      </c>
      <c r="K14" s="264">
        <v>0</v>
      </c>
      <c r="L14" s="251">
        <f t="shared" si="2"/>
        <v>4.2999999999999997E-2</v>
      </c>
      <c r="M14" s="132">
        <v>0</v>
      </c>
      <c r="N14" s="132">
        <v>0</v>
      </c>
      <c r="O14" s="252">
        <f t="shared" si="0"/>
        <v>4.2999999999999997E-2</v>
      </c>
      <c r="P14" s="244">
        <f t="shared" si="3"/>
        <v>4.2999999999999997E-2</v>
      </c>
      <c r="Q14" s="136">
        <v>0</v>
      </c>
      <c r="R14" s="130">
        <v>0</v>
      </c>
      <c r="S14" s="134">
        <v>4.2999999999999997E-2</v>
      </c>
    </row>
    <row r="15" spans="2:19" x14ac:dyDescent="0.35">
      <c r="B15" s="133" t="s">
        <v>136</v>
      </c>
      <c r="C15" s="129" t="s">
        <v>127</v>
      </c>
      <c r="D15" s="130">
        <f t="shared" si="1"/>
        <v>0</v>
      </c>
      <c r="E15" s="130">
        <v>0</v>
      </c>
      <c r="F15" s="130">
        <v>0</v>
      </c>
      <c r="G15" s="241">
        <v>0</v>
      </c>
      <c r="H15" s="266">
        <v>0</v>
      </c>
      <c r="I15" s="267">
        <v>0</v>
      </c>
      <c r="J15" s="267">
        <v>0</v>
      </c>
      <c r="K15" s="264">
        <v>0</v>
      </c>
      <c r="L15" s="251">
        <f t="shared" si="2"/>
        <v>2.8000000000000001E-2</v>
      </c>
      <c r="M15" s="132">
        <v>0</v>
      </c>
      <c r="N15" s="132">
        <v>0</v>
      </c>
      <c r="O15" s="252">
        <f t="shared" si="0"/>
        <v>2.8000000000000001E-2</v>
      </c>
      <c r="P15" s="244">
        <f t="shared" si="3"/>
        <v>2.8000000000000001E-2</v>
      </c>
      <c r="Q15" s="130">
        <v>0</v>
      </c>
      <c r="R15" s="130">
        <v>0</v>
      </c>
      <c r="S15" s="134">
        <v>2.8000000000000001E-2</v>
      </c>
    </row>
    <row r="16" spans="2:19" x14ac:dyDescent="0.35">
      <c r="B16" s="133" t="s">
        <v>137</v>
      </c>
      <c r="C16" s="129" t="s">
        <v>138</v>
      </c>
      <c r="D16" s="130">
        <f t="shared" si="1"/>
        <v>0</v>
      </c>
      <c r="E16" s="130">
        <v>0</v>
      </c>
      <c r="F16" s="130">
        <v>0</v>
      </c>
      <c r="G16" s="241">
        <v>0</v>
      </c>
      <c r="H16" s="266">
        <f>K16</f>
        <v>8.2900000000000001E-2</v>
      </c>
      <c r="I16" s="267">
        <v>0</v>
      </c>
      <c r="J16" s="267">
        <v>0</v>
      </c>
      <c r="K16" s="264">
        <v>8.2900000000000001E-2</v>
      </c>
      <c r="L16" s="251">
        <f>O16</f>
        <v>4.2099999999999999E-2</v>
      </c>
      <c r="M16" s="132">
        <v>0</v>
      </c>
      <c r="N16" s="132">
        <v>0</v>
      </c>
      <c r="O16" s="252">
        <f>S16-K16</f>
        <v>4.2099999999999999E-2</v>
      </c>
      <c r="P16" s="244">
        <f t="shared" si="3"/>
        <v>0.125</v>
      </c>
      <c r="Q16" s="130">
        <v>0</v>
      </c>
      <c r="R16" s="130">
        <v>0</v>
      </c>
      <c r="S16" s="134">
        <v>0.125</v>
      </c>
    </row>
    <row r="17" spans="2:19" x14ac:dyDescent="0.35">
      <c r="B17" s="137" t="s">
        <v>160</v>
      </c>
      <c r="C17" s="138" t="s">
        <v>138</v>
      </c>
      <c r="D17" s="268">
        <v>0</v>
      </c>
      <c r="E17" s="269">
        <v>0</v>
      </c>
      <c r="F17" s="269">
        <v>0</v>
      </c>
      <c r="G17" s="270">
        <v>0</v>
      </c>
      <c r="H17" s="298">
        <f>P17-L17</f>
        <v>0.10497391304347825</v>
      </c>
      <c r="I17" s="299">
        <v>0</v>
      </c>
      <c r="J17" s="299">
        <v>0</v>
      </c>
      <c r="K17" s="300">
        <f>SUM(H17:J17)</f>
        <v>0.10497391304347825</v>
      </c>
      <c r="L17" s="301">
        <f>O17</f>
        <v>1.502608695652175E-2</v>
      </c>
      <c r="M17" s="302">
        <v>0</v>
      </c>
      <c r="N17" s="302">
        <v>0</v>
      </c>
      <c r="O17" s="306">
        <f>O8/P8*S17</f>
        <v>1.502608695652175E-2</v>
      </c>
      <c r="P17" s="303">
        <f>0.12</f>
        <v>0.12</v>
      </c>
      <c r="Q17" s="304">
        <f t="shared" ref="Q17:R17" si="4">E17+M17+I17</f>
        <v>0</v>
      </c>
      <c r="R17" s="305">
        <f t="shared" si="4"/>
        <v>0</v>
      </c>
      <c r="S17" s="307">
        <v>0.12</v>
      </c>
    </row>
    <row r="18" spans="2:19" ht="15" thickBot="1" x14ac:dyDescent="0.4">
      <c r="B18" s="139" t="s">
        <v>473</v>
      </c>
      <c r="C18" s="139" t="s">
        <v>452</v>
      </c>
      <c r="D18" s="140">
        <v>0</v>
      </c>
      <c r="E18" s="140">
        <v>0</v>
      </c>
      <c r="F18" s="140">
        <v>0</v>
      </c>
      <c r="G18" s="242">
        <v>0</v>
      </c>
      <c r="H18" s="517">
        <v>0</v>
      </c>
      <c r="I18" s="140">
        <v>0</v>
      </c>
      <c r="J18" s="140">
        <v>0</v>
      </c>
      <c r="K18" s="242">
        <v>0</v>
      </c>
      <c r="L18" s="517">
        <f>0.18*10^6</f>
        <v>180000</v>
      </c>
      <c r="M18" s="140">
        <v>0</v>
      </c>
      <c r="N18" s="140">
        <v>0</v>
      </c>
      <c r="O18" s="242">
        <f>S18-K18</f>
        <v>180000</v>
      </c>
      <c r="P18" s="517">
        <f>L18+D18+H18</f>
        <v>180000</v>
      </c>
      <c r="Q18" s="140">
        <v>0</v>
      </c>
      <c r="R18" s="140">
        <v>0</v>
      </c>
      <c r="S18" s="516">
        <f>SUM(P18:R18)</f>
        <v>180000</v>
      </c>
    </row>
    <row r="20" spans="2:19" x14ac:dyDescent="0.35">
      <c r="G20" s="51"/>
      <c r="H20" s="51"/>
      <c r="L20" s="28"/>
      <c r="M20" s="28"/>
      <c r="N20" s="28"/>
      <c r="O20" s="51"/>
      <c r="P20" s="28"/>
      <c r="Q20" s="28"/>
      <c r="R20" s="28"/>
      <c r="S20" s="51"/>
    </row>
    <row r="21" spans="2:19" ht="15" thickBot="1" x14ac:dyDescent="0.4">
      <c r="B21" s="1" t="s">
        <v>143</v>
      </c>
      <c r="D21" s="585" t="s">
        <v>281</v>
      </c>
      <c r="E21" s="585"/>
      <c r="F21" s="585"/>
      <c r="G21" s="585"/>
      <c r="H21" s="586" t="s">
        <v>282</v>
      </c>
      <c r="I21" s="585"/>
      <c r="J21" s="585"/>
      <c r="K21" s="587"/>
      <c r="L21" s="586" t="s">
        <v>161</v>
      </c>
      <c r="M21" s="585"/>
      <c r="N21" s="585"/>
      <c r="O21" s="587"/>
      <c r="P21" s="586" t="s">
        <v>142</v>
      </c>
      <c r="Q21" s="585"/>
      <c r="R21" s="585"/>
      <c r="S21" s="585"/>
    </row>
    <row r="22" spans="2:19" ht="15" thickBot="1" x14ac:dyDescent="0.4">
      <c r="B22" s="124" t="s">
        <v>121</v>
      </c>
      <c r="C22" s="125" t="s">
        <v>122</v>
      </c>
      <c r="D22" s="125" t="s">
        <v>55</v>
      </c>
      <c r="E22" s="125" t="s">
        <v>18</v>
      </c>
      <c r="F22" s="125" t="s">
        <v>59</v>
      </c>
      <c r="G22" s="240" t="s">
        <v>123</v>
      </c>
      <c r="H22" s="265"/>
      <c r="I22" s="263"/>
      <c r="J22" s="263"/>
      <c r="K22" s="263"/>
      <c r="L22" s="249" t="s">
        <v>55</v>
      </c>
      <c r="M22" s="127" t="s">
        <v>18</v>
      </c>
      <c r="N22" s="127" t="s">
        <v>59</v>
      </c>
      <c r="O22" s="250" t="s">
        <v>124</v>
      </c>
      <c r="P22" s="243" t="s">
        <v>55</v>
      </c>
      <c r="Q22" s="125" t="s">
        <v>18</v>
      </c>
      <c r="R22" s="125" t="s">
        <v>59</v>
      </c>
      <c r="S22" s="126" t="s">
        <v>125</v>
      </c>
    </row>
    <row r="23" spans="2:19" ht="15" thickTop="1" x14ac:dyDescent="0.35">
      <c r="B23" t="s">
        <v>144</v>
      </c>
      <c r="C23" t="s">
        <v>138</v>
      </c>
      <c r="D23" s="80">
        <v>0.26567978745617005</v>
      </c>
      <c r="E23">
        <v>0</v>
      </c>
      <c r="F23">
        <v>0</v>
      </c>
      <c r="G23" s="135">
        <f>SUM(D23:F23)</f>
        <v>0.26567978745617005</v>
      </c>
      <c r="H23" s="271">
        <v>0</v>
      </c>
      <c r="I23" s="272">
        <v>0</v>
      </c>
      <c r="J23" s="272">
        <v>0</v>
      </c>
      <c r="K23" s="135">
        <v>0</v>
      </c>
      <c r="L23" s="80">
        <v>8.3830986150219722E-2</v>
      </c>
      <c r="M23" s="28">
        <v>0</v>
      </c>
      <c r="N23" s="28">
        <v>0</v>
      </c>
      <c r="O23" s="253">
        <f>SUM(L23:N23)</f>
        <v>8.3830986150219722E-2</v>
      </c>
      <c r="P23" s="247">
        <f>D23+L23</f>
        <v>0.34951077360638977</v>
      </c>
      <c r="Q23" s="245">
        <f>E23+M23</f>
        <v>0</v>
      </c>
      <c r="R23" s="245">
        <f>F23+N23</f>
        <v>0</v>
      </c>
      <c r="S23" s="246">
        <f>G23+O23</f>
        <v>0.34951077360638977</v>
      </c>
    </row>
    <row r="24" spans="2:19" x14ac:dyDescent="0.35">
      <c r="B24" t="s">
        <v>145</v>
      </c>
      <c r="C24" t="s">
        <v>138</v>
      </c>
      <c r="D24" s="80">
        <v>0.26387978889616898</v>
      </c>
      <c r="E24">
        <v>0</v>
      </c>
      <c r="F24">
        <v>0</v>
      </c>
      <c r="G24" s="135">
        <f>SUM(D24:F24)</f>
        <v>0.26387978889616898</v>
      </c>
      <c r="H24" s="271">
        <v>0</v>
      </c>
      <c r="I24" s="272">
        <v>0</v>
      </c>
      <c r="J24" s="272">
        <v>0</v>
      </c>
      <c r="K24" s="135">
        <v>0</v>
      </c>
      <c r="L24" s="247">
        <v>8.4558139771646515E-2</v>
      </c>
      <c r="M24" s="28">
        <v>0</v>
      </c>
      <c r="N24" s="28">
        <v>0</v>
      </c>
      <c r="O24" s="246">
        <f>SUM(L24:N24)</f>
        <v>8.4558139771646515E-2</v>
      </c>
      <c r="P24" s="247">
        <f>0.328</f>
        <v>0.32800000000000001</v>
      </c>
      <c r="Q24" s="28">
        <v>0</v>
      </c>
      <c r="R24" s="28">
        <v>0</v>
      </c>
      <c r="S24" s="246">
        <f>SUM(P24:R24)</f>
        <v>0.32800000000000001</v>
      </c>
    </row>
    <row r="25" spans="2:19" x14ac:dyDescent="0.35">
      <c r="B25" s="133" t="s">
        <v>598</v>
      </c>
      <c r="C25" t="s">
        <v>427</v>
      </c>
      <c r="D25" s="80">
        <f>G25</f>
        <v>0.17803823404451077</v>
      </c>
      <c r="E25">
        <v>0</v>
      </c>
      <c r="F25">
        <v>0</v>
      </c>
      <c r="G25" s="135">
        <v>0.17803823404451077</v>
      </c>
      <c r="H25" s="273">
        <v>0</v>
      </c>
      <c r="I25" s="200">
        <v>0</v>
      </c>
      <c r="J25" s="200">
        <v>0</v>
      </c>
      <c r="K25" s="4">
        <v>0</v>
      </c>
      <c r="L25" s="247">
        <f>O25</f>
        <v>0.119912017953302</v>
      </c>
      <c r="M25">
        <v>0</v>
      </c>
      <c r="N25">
        <v>0</v>
      </c>
      <c r="O25" s="135">
        <f>S25-G25</f>
        <v>0.119912017953302</v>
      </c>
      <c r="P25" s="247">
        <f t="shared" ref="P25:P31" si="5">D25+L25</f>
        <v>0.29795025199781278</v>
      </c>
      <c r="Q25">
        <v>0</v>
      </c>
      <c r="R25">
        <v>0</v>
      </c>
      <c r="S25" s="135">
        <v>0.29795025199781278</v>
      </c>
    </row>
    <row r="26" spans="2:19" x14ac:dyDescent="0.35">
      <c r="B26" s="133" t="s">
        <v>597</v>
      </c>
      <c r="C26" t="s">
        <v>427</v>
      </c>
      <c r="D26" s="80">
        <v>0.190046052358332</v>
      </c>
      <c r="E26">
        <v>0</v>
      </c>
      <c r="F26">
        <v>0</v>
      </c>
      <c r="G26" s="135">
        <f>SUM(D26:F26)</f>
        <v>0.190046052358332</v>
      </c>
      <c r="H26" s="273">
        <v>0</v>
      </c>
      <c r="I26" s="496">
        <v>0</v>
      </c>
      <c r="J26" s="496">
        <v>0</v>
      </c>
      <c r="K26" s="4">
        <v>0</v>
      </c>
      <c r="L26" s="247">
        <f>O26</f>
        <v>0.12558943752002849</v>
      </c>
      <c r="M26" s="496">
        <v>0</v>
      </c>
      <c r="N26" s="496">
        <v>0</v>
      </c>
      <c r="O26" s="135">
        <f>S26-G26</f>
        <v>0.12558943752002849</v>
      </c>
      <c r="P26" s="247">
        <v>0.31173281713399831</v>
      </c>
      <c r="Q26">
        <v>0</v>
      </c>
      <c r="R26">
        <v>0</v>
      </c>
      <c r="S26" s="135">
        <v>0.31563548987836049</v>
      </c>
    </row>
    <row r="27" spans="2:19" x14ac:dyDescent="0.35">
      <c r="B27" s="133" t="s">
        <v>378</v>
      </c>
      <c r="C27" t="s">
        <v>377</v>
      </c>
      <c r="D27" s="80">
        <f t="shared" ref="D27:D35" si="6">G27</f>
        <v>0.10001966209648529</v>
      </c>
      <c r="E27">
        <v>0</v>
      </c>
      <c r="F27">
        <v>0</v>
      </c>
      <c r="G27" s="135">
        <v>0.10001966209648529</v>
      </c>
      <c r="H27" s="273">
        <v>0</v>
      </c>
      <c r="I27" s="200">
        <v>0</v>
      </c>
      <c r="J27" s="200">
        <v>0</v>
      </c>
      <c r="K27" s="4">
        <v>0</v>
      </c>
      <c r="L27" s="247">
        <f t="shared" ref="L27:L35" si="7">O27</f>
        <v>6.3621709980061322E-2</v>
      </c>
      <c r="M27">
        <v>0</v>
      </c>
      <c r="N27">
        <v>0</v>
      </c>
      <c r="O27" s="135">
        <v>6.3621709980061322E-2</v>
      </c>
      <c r="P27" s="247">
        <f t="shared" si="5"/>
        <v>0.16364137207654661</v>
      </c>
      <c r="Q27">
        <v>0</v>
      </c>
      <c r="R27">
        <v>0</v>
      </c>
      <c r="S27" s="135">
        <f t="shared" ref="S27:S31" si="8">O27+G27</f>
        <v>0.16364137207654661</v>
      </c>
    </row>
    <row r="28" spans="2:19" x14ac:dyDescent="0.35">
      <c r="B28" s="133" t="s">
        <v>379</v>
      </c>
      <c r="C28" t="s">
        <v>377</v>
      </c>
      <c r="D28" s="80">
        <f t="shared" si="6"/>
        <v>5.1828753057843703E-5</v>
      </c>
      <c r="E28">
        <v>0</v>
      </c>
      <c r="F28">
        <v>0</v>
      </c>
      <c r="G28" s="135">
        <v>5.1828753057843703E-5</v>
      </c>
      <c r="H28" s="273">
        <v>0</v>
      </c>
      <c r="I28" s="200">
        <v>0</v>
      </c>
      <c r="J28" s="200">
        <v>0</v>
      </c>
      <c r="K28" s="4">
        <v>0</v>
      </c>
      <c r="L28" s="247">
        <f t="shared" si="7"/>
        <v>6.9730960686619336E-3</v>
      </c>
      <c r="M28">
        <v>0</v>
      </c>
      <c r="N28">
        <v>0</v>
      </c>
      <c r="O28" s="135">
        <v>6.9730960686619336E-3</v>
      </c>
      <c r="P28" s="247">
        <f t="shared" si="5"/>
        <v>7.0249248217197774E-3</v>
      </c>
      <c r="Q28">
        <v>0</v>
      </c>
      <c r="R28">
        <v>0</v>
      </c>
      <c r="S28" s="135">
        <f t="shared" si="8"/>
        <v>7.0249248217197774E-3</v>
      </c>
    </row>
    <row r="29" spans="2:19" x14ac:dyDescent="0.35">
      <c r="B29" s="133" t="s">
        <v>380</v>
      </c>
      <c r="C29" t="s">
        <v>377</v>
      </c>
      <c r="D29" s="80">
        <f t="shared" si="6"/>
        <v>1.1178974439461883E-4</v>
      </c>
      <c r="E29">
        <v>0</v>
      </c>
      <c r="F29">
        <v>0</v>
      </c>
      <c r="G29" s="135">
        <v>1.1178974439461883E-4</v>
      </c>
      <c r="H29" s="273">
        <v>0</v>
      </c>
      <c r="I29" s="200">
        <v>0</v>
      </c>
      <c r="J29" s="200">
        <v>0</v>
      </c>
      <c r="K29" s="4">
        <v>0</v>
      </c>
      <c r="L29" s="247">
        <f t="shared" si="7"/>
        <v>7.9263261246636778E-3</v>
      </c>
      <c r="M29">
        <v>0</v>
      </c>
      <c r="N29">
        <v>0</v>
      </c>
      <c r="O29" s="135">
        <v>7.9263261246636778E-3</v>
      </c>
      <c r="P29" s="247">
        <f t="shared" si="5"/>
        <v>8.038115869058296E-3</v>
      </c>
      <c r="Q29">
        <v>0</v>
      </c>
      <c r="R29">
        <v>0</v>
      </c>
      <c r="S29" s="135">
        <f t="shared" si="8"/>
        <v>8.038115869058296E-3</v>
      </c>
    </row>
    <row r="30" spans="2:19" x14ac:dyDescent="0.35">
      <c r="B30" s="133" t="s">
        <v>381</v>
      </c>
      <c r="C30" t="s">
        <v>377</v>
      </c>
      <c r="D30" s="80">
        <f t="shared" si="6"/>
        <v>3.0698285429447848E-5</v>
      </c>
      <c r="E30">
        <v>0</v>
      </c>
      <c r="F30">
        <v>0</v>
      </c>
      <c r="G30" s="135">
        <v>3.0698285429447848E-5</v>
      </c>
      <c r="H30" s="273">
        <v>0</v>
      </c>
      <c r="I30" s="200">
        <v>0</v>
      </c>
      <c r="J30" s="200">
        <v>0</v>
      </c>
      <c r="K30" s="4">
        <v>0</v>
      </c>
      <c r="L30" s="247">
        <f t="shared" si="7"/>
        <v>6.7847133598159508E-3</v>
      </c>
      <c r="M30">
        <v>0</v>
      </c>
      <c r="N30">
        <v>0</v>
      </c>
      <c r="O30" s="135">
        <v>6.7847133598159508E-3</v>
      </c>
      <c r="P30" s="247">
        <f t="shared" si="5"/>
        <v>6.8154116452453983E-3</v>
      </c>
      <c r="Q30">
        <v>0</v>
      </c>
      <c r="R30">
        <v>0</v>
      </c>
      <c r="S30" s="135">
        <f t="shared" si="8"/>
        <v>6.8154116452453983E-3</v>
      </c>
    </row>
    <row r="31" spans="2:19" x14ac:dyDescent="0.35">
      <c r="B31" s="133" t="s">
        <v>382</v>
      </c>
      <c r="C31" t="s">
        <v>377</v>
      </c>
      <c r="D31" s="80">
        <f t="shared" si="6"/>
        <v>6.3533074223942637E-2</v>
      </c>
      <c r="E31">
        <v>0</v>
      </c>
      <c r="F31">
        <v>0</v>
      </c>
      <c r="G31" s="135">
        <v>6.3533074223942637E-2</v>
      </c>
      <c r="H31" s="273">
        <v>0</v>
      </c>
      <c r="I31" s="200">
        <v>0</v>
      </c>
      <c r="J31" s="200">
        <v>0</v>
      </c>
      <c r="K31" s="4">
        <v>0</v>
      </c>
      <c r="L31" s="247">
        <f t="shared" si="7"/>
        <v>2.6947748950756745E-2</v>
      </c>
      <c r="M31">
        <v>0</v>
      </c>
      <c r="N31">
        <v>0</v>
      </c>
      <c r="O31" s="135">
        <v>2.6947748950756745E-2</v>
      </c>
      <c r="P31" s="247">
        <f t="shared" si="5"/>
        <v>9.0480823174699382E-2</v>
      </c>
      <c r="Q31">
        <v>0</v>
      </c>
      <c r="R31">
        <v>0</v>
      </c>
      <c r="S31" s="135">
        <f t="shared" si="8"/>
        <v>9.0480823174699382E-2</v>
      </c>
    </row>
    <row r="32" spans="2:19" x14ac:dyDescent="0.35">
      <c r="B32" s="133" t="s">
        <v>383</v>
      </c>
      <c r="C32" t="s">
        <v>377</v>
      </c>
      <c r="D32" s="80">
        <f t="shared" si="6"/>
        <v>0</v>
      </c>
      <c r="E32">
        <v>0</v>
      </c>
      <c r="F32">
        <v>0</v>
      </c>
      <c r="G32" s="135">
        <v>0</v>
      </c>
      <c r="H32" s="273">
        <v>0</v>
      </c>
      <c r="I32" s="200">
        <v>0</v>
      </c>
      <c r="J32" s="200">
        <v>0</v>
      </c>
      <c r="K32" s="4">
        <v>0</v>
      </c>
      <c r="L32" s="247">
        <f t="shared" si="7"/>
        <v>2.9612779809015239E-2</v>
      </c>
      <c r="M32">
        <v>0</v>
      </c>
      <c r="N32">
        <v>0</v>
      </c>
      <c r="O32" s="135">
        <v>2.9612779809015239E-2</v>
      </c>
      <c r="P32" s="247">
        <f t="shared" ref="P32:P35" si="9">D32+L32</f>
        <v>2.9612779809015239E-2</v>
      </c>
      <c r="Q32">
        <v>0</v>
      </c>
      <c r="R32">
        <v>0</v>
      </c>
      <c r="S32" s="135">
        <f t="shared" ref="S32:S35" si="10">O32+G32</f>
        <v>2.9612779809015239E-2</v>
      </c>
    </row>
    <row r="33" spans="2:19" x14ac:dyDescent="0.35">
      <c r="B33" s="133" t="s">
        <v>384</v>
      </c>
      <c r="C33" t="s">
        <v>377</v>
      </c>
      <c r="D33" s="80">
        <f t="shared" si="6"/>
        <v>1.8742182767857138E-4</v>
      </c>
      <c r="E33">
        <v>0</v>
      </c>
      <c r="F33">
        <v>0</v>
      </c>
      <c r="G33" s="135">
        <v>1.8742182767857138E-4</v>
      </c>
      <c r="H33" s="273">
        <v>0</v>
      </c>
      <c r="I33" s="200">
        <v>0</v>
      </c>
      <c r="J33" s="200">
        <v>0</v>
      </c>
      <c r="K33" s="4">
        <v>0</v>
      </c>
      <c r="L33" s="247">
        <f t="shared" si="7"/>
        <v>3.6015470702126663E-2</v>
      </c>
      <c r="M33">
        <v>0</v>
      </c>
      <c r="N33">
        <v>0</v>
      </c>
      <c r="O33" s="135">
        <v>3.6015470702126663E-2</v>
      </c>
      <c r="P33" s="247">
        <f t="shared" si="9"/>
        <v>3.6202892529805235E-2</v>
      </c>
      <c r="Q33">
        <v>0</v>
      </c>
      <c r="R33">
        <v>0</v>
      </c>
      <c r="S33" s="135">
        <f t="shared" si="10"/>
        <v>3.6202892529805235E-2</v>
      </c>
    </row>
    <row r="34" spans="2:19" x14ac:dyDescent="0.35">
      <c r="B34" s="133" t="s">
        <v>385</v>
      </c>
      <c r="C34" t="s">
        <v>377</v>
      </c>
      <c r="D34" s="80">
        <f t="shared" si="6"/>
        <v>0</v>
      </c>
      <c r="E34">
        <v>0</v>
      </c>
      <c r="F34">
        <v>0</v>
      </c>
      <c r="G34" s="135">
        <v>0</v>
      </c>
      <c r="H34" s="273">
        <v>0</v>
      </c>
      <c r="I34" s="200">
        <v>0</v>
      </c>
      <c r="J34" s="200">
        <v>0</v>
      </c>
      <c r="K34" s="4">
        <v>0</v>
      </c>
      <c r="L34" s="247">
        <f t="shared" si="7"/>
        <v>5.5800314024745086E-3</v>
      </c>
      <c r="M34">
        <v>0</v>
      </c>
      <c r="N34">
        <v>0</v>
      </c>
      <c r="O34" s="135">
        <v>5.5800314024745086E-3</v>
      </c>
      <c r="P34" s="247">
        <f t="shared" si="9"/>
        <v>5.5800314024745086E-3</v>
      </c>
      <c r="Q34">
        <v>0</v>
      </c>
      <c r="R34">
        <v>0</v>
      </c>
      <c r="S34" s="135">
        <f t="shared" si="10"/>
        <v>5.5800314024745086E-3</v>
      </c>
    </row>
    <row r="35" spans="2:19" x14ac:dyDescent="0.35">
      <c r="B35" s="346" t="s">
        <v>386</v>
      </c>
      <c r="C35" t="s">
        <v>377</v>
      </c>
      <c r="D35" s="80">
        <f t="shared" si="6"/>
        <v>0</v>
      </c>
      <c r="E35">
        <v>0</v>
      </c>
      <c r="F35">
        <v>0</v>
      </c>
      <c r="G35" s="135">
        <v>0</v>
      </c>
      <c r="H35" s="273">
        <v>0</v>
      </c>
      <c r="I35" s="200">
        <v>0</v>
      </c>
      <c r="J35" s="200">
        <v>0</v>
      </c>
      <c r="K35" s="4">
        <v>0</v>
      </c>
      <c r="L35" s="247">
        <f t="shared" si="7"/>
        <v>0</v>
      </c>
      <c r="M35">
        <v>0</v>
      </c>
      <c r="N35">
        <v>0</v>
      </c>
      <c r="O35" s="4">
        <v>0</v>
      </c>
      <c r="P35" s="247">
        <f t="shared" si="9"/>
        <v>0</v>
      </c>
      <c r="Q35">
        <v>0</v>
      </c>
      <c r="R35">
        <v>0</v>
      </c>
      <c r="S35" s="135">
        <f t="shared" si="10"/>
        <v>0</v>
      </c>
    </row>
    <row r="36" spans="2:19" x14ac:dyDescent="0.35">
      <c r="H36" s="273"/>
      <c r="I36" s="200"/>
      <c r="J36" s="200"/>
      <c r="K36" s="200"/>
      <c r="L36" s="15"/>
      <c r="M36" s="28"/>
      <c r="N36" s="28"/>
      <c r="O36" s="50"/>
      <c r="P36" s="15"/>
      <c r="Q36" s="28"/>
      <c r="R36" s="28"/>
      <c r="S36" s="51"/>
    </row>
    <row r="37" spans="2:19" ht="13.5" customHeight="1" thickBot="1" x14ac:dyDescent="0.4">
      <c r="B37" s="1" t="s">
        <v>594</v>
      </c>
      <c r="D37" s="585" t="s">
        <v>281</v>
      </c>
      <c r="E37" s="585"/>
      <c r="F37" s="585"/>
      <c r="G37" s="585"/>
      <c r="H37" s="588" t="s">
        <v>282</v>
      </c>
      <c r="I37" s="589"/>
      <c r="J37" s="589"/>
      <c r="K37" s="590"/>
      <c r="L37" s="586" t="s">
        <v>161</v>
      </c>
      <c r="M37" s="585"/>
      <c r="N37" s="585"/>
      <c r="O37" s="587"/>
      <c r="P37" s="586" t="s">
        <v>142</v>
      </c>
      <c r="Q37" s="585"/>
      <c r="R37" s="585"/>
      <c r="S37" s="585"/>
    </row>
    <row r="38" spans="2:19" ht="15" thickBot="1" x14ac:dyDescent="0.4">
      <c r="B38" s="124" t="s">
        <v>121</v>
      </c>
      <c r="C38" s="125" t="s">
        <v>122</v>
      </c>
      <c r="D38" s="125" t="s">
        <v>55</v>
      </c>
      <c r="E38" s="125" t="s">
        <v>18</v>
      </c>
      <c r="F38" s="125" t="s">
        <v>59</v>
      </c>
      <c r="G38" s="240" t="s">
        <v>123</v>
      </c>
      <c r="H38" s="274"/>
      <c r="I38" s="275"/>
      <c r="J38" s="275"/>
      <c r="K38" s="275"/>
      <c r="L38" s="249" t="s">
        <v>55</v>
      </c>
      <c r="M38" s="127" t="s">
        <v>18</v>
      </c>
      <c r="N38" s="127" t="s">
        <v>59</v>
      </c>
      <c r="O38" s="250" t="s">
        <v>124</v>
      </c>
      <c r="P38" s="243" t="s">
        <v>55</v>
      </c>
      <c r="Q38" s="125" t="s">
        <v>18</v>
      </c>
      <c r="R38" s="125" t="s">
        <v>59</v>
      </c>
      <c r="S38" s="126" t="s">
        <v>125</v>
      </c>
    </row>
    <row r="39" spans="2:19" ht="15" thickTop="1" x14ac:dyDescent="0.35">
      <c r="B39" t="s">
        <v>232</v>
      </c>
      <c r="C39" t="s">
        <v>235</v>
      </c>
      <c r="D39" s="80">
        <v>0</v>
      </c>
      <c r="E39" s="80">
        <v>0</v>
      </c>
      <c r="F39" s="80">
        <v>0</v>
      </c>
      <c r="G39" s="135">
        <f>SUM(D39:F39)</f>
        <v>0</v>
      </c>
      <c r="H39" s="271">
        <v>0</v>
      </c>
      <c r="I39" s="272">
        <v>0</v>
      </c>
      <c r="J39" s="272">
        <v>0</v>
      </c>
      <c r="K39" s="135">
        <v>0</v>
      </c>
      <c r="L39" s="247">
        <v>0.51</v>
      </c>
      <c r="M39" s="28">
        <v>0</v>
      </c>
      <c r="N39" s="28">
        <v>0</v>
      </c>
      <c r="O39" s="253">
        <f>SUM(L39:N39)</f>
        <v>0.51</v>
      </c>
      <c r="P39" s="247">
        <f>D39+L39</f>
        <v>0.51</v>
      </c>
      <c r="Q39" s="245">
        <f t="shared" ref="Q39" si="11">E39+M39</f>
        <v>0</v>
      </c>
      <c r="R39" s="245">
        <f t="shared" ref="R39" si="12">F39+N39</f>
        <v>0</v>
      </c>
      <c r="S39" s="246">
        <f t="shared" ref="S39" si="13">G39+O39</f>
        <v>0.51</v>
      </c>
    </row>
    <row r="40" spans="2:19" x14ac:dyDescent="0.35">
      <c r="B40" t="s">
        <v>233</v>
      </c>
      <c r="C40" t="s">
        <v>235</v>
      </c>
      <c r="D40" s="80">
        <v>0</v>
      </c>
      <c r="E40" s="80">
        <v>0</v>
      </c>
      <c r="F40" s="80">
        <v>0</v>
      </c>
      <c r="G40" s="135">
        <f>SUM(D40:F40)</f>
        <v>0</v>
      </c>
      <c r="H40" s="271">
        <v>0</v>
      </c>
      <c r="I40" s="272">
        <v>0</v>
      </c>
      <c r="J40" s="272">
        <v>0</v>
      </c>
      <c r="K40" s="135">
        <v>0</v>
      </c>
      <c r="L40" s="247">
        <v>1.35</v>
      </c>
      <c r="M40" s="28">
        <v>0</v>
      </c>
      <c r="N40" s="28">
        <v>0</v>
      </c>
      <c r="O40" s="253">
        <f t="shared" ref="O40:O41" si="14">SUM(L40:N40)</f>
        <v>1.35</v>
      </c>
      <c r="P40" s="247">
        <f>D40+L40</f>
        <v>1.35</v>
      </c>
      <c r="Q40" s="276">
        <v>0</v>
      </c>
      <c r="R40" s="276">
        <v>0</v>
      </c>
      <c r="S40" s="246">
        <f>SUM(P40:R40)</f>
        <v>1.35</v>
      </c>
    </row>
    <row r="41" spans="2:19" x14ac:dyDescent="0.35">
      <c r="B41" t="s">
        <v>234</v>
      </c>
      <c r="C41" t="s">
        <v>235</v>
      </c>
      <c r="D41" s="80">
        <v>0</v>
      </c>
      <c r="E41" s="80">
        <v>0</v>
      </c>
      <c r="F41" s="80">
        <v>0</v>
      </c>
      <c r="G41" s="135">
        <v>0</v>
      </c>
      <c r="H41" s="271">
        <v>0</v>
      </c>
      <c r="I41" s="272">
        <v>0</v>
      </c>
      <c r="J41" s="272"/>
      <c r="K41" s="135">
        <v>0</v>
      </c>
      <c r="L41" s="15">
        <v>6.29</v>
      </c>
      <c r="M41" s="28">
        <v>0</v>
      </c>
      <c r="N41" s="28">
        <v>0</v>
      </c>
      <c r="O41" s="253">
        <f t="shared" si="14"/>
        <v>6.29</v>
      </c>
      <c r="P41" s="247">
        <f>D41+L41</f>
        <v>6.29</v>
      </c>
      <c r="Q41" s="276">
        <v>0</v>
      </c>
      <c r="R41" s="276">
        <v>0</v>
      </c>
      <c r="S41" s="246">
        <f>SUM(P41:R41)</f>
        <v>6.29</v>
      </c>
    </row>
    <row r="42" spans="2:19" x14ac:dyDescent="0.35">
      <c r="B42" t="s">
        <v>595</v>
      </c>
      <c r="C42" t="s">
        <v>450</v>
      </c>
      <c r="D42" s="489">
        <v>0</v>
      </c>
      <c r="E42" s="489">
        <v>0</v>
      </c>
      <c r="F42" s="489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80">
        <v>4.3303571428571427E-2</v>
      </c>
      <c r="M42" s="490">
        <v>0</v>
      </c>
      <c r="N42" s="490">
        <v>0</v>
      </c>
      <c r="O42" s="135">
        <f>L42</f>
        <v>4.3303571428571427E-2</v>
      </c>
      <c r="P42" s="80">
        <f>L42</f>
        <v>4.3303571428571427E-2</v>
      </c>
      <c r="Q42" s="135">
        <v>0</v>
      </c>
      <c r="R42" s="135">
        <v>0</v>
      </c>
      <c r="S42" s="135">
        <f>SUM(P42:R42)</f>
        <v>4.3303571428571427E-2</v>
      </c>
    </row>
    <row r="44" spans="2:19" x14ac:dyDescent="0.35">
      <c r="O44"/>
    </row>
  </sheetData>
  <sheetProtection algorithmName="SHA-512" hashValue="YGdBY60wttmCV8S54DQ/VCI7T/HVLLiofcAk0iK9/406AUx79AG/5jxPQBJnAuDQB/8n993gznTJR6bQqzcAMw==" saltValue="xfLmdwf+DimM2xACfpu22w==" spinCount="100000" sheet="1" objects="1" scenarios="1"/>
  <mergeCells count="12">
    <mergeCell ref="D37:G37"/>
    <mergeCell ref="L37:O37"/>
    <mergeCell ref="P37:S37"/>
    <mergeCell ref="H5:K5"/>
    <mergeCell ref="H21:K21"/>
    <mergeCell ref="H37:K37"/>
    <mergeCell ref="D5:G5"/>
    <mergeCell ref="L5:O5"/>
    <mergeCell ref="P5:S5"/>
    <mergeCell ref="D21:G21"/>
    <mergeCell ref="L21:O21"/>
    <mergeCell ref="P21:S21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8150-3187-4769-A55A-92D4257139F5}">
  <sheetPr codeName="Feuil26"/>
  <dimension ref="B2:G12"/>
  <sheetViews>
    <sheetView workbookViewId="0">
      <selection activeCell="F34" sqref="F34"/>
    </sheetView>
  </sheetViews>
  <sheetFormatPr baseColWidth="10" defaultRowHeight="14.5" x14ac:dyDescent="0.35"/>
  <cols>
    <col min="1" max="1" width="14.7265625" customWidth="1"/>
    <col min="2" max="2" width="43.1796875" customWidth="1"/>
  </cols>
  <sheetData>
    <row r="2" spans="2:7" s="111" customFormat="1" x14ac:dyDescent="0.35">
      <c r="B2" s="111" t="s">
        <v>101</v>
      </c>
    </row>
    <row r="5" spans="2:7" x14ac:dyDescent="0.35">
      <c r="B5" t="s">
        <v>263</v>
      </c>
      <c r="C5">
        <v>18202</v>
      </c>
      <c r="D5" t="s">
        <v>102</v>
      </c>
    </row>
    <row r="6" spans="2:7" x14ac:dyDescent="0.35">
      <c r="B6" t="s">
        <v>264</v>
      </c>
      <c r="C6">
        <v>19918</v>
      </c>
      <c r="D6" t="s">
        <v>102</v>
      </c>
      <c r="F6" s="76"/>
      <c r="G6" s="76">
        <f>-1+EPT_2023/EPT_2019</f>
        <v>9.4275354356664121E-2</v>
      </c>
    </row>
    <row r="7" spans="2:7" x14ac:dyDescent="0.35">
      <c r="B7" t="s">
        <v>265</v>
      </c>
      <c r="C7">
        <v>90482</v>
      </c>
      <c r="D7" t="s">
        <v>262</v>
      </c>
    </row>
    <row r="8" spans="2:7" x14ac:dyDescent="0.35">
      <c r="B8" t="s">
        <v>266</v>
      </c>
      <c r="C8">
        <v>97143</v>
      </c>
      <c r="D8" t="s">
        <v>262</v>
      </c>
    </row>
    <row r="9" spans="2:7" x14ac:dyDescent="0.35">
      <c r="B9" t="s">
        <v>267</v>
      </c>
      <c r="C9">
        <v>35150</v>
      </c>
      <c r="D9" t="s">
        <v>262</v>
      </c>
    </row>
    <row r="10" spans="2:7" x14ac:dyDescent="0.35">
      <c r="B10" t="s">
        <v>268</v>
      </c>
      <c r="C10">
        <v>35750</v>
      </c>
      <c r="D10" t="s">
        <v>262</v>
      </c>
      <c r="G10" s="76">
        <f>-1+C10/C9</f>
        <v>1.7069701280227667E-2</v>
      </c>
    </row>
    <row r="12" spans="2:7" x14ac:dyDescent="0.35">
      <c r="C12">
        <f>C10+C8</f>
        <v>132893</v>
      </c>
    </row>
  </sheetData>
  <phoneticPr fontId="11" type="noConversion"/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D342-CC7A-4544-A983-F94C60C02045}">
  <sheetPr codeName="Feuil27"/>
  <dimension ref="B2:G10"/>
  <sheetViews>
    <sheetView workbookViewId="0">
      <selection activeCell="C25" sqref="C25"/>
    </sheetView>
  </sheetViews>
  <sheetFormatPr baseColWidth="10" defaultRowHeight="14.5" x14ac:dyDescent="0.35"/>
  <cols>
    <col min="3" max="3" width="31" customWidth="1"/>
    <col min="4" max="4" width="22.81640625" customWidth="1"/>
  </cols>
  <sheetData>
    <row r="2" spans="2:7" s="41" customFormat="1" ht="31" x14ac:dyDescent="0.7">
      <c r="B2" s="40" t="s">
        <v>50</v>
      </c>
    </row>
    <row r="4" spans="2:7" x14ac:dyDescent="0.35">
      <c r="C4" s="42" t="s">
        <v>51</v>
      </c>
      <c r="D4" s="43" t="s">
        <v>52</v>
      </c>
      <c r="E4" s="44" t="s">
        <v>53</v>
      </c>
    </row>
    <row r="5" spans="2:7" x14ac:dyDescent="0.35">
      <c r="C5" s="15" t="s">
        <v>54</v>
      </c>
      <c r="D5" t="s">
        <v>55</v>
      </c>
      <c r="E5" s="45">
        <v>1</v>
      </c>
      <c r="G5" t="s">
        <v>56</v>
      </c>
    </row>
    <row r="6" spans="2:7" x14ac:dyDescent="0.35">
      <c r="C6" s="15" t="s">
        <v>57</v>
      </c>
      <c r="D6" t="s">
        <v>55</v>
      </c>
      <c r="E6" s="45">
        <v>0</v>
      </c>
    </row>
    <row r="7" spans="2:7" x14ac:dyDescent="0.35">
      <c r="C7" s="15" t="s">
        <v>58</v>
      </c>
      <c r="D7" t="s">
        <v>18</v>
      </c>
      <c r="E7" s="45">
        <v>28</v>
      </c>
    </row>
    <row r="8" spans="2:7" x14ac:dyDescent="0.35">
      <c r="C8" s="15" t="s">
        <v>613</v>
      </c>
      <c r="D8" t="s">
        <v>59</v>
      </c>
      <c r="E8" s="45">
        <v>265</v>
      </c>
    </row>
    <row r="9" spans="2:7" x14ac:dyDescent="0.35">
      <c r="C9" s="15" t="s">
        <v>60</v>
      </c>
      <c r="D9" t="s">
        <v>61</v>
      </c>
      <c r="E9" s="45">
        <v>23500</v>
      </c>
    </row>
    <row r="10" spans="2:7" x14ac:dyDescent="0.35">
      <c r="C10" s="18" t="s">
        <v>62</v>
      </c>
      <c r="D10" s="20" t="s">
        <v>63</v>
      </c>
      <c r="E10" s="46">
        <v>16100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FC42-5F03-411E-9FAE-7D89FDF19B3B}">
  <sheetPr codeName="Feuil3">
    <tabColor theme="7"/>
  </sheetPr>
  <dimension ref="A2:W41"/>
  <sheetViews>
    <sheetView topLeftCell="C1" zoomScale="83" workbookViewId="0">
      <selection activeCell="D45" sqref="D45"/>
    </sheetView>
  </sheetViews>
  <sheetFormatPr baseColWidth="10" defaultRowHeight="14.5" x14ac:dyDescent="0.35"/>
  <cols>
    <col min="3" max="3" width="41.1796875" customWidth="1"/>
    <col min="4" max="4" width="26.7265625" customWidth="1"/>
    <col min="5" max="5" width="15.453125" customWidth="1"/>
    <col min="10" max="14" width="10.81640625" style="4"/>
    <col min="18" max="18" width="10.81640625" style="4"/>
    <col min="20" max="20" width="15.7265625" customWidth="1"/>
    <col min="22" max="22" width="10.81640625" style="4"/>
    <col min="23" max="23" width="28.1796875" style="3" customWidth="1"/>
  </cols>
  <sheetData>
    <row r="2" spans="1:23" s="97" customFormat="1" ht="33.5" x14ac:dyDescent="0.75">
      <c r="B2" s="145" t="s">
        <v>147</v>
      </c>
      <c r="J2" s="216"/>
      <c r="K2" s="216"/>
      <c r="L2" s="216"/>
      <c r="M2" s="216"/>
      <c r="N2" s="216"/>
      <c r="R2" s="216"/>
      <c r="V2" s="216"/>
      <c r="W2" s="149"/>
    </row>
    <row r="4" spans="1:23" s="109" customFormat="1" x14ac:dyDescent="0.35">
      <c r="A4" s="120">
        <v>2023</v>
      </c>
      <c r="J4" s="121"/>
      <c r="K4" s="121"/>
      <c r="L4" s="121"/>
      <c r="M4" s="121"/>
      <c r="N4" s="121"/>
      <c r="R4" s="121"/>
      <c r="V4" s="121"/>
      <c r="W4" s="150"/>
    </row>
    <row r="5" spans="1:23" x14ac:dyDescent="0.35">
      <c r="C5" s="8"/>
    </row>
    <row r="6" spans="1:23" x14ac:dyDescent="0.35">
      <c r="E6" s="20"/>
      <c r="F6" s="19"/>
      <c r="G6" s="574" t="s">
        <v>276</v>
      </c>
      <c r="H6" s="575"/>
      <c r="I6" s="575"/>
      <c r="J6" s="576"/>
      <c r="K6" s="574" t="s">
        <v>277</v>
      </c>
      <c r="L6" s="575"/>
      <c r="M6" s="575"/>
      <c r="N6" s="576"/>
      <c r="O6" s="574" t="s">
        <v>159</v>
      </c>
      <c r="P6" s="575"/>
      <c r="Q6" s="575"/>
      <c r="R6" s="576"/>
      <c r="S6" s="574" t="s">
        <v>15</v>
      </c>
      <c r="T6" s="575"/>
      <c r="U6" s="575"/>
      <c r="V6" s="576"/>
    </row>
    <row r="7" spans="1:23" ht="15" thickBot="1" x14ac:dyDescent="0.4">
      <c r="B7" s="9" t="s">
        <v>16</v>
      </c>
      <c r="C7" s="10" t="s">
        <v>246</v>
      </c>
      <c r="D7" s="11" t="s">
        <v>17</v>
      </c>
      <c r="E7" s="13" t="s">
        <v>26</v>
      </c>
      <c r="F7" s="13" t="s">
        <v>27</v>
      </c>
      <c r="G7" s="9" t="s">
        <v>55</v>
      </c>
      <c r="H7" s="171" t="s">
        <v>18</v>
      </c>
      <c r="I7" s="171" t="s">
        <v>59</v>
      </c>
      <c r="J7" s="284" t="s">
        <v>19</v>
      </c>
      <c r="K7" s="9" t="s">
        <v>55</v>
      </c>
      <c r="L7" s="171" t="s">
        <v>18</v>
      </c>
      <c r="M7" s="171" t="s">
        <v>59</v>
      </c>
      <c r="N7" s="284" t="s">
        <v>19</v>
      </c>
      <c r="O7" s="9" t="s">
        <v>55</v>
      </c>
      <c r="P7" s="171" t="s">
        <v>18</v>
      </c>
      <c r="Q7" s="171" t="s">
        <v>59</v>
      </c>
      <c r="R7" s="284" t="s">
        <v>19</v>
      </c>
      <c r="S7" s="9" t="s">
        <v>55</v>
      </c>
      <c r="T7" s="171" t="s">
        <v>18</v>
      </c>
      <c r="U7" s="171" t="s">
        <v>59</v>
      </c>
      <c r="V7" s="285" t="s">
        <v>19</v>
      </c>
      <c r="W7" s="283" t="s">
        <v>149</v>
      </c>
    </row>
    <row r="8" spans="1:23" ht="26.5" customHeight="1" thickTop="1" x14ac:dyDescent="0.35">
      <c r="B8" s="15">
        <v>2023</v>
      </c>
      <c r="C8" s="213" t="s">
        <v>574</v>
      </c>
      <c r="D8" s="17" t="str">
        <f>'Chaleur du bâtiment - Calcul'!B97</f>
        <v>Mazout</v>
      </c>
      <c r="E8" s="82">
        <f>'Chaleur du bâtiment - Calcul'!D97</f>
        <v>9894988.4041508902</v>
      </c>
      <c r="F8" s="28" t="s">
        <v>138</v>
      </c>
      <c r="G8" s="231">
        <f>_xlfn.XLOOKUP($W8,'Facteur émissions'!$B$7:$B$17,'Facteur émissions'!D$7:D$17)/1000*$E8</f>
        <v>2623.1614259404009</v>
      </c>
      <c r="H8" s="115">
        <f>_xlfn.XLOOKUP($W8,'Facteur émissions'!$B$7:$B$17,'Facteur émissions'!E$7:E$17)/1000*$E8</f>
        <v>0</v>
      </c>
      <c r="I8" s="115">
        <f>_xlfn.XLOOKUP($W8,'Facteur émissions'!$B$7:$B$17,'Facteur émissions'!F$7:F$17)/1000*$E8</f>
        <v>0</v>
      </c>
      <c r="J8" s="432">
        <f>_xlfn.XLOOKUP($W8,'Facteur émissions'!$B$7:$B$17,'Facteur émissions'!G$7:G$17)/1000*$E8</f>
        <v>2623.1614259404009</v>
      </c>
      <c r="K8" s="529">
        <f>_xlfn.XLOOKUP($W8,'Facteur émissions'!$B$7:$B$17,'Facteur émissions'!H$7:H$17)/1000*$E8</f>
        <v>0</v>
      </c>
      <c r="L8" s="530">
        <f>_xlfn.XLOOKUP($W8,'Facteur émissions'!$B$7:$B$17,'Facteur émissions'!I$7:I$17)/1000*$E8</f>
        <v>0</v>
      </c>
      <c r="M8" s="530">
        <f>_xlfn.XLOOKUP($W8,'Facteur émissions'!$B$7:$B$17,'Facteur émissions'!J$7:J$17)/1000*$E8</f>
        <v>0</v>
      </c>
      <c r="N8" s="432">
        <f>_xlfn.XLOOKUP($W8,'Facteur émissions'!$B$7:$B$17,'Facteur émissions'!K$7:K$17)/1000*$E8</f>
        <v>0</v>
      </c>
      <c r="O8" s="231">
        <f>_xlfn.XLOOKUP($W8,'Facteur émissions'!$B$7:$B$17,'Facteur émissions'!L$7:L$17)/1000*$E8</f>
        <v>582.81481700448751</v>
      </c>
      <c r="P8" s="115">
        <f>_xlfn.XLOOKUP($W8,'Facteur émissions'!$B$7:$B$17,'Facteur émissions'!M$7:M$17)/1000*$E8</f>
        <v>0</v>
      </c>
      <c r="Q8" s="115">
        <f>_xlfn.XLOOKUP($W8,'Facteur émissions'!$B$7:$B$17,'Facteur émissions'!N$7:N$17)/1000*$E8</f>
        <v>0</v>
      </c>
      <c r="R8" s="432">
        <f>_xlfn.XLOOKUP($W8,'Facteur émissions'!$B$7:$B$17,'Facteur émissions'!O$7:O$17)/1000*$E8</f>
        <v>582.81481700448751</v>
      </c>
      <c r="S8" s="231">
        <f>G8+O8</f>
        <v>3205.9762429448883</v>
      </c>
      <c r="T8" s="115">
        <f>H8+P8</f>
        <v>0</v>
      </c>
      <c r="U8" s="115">
        <f>I8+Q8</f>
        <v>0</v>
      </c>
      <c r="V8" s="359">
        <f>J8+R8</f>
        <v>3205.9762429448883</v>
      </c>
      <c r="W8" s="151" t="s">
        <v>126</v>
      </c>
    </row>
    <row r="9" spans="1:23" x14ac:dyDescent="0.35">
      <c r="B9" s="15">
        <v>2023</v>
      </c>
      <c r="C9" s="16"/>
      <c r="D9" s="17" t="str">
        <f>'Chaleur du bâtiment - Calcul'!B98</f>
        <v>Gaz fossile</v>
      </c>
      <c r="E9" s="82">
        <f>'Chaleur du bâtiment - Calcul'!D98</f>
        <v>25537661.660665959</v>
      </c>
      <c r="F9" s="28" t="s">
        <v>138</v>
      </c>
      <c r="G9" s="231">
        <f>_xlfn.XLOOKUP($W9,'Facteur émissions'!$B$7:$B$17,'Facteur émissions'!D$7:D$17)/1000*$E9</f>
        <v>5138.1775261259909</v>
      </c>
      <c r="H9" s="115">
        <f>_xlfn.XLOOKUP($W9,'Facteur émissions'!$B$7:$B$17,'Facteur émissions'!E$7:E$17)/1000*$E9</f>
        <v>0</v>
      </c>
      <c r="I9" s="115">
        <f>_xlfn.XLOOKUP($W9,'Facteur émissions'!$B$7:$B$17,'Facteur émissions'!F$7:F$17)/1000*$E9</f>
        <v>0</v>
      </c>
      <c r="J9" s="432">
        <f>_xlfn.XLOOKUP($W9,'Facteur émissions'!$B$7:$B$17,'Facteur émissions'!G$7:G$17)/1000*$E9</f>
        <v>5138.1775261259909</v>
      </c>
      <c r="K9" s="531">
        <f>_xlfn.XLOOKUP($W9,'Facteur émissions'!$B$7:$B$17,'Facteur émissions'!H$7:H$17)/1000*$E9</f>
        <v>0</v>
      </c>
      <c r="L9" s="259">
        <f>_xlfn.XLOOKUP($W9,'Facteur émissions'!$B$7:$B$17,'Facteur émissions'!I$7:I$17)/1000*$E9</f>
        <v>0</v>
      </c>
      <c r="M9" s="259">
        <f>_xlfn.XLOOKUP($W9,'Facteur émissions'!$B$7:$B$17,'Facteur émissions'!J$7:J$17)/1000*$E9</f>
        <v>0</v>
      </c>
      <c r="N9" s="432">
        <f>_xlfn.XLOOKUP($W9,'Facteur émissions'!$B$7:$B$17,'Facteur émissions'!K$7:K$17)/1000*$E9</f>
        <v>0</v>
      </c>
      <c r="O9" s="231">
        <f>_xlfn.XLOOKUP($W9,'Facteur émissions'!$B$7:$B$17,'Facteur émissions'!L$7:L$17)/1000*$E9</f>
        <v>735.48465582718006</v>
      </c>
      <c r="P9" s="115">
        <f>_xlfn.XLOOKUP($W9,'Facteur émissions'!$B$7:$B$17,'Facteur émissions'!M$7:M$17)/1000*$E9</f>
        <v>0</v>
      </c>
      <c r="Q9" s="115">
        <f>_xlfn.XLOOKUP($W9,'Facteur émissions'!$B$7:$B$17,'Facteur émissions'!N$7:N$17)/1000*$E9</f>
        <v>0</v>
      </c>
      <c r="R9" s="432">
        <f>_xlfn.XLOOKUP($W9,'Facteur émissions'!$B$7:$B$17,'Facteur émissions'!O$7:O$17)/1000*$E9</f>
        <v>735.48465582718006</v>
      </c>
      <c r="S9" s="231">
        <f t="shared" ref="S9" si="0">G9+O9</f>
        <v>5873.6621819531711</v>
      </c>
      <c r="T9" s="115">
        <f>H9+P9</f>
        <v>0</v>
      </c>
      <c r="U9" s="115">
        <f>I9+Q9</f>
        <v>0</v>
      </c>
      <c r="V9" s="359">
        <f>J9+R9</f>
        <v>5873.6621819531711</v>
      </c>
      <c r="W9" s="151" t="s">
        <v>128</v>
      </c>
    </row>
    <row r="10" spans="1:23" x14ac:dyDescent="0.35">
      <c r="B10" s="21" t="s">
        <v>23</v>
      </c>
      <c r="C10" s="212"/>
      <c r="D10" s="22"/>
      <c r="E10" s="61"/>
      <c r="F10" s="23"/>
      <c r="G10" s="61">
        <f>SUM(G8:G9)</f>
        <v>7761.3389520663914</v>
      </c>
      <c r="H10" s="62">
        <f t="shared" ref="H10:V10" si="1">SUM(H8:H9)</f>
        <v>0</v>
      </c>
      <c r="I10" s="62">
        <f t="shared" si="1"/>
        <v>0</v>
      </c>
      <c r="J10" s="65">
        <f t="shared" si="1"/>
        <v>7761.3389520663914</v>
      </c>
      <c r="K10" s="281">
        <v>0</v>
      </c>
      <c r="L10" s="281">
        <v>0</v>
      </c>
      <c r="M10" s="281">
        <v>0</v>
      </c>
      <c r="N10" s="65">
        <v>0</v>
      </c>
      <c r="O10" s="61">
        <f t="shared" si="1"/>
        <v>1318.2994728316676</v>
      </c>
      <c r="P10" s="62">
        <f t="shared" si="1"/>
        <v>0</v>
      </c>
      <c r="Q10" s="62">
        <f t="shared" si="1"/>
        <v>0</v>
      </c>
      <c r="R10" s="65">
        <f t="shared" si="1"/>
        <v>1318.2994728316676</v>
      </c>
      <c r="S10" s="61">
        <f t="shared" si="1"/>
        <v>9079.6384248980594</v>
      </c>
      <c r="T10" s="62">
        <f t="shared" si="1"/>
        <v>0</v>
      </c>
      <c r="U10" s="62">
        <f t="shared" si="1"/>
        <v>0</v>
      </c>
      <c r="V10" s="65">
        <f t="shared" si="1"/>
        <v>9079.6384248980594</v>
      </c>
      <c r="W10" s="151"/>
    </row>
    <row r="11" spans="1:23" x14ac:dyDescent="0.35">
      <c r="B11" s="15">
        <v>2023</v>
      </c>
      <c r="C11" s="16" t="s">
        <v>249</v>
      </c>
      <c r="D11" s="17" t="str">
        <f>'Chaleur du bâtiment - Calcul'!B99</f>
        <v xml:space="preserve">Bois en plaquettes </v>
      </c>
      <c r="E11" s="82">
        <f>'Chaleur du bâtiment - Calcul'!D99</f>
        <v>4432930.7968873549</v>
      </c>
      <c r="F11" s="28" t="s">
        <v>138</v>
      </c>
      <c r="G11" s="231">
        <f>_xlfn.XLOOKUP($W11,'Facteur émissions'!$B$7:$B$17,'Facteur émissions'!D$7:D$17)/1000*$E11</f>
        <v>0</v>
      </c>
      <c r="H11" s="115">
        <f>_xlfn.XLOOKUP($W11,'Facteur émissions'!$B$7:$B$17,'Facteur émissions'!E$7:E$17)/1000*$E11</f>
        <v>0</v>
      </c>
      <c r="I11" s="115">
        <f>_xlfn.XLOOKUP($W11,'Facteur émissions'!$B$7:$B$17,'Facteur émissions'!F$7:F$17)/1000*$E11</f>
        <v>0</v>
      </c>
      <c r="J11" s="432">
        <f>_xlfn.XLOOKUP($W11,'Facteur émissions'!$B$7:$B$17,'Facteur émissions'!G$7:G$17)/1000*$E11</f>
        <v>0</v>
      </c>
      <c r="K11" s="532">
        <f>_xlfn.XLOOKUP($W11,'Facteur émissions'!$B$7:$B$17,'Facteur émissions'!H$7:H$17)/1000*$E11</f>
        <v>0</v>
      </c>
      <c r="L11" s="533">
        <f>_xlfn.XLOOKUP($W11,'Facteur émissions'!$B$7:$B$17,'Facteur émissions'!I$7:I$17)/1000*$E11</f>
        <v>0</v>
      </c>
      <c r="M11" s="533">
        <f>_xlfn.XLOOKUP($W11,'Facteur émissions'!$B$7:$B$17,'Facteur émissions'!J$7:J$17)/1000*$E11</f>
        <v>0</v>
      </c>
      <c r="N11" s="432">
        <f>_xlfn.XLOOKUP($W11,'Facteur émissions'!$B$7:$B$17,'Facteur émissions'!K$7:K$17)/1000*$E11</f>
        <v>0</v>
      </c>
      <c r="O11" s="532">
        <f>_xlfn.XLOOKUP($W11,'Facteur émissions'!$B$7:$B$17,'Facteur émissions'!L$7:L$17)/1000*$E11</f>
        <v>48.762238765760905</v>
      </c>
      <c r="P11" s="533">
        <f>_xlfn.XLOOKUP($W11,'Facteur émissions'!$B$7:$B$17,'Facteur émissions'!M$7:M$17)/1000*$E11</f>
        <v>0</v>
      </c>
      <c r="Q11" s="533">
        <f>_xlfn.XLOOKUP($W11,'Facteur émissions'!$B$7:$B$17,'Facteur émissions'!N$7:N$17)/1000*$E11</f>
        <v>0</v>
      </c>
      <c r="R11" s="432">
        <f>_xlfn.XLOOKUP($W11,'Facteur émissions'!$B$7:$B$17,'Facteur émissions'!O$7:O$17)/1000*$E11</f>
        <v>48.762238765760905</v>
      </c>
      <c r="S11" s="534">
        <f>G11+O11+K11</f>
        <v>48.762238765760905</v>
      </c>
      <c r="T11" s="535">
        <f t="shared" ref="T11:V11" si="2">H11+P11+L11</f>
        <v>0</v>
      </c>
      <c r="U11" s="535">
        <f t="shared" si="2"/>
        <v>0</v>
      </c>
      <c r="V11" s="359">
        <f t="shared" si="2"/>
        <v>48.762238765760905</v>
      </c>
      <c r="W11" s="151" t="s">
        <v>131</v>
      </c>
    </row>
    <row r="12" spans="1:23" x14ac:dyDescent="0.35">
      <c r="B12" s="15">
        <v>2023</v>
      </c>
      <c r="C12" s="16"/>
      <c r="D12" s="17" t="str">
        <f>'Chaleur du bâtiment - Calcul'!B100</f>
        <v xml:space="preserve">Bois en pellets </v>
      </c>
      <c r="E12" s="82">
        <f>'Chaleur du bâtiment - Calcul'!D100</f>
        <v>1080709</v>
      </c>
      <c r="F12" s="28" t="s">
        <v>138</v>
      </c>
      <c r="G12" s="231">
        <f>_xlfn.XLOOKUP($W12,'Facteur émissions'!$B$7:$B$17,'Facteur émissions'!D$7:D$17)/1000*$E12</f>
        <v>0</v>
      </c>
      <c r="H12" s="115">
        <f>_xlfn.XLOOKUP($W12,'Facteur émissions'!$B$7:$B$17,'Facteur émissions'!E$7:E$17)/1000*$E12</f>
        <v>0</v>
      </c>
      <c r="I12" s="115">
        <f>_xlfn.XLOOKUP($W12,'Facteur émissions'!$B$7:$B$17,'Facteur émissions'!F$7:F$17)/1000*$E12</f>
        <v>0</v>
      </c>
      <c r="J12" s="432">
        <f>_xlfn.XLOOKUP($W12,'Facteur émissions'!$B$7:$B$17,'Facteur émissions'!G$7:G$17)/1000*$E12</f>
        <v>0</v>
      </c>
      <c r="K12" s="380">
        <f>_xlfn.XLOOKUP($W12,'Facteur émissions'!$B$7:$B$17,'Facteur émissions'!H$7:H$17)/1000*$E12</f>
        <v>0</v>
      </c>
      <c r="L12" s="358">
        <f>_xlfn.XLOOKUP($W12,'Facteur émissions'!$B$7:$B$17,'Facteur émissions'!I$7:I$17)/1000*$E12</f>
        <v>0</v>
      </c>
      <c r="M12" s="358">
        <f>_xlfn.XLOOKUP($W12,'Facteur émissions'!$B$7:$B$17,'Facteur émissions'!J$7:J$17)/1000*$E12</f>
        <v>0</v>
      </c>
      <c r="N12" s="432">
        <f>_xlfn.XLOOKUP($W12,'Facteur émissions'!$B$7:$B$17,'Facteur émissions'!K$7:K$17)/1000*$E12</f>
        <v>0</v>
      </c>
      <c r="O12" s="380">
        <f>_xlfn.XLOOKUP($W12,'Facteur émissions'!$B$7:$B$17,'Facteur émissions'!L$7:L$17)/1000*$E12</f>
        <v>30.259851999999999</v>
      </c>
      <c r="P12" s="358">
        <f>_xlfn.XLOOKUP($W12,'Facteur émissions'!$B$7:$B$17,'Facteur émissions'!M$7:M$17)/1000*$E12</f>
        <v>0</v>
      </c>
      <c r="Q12" s="358">
        <f>_xlfn.XLOOKUP($W12,'Facteur émissions'!$B$7:$B$17,'Facteur émissions'!N$7:N$17)/1000*$E12</f>
        <v>0</v>
      </c>
      <c r="R12" s="432">
        <f>_xlfn.XLOOKUP($W12,'Facteur émissions'!$B$7:$B$17,'Facteur émissions'!O$7:O$17)/1000*$E12</f>
        <v>30.259851999999999</v>
      </c>
      <c r="S12" s="231">
        <f t="shared" ref="S12:S16" si="3">G12+O12+K12</f>
        <v>30.259851999999999</v>
      </c>
      <c r="T12" s="115">
        <f t="shared" ref="T12:T16" si="4">H12+P12+L12</f>
        <v>0</v>
      </c>
      <c r="U12" s="115">
        <f t="shared" ref="U12:U16" si="5">I12+Q12+M12</f>
        <v>0</v>
      </c>
      <c r="V12" s="359">
        <f t="shared" ref="V12:V16" si="6">J12+R12+N12</f>
        <v>30.259851999999999</v>
      </c>
      <c r="W12" s="151" t="s">
        <v>132</v>
      </c>
    </row>
    <row r="13" spans="1:23" x14ac:dyDescent="0.35">
      <c r="B13" s="15">
        <v>2023</v>
      </c>
      <c r="C13" s="16"/>
      <c r="D13" s="17" t="str">
        <f>'Chaleur du bâtiment - Calcul'!B101</f>
        <v>Chauffage urbain, bois</v>
      </c>
      <c r="E13" s="82">
        <f>'Chaleur du bâtiment - Calcul'!D101</f>
        <v>1128051</v>
      </c>
      <c r="F13" s="28" t="s">
        <v>138</v>
      </c>
      <c r="G13" s="231">
        <f>_xlfn.XLOOKUP($W13,'Facteur émissions'!$B$7:$B$17,'Facteur émissions'!D$7:D$17)/1000*$E13</f>
        <v>0</v>
      </c>
      <c r="H13" s="115">
        <f>_xlfn.XLOOKUP($W13,'Facteur émissions'!$B$7:$B$17,'Facteur émissions'!E$7:E$17)/1000*$E13</f>
        <v>0</v>
      </c>
      <c r="I13" s="115">
        <f>_xlfn.XLOOKUP($W13,'Facteur émissions'!$B$7:$B$17,'Facteur émissions'!F$7:F$17)/1000*$E13</f>
        <v>0</v>
      </c>
      <c r="J13" s="432">
        <f>_xlfn.XLOOKUP($W13,'Facteur émissions'!$B$7:$B$17,'Facteur émissions'!G$7:G$17)/1000*$E13</f>
        <v>0</v>
      </c>
      <c r="K13" s="380">
        <f>_xlfn.XLOOKUP($W13,'Facteur émissions'!$B$7:$B$17,'Facteur émissions'!H$7:H$17)/1000*$E13</f>
        <v>0</v>
      </c>
      <c r="L13" s="358">
        <f>_xlfn.XLOOKUP($W13,'Facteur émissions'!$B$7:$B$17,'Facteur émissions'!I$7:I$17)/1000*$E13</f>
        <v>0</v>
      </c>
      <c r="M13" s="358">
        <f>_xlfn.XLOOKUP($W13,'Facteur émissions'!$B$7:$B$17,'Facteur émissions'!J$7:J$17)/1000*$E13</f>
        <v>0</v>
      </c>
      <c r="N13" s="432">
        <f>_xlfn.XLOOKUP($W13,'Facteur émissions'!$B$7:$B$17,'Facteur émissions'!K$7:K$17)/1000*$E13</f>
        <v>0</v>
      </c>
      <c r="O13" s="380">
        <f>_xlfn.XLOOKUP($W13,'Facteur émissions'!$B$7:$B$17,'Facteur émissions'!L$7:L$17)/1000*$E13</f>
        <v>12.408560999999999</v>
      </c>
      <c r="P13" s="358">
        <f>_xlfn.XLOOKUP($W13,'Facteur émissions'!$B$7:$B$17,'Facteur émissions'!M$7:M$17)/1000*$E13</f>
        <v>0</v>
      </c>
      <c r="Q13" s="358">
        <f>_xlfn.XLOOKUP($W13,'Facteur émissions'!$B$7:$B$17,'Facteur émissions'!N$7:N$17)/1000*$E13</f>
        <v>0</v>
      </c>
      <c r="R13" s="432">
        <f>_xlfn.XLOOKUP($W13,'Facteur émissions'!$B$7:$B$17,'Facteur émissions'!O$7:O$17)/1000*$E13</f>
        <v>12.408560999999999</v>
      </c>
      <c r="S13" s="231">
        <f t="shared" si="3"/>
        <v>12.408560999999999</v>
      </c>
      <c r="T13" s="115">
        <f t="shared" si="4"/>
        <v>0</v>
      </c>
      <c r="U13" s="115">
        <f t="shared" si="5"/>
        <v>0</v>
      </c>
      <c r="V13" s="359">
        <f t="shared" si="6"/>
        <v>12.408560999999999</v>
      </c>
      <c r="W13" s="151" t="s">
        <v>131</v>
      </c>
    </row>
    <row r="14" spans="1:23" x14ac:dyDescent="0.35">
      <c r="B14" s="15">
        <v>2023</v>
      </c>
      <c r="C14" s="16"/>
      <c r="D14" s="17" t="str">
        <f>'Chaleur du bâtiment - Calcul'!B102</f>
        <v>Chauffage urbain, SIL</v>
      </c>
      <c r="E14" s="82">
        <f>'Chaleur du bâtiment - Calcul'!D102</f>
        <v>17450660.341075663</v>
      </c>
      <c r="F14" s="28" t="s">
        <v>138</v>
      </c>
      <c r="G14" s="536">
        <f>_xlfn.XLOOKUP($W14,'Facteur émissions'!$B$7:$B$17,'Facteur émissions'!D$7:D$17)/1000*$E14</f>
        <v>0</v>
      </c>
      <c r="H14" s="107">
        <f>_xlfn.XLOOKUP($W14,'Facteur émissions'!$B$7:$B$17,'Facteur émissions'!E$7:E$17)/1000*$E14</f>
        <v>0</v>
      </c>
      <c r="I14" s="107">
        <f>_xlfn.XLOOKUP($W14,'Facteur émissions'!$B$7:$B$17,'Facteur émissions'!F$7:F$17)/1000*$E14</f>
        <v>0</v>
      </c>
      <c r="J14" s="432">
        <f>_xlfn.XLOOKUP($W14,'Facteur émissions'!$B$7:$B$17,'Facteur émissions'!G$7:G$17)/1000*$E14</f>
        <v>0</v>
      </c>
      <c r="K14" s="380">
        <f>_xlfn.XLOOKUP($W14,'Facteur émissions'!$B$7:$B$17,'Facteur émissions'!H$7:H$17)/1000*$E14</f>
        <v>1831.8641011953512</v>
      </c>
      <c r="L14" s="358">
        <f>_xlfn.XLOOKUP($W14,'Facteur émissions'!$B$7:$B$17,'Facteur émissions'!I$7:I$17)/1000*$E14</f>
        <v>0</v>
      </c>
      <c r="M14" s="358">
        <f>_xlfn.XLOOKUP($W14,'Facteur émissions'!$B$7:$B$17,'Facteur émissions'!J$7:J$17)/1000*$E14</f>
        <v>0</v>
      </c>
      <c r="N14" s="432">
        <f>_xlfn.XLOOKUP($W14,'Facteur émissions'!$B$7:$B$17,'Facteur émissions'!K$7:K$17)/1000*$E14</f>
        <v>1831.8641011953512</v>
      </c>
      <c r="O14" s="380">
        <f>_xlfn.XLOOKUP($W14,'Facteur émissions'!$B$7:$B$17,'Facteur émissions'!L$7:L$17)/1000*$E14</f>
        <v>262.21513973372839</v>
      </c>
      <c r="P14" s="358">
        <f>_xlfn.XLOOKUP($W14,'Facteur émissions'!$B$7:$B$17,'Facteur émissions'!M$7:M$17)/1000*$E14</f>
        <v>0</v>
      </c>
      <c r="Q14" s="358">
        <f>_xlfn.XLOOKUP($W14,'Facteur émissions'!$B$7:$B$17,'Facteur émissions'!N$7:N$17)/1000*$E14</f>
        <v>0</v>
      </c>
      <c r="R14" s="432">
        <f>_xlfn.XLOOKUP($W14,'Facteur émissions'!$B$7:$B$17,'Facteur émissions'!O$7:O$17)/1000*$E14</f>
        <v>262.21513973372839</v>
      </c>
      <c r="S14" s="231">
        <f t="shared" si="3"/>
        <v>2094.0792409290798</v>
      </c>
      <c r="T14" s="115">
        <f t="shared" si="4"/>
        <v>0</v>
      </c>
      <c r="U14" s="115">
        <f t="shared" si="5"/>
        <v>0</v>
      </c>
      <c r="V14" s="359">
        <f t="shared" si="6"/>
        <v>2094.0792409290798</v>
      </c>
      <c r="W14" s="151" t="str">
        <f>'Facteur émissions'!B17</f>
        <v xml:space="preserve">CAD SIL </v>
      </c>
    </row>
    <row r="15" spans="1:23" x14ac:dyDescent="0.35">
      <c r="B15" s="15">
        <v>2023</v>
      </c>
      <c r="C15" s="16"/>
      <c r="D15" s="17" t="str">
        <f>'Chaleur du bâtiment - Calcul'!B103</f>
        <v>Solaire thermique</v>
      </c>
      <c r="E15" s="82">
        <f>'Chaleur du bâtiment - Calcul'!D103</f>
        <v>337899.39595604507</v>
      </c>
      <c r="F15" s="28" t="s">
        <v>138</v>
      </c>
      <c r="G15" s="231">
        <f>_xlfn.XLOOKUP($W15,'Facteur émissions'!$B$7:$B$17,'Facteur émissions'!D$7:D$17)/1000*$E15</f>
        <v>0</v>
      </c>
      <c r="H15" s="115">
        <f>_xlfn.XLOOKUP($W15,'Facteur émissions'!$B$7:$B$17,'Facteur émissions'!E$7:E$17)/1000*$E15</f>
        <v>0</v>
      </c>
      <c r="I15" s="115">
        <f>_xlfn.XLOOKUP($W15,'Facteur émissions'!$B$7:$B$17,'Facteur émissions'!F$7:F$17)/1000*$E15</f>
        <v>0</v>
      </c>
      <c r="J15" s="432">
        <f>_xlfn.XLOOKUP($W15,'Facteur émissions'!$B$7:$B$17,'Facteur émissions'!G$7:G$17)/1000*$E15</f>
        <v>0</v>
      </c>
      <c r="K15" s="380">
        <f>_xlfn.XLOOKUP($W15,'Facteur émissions'!$B$7:$B$17,'Facteur émissions'!H$7:H$17)/1000*$E15</f>
        <v>0</v>
      </c>
      <c r="L15" s="358">
        <f>_xlfn.XLOOKUP($W15,'Facteur émissions'!$B$7:$B$17,'Facteur émissions'!I$7:I$17)/1000*$E15</f>
        <v>0</v>
      </c>
      <c r="M15" s="358">
        <f>_xlfn.XLOOKUP($W15,'Facteur émissions'!$B$7:$B$17,'Facteur émissions'!J$7:J$17)/1000*$E15</f>
        <v>0</v>
      </c>
      <c r="N15" s="432">
        <f>_xlfn.XLOOKUP($W15,'Facteur émissions'!$B$7:$B$17,'Facteur émissions'!K$7:K$17)/1000*$E15</f>
        <v>0</v>
      </c>
      <c r="O15" s="380">
        <f>_xlfn.XLOOKUP($W15,'Facteur émissions'!$B$7:$B$17,'Facteur émissions'!L$7:L$17)/1000*$E15</f>
        <v>5.0684909393406761</v>
      </c>
      <c r="P15" s="358">
        <f>_xlfn.XLOOKUP($W15,'Facteur émissions'!$B$7:$B$17,'Facteur émissions'!M$7:M$17)/1000*$E15</f>
        <v>0</v>
      </c>
      <c r="Q15" s="358">
        <f>_xlfn.XLOOKUP($W15,'Facteur émissions'!$B$7:$B$17,'Facteur émissions'!N$7:N$17)/1000*$E15</f>
        <v>0</v>
      </c>
      <c r="R15" s="432">
        <f>_xlfn.XLOOKUP($W15,'Facteur émissions'!$B$7:$B$17,'Facteur émissions'!O$7:O$17)/1000*$E15</f>
        <v>5.0684909393406761</v>
      </c>
      <c r="S15" s="231">
        <f t="shared" si="3"/>
        <v>5.0684909393406761</v>
      </c>
      <c r="T15" s="115">
        <f t="shared" si="4"/>
        <v>0</v>
      </c>
      <c r="U15" s="115">
        <f t="shared" si="5"/>
        <v>0</v>
      </c>
      <c r="V15" s="359">
        <f t="shared" si="6"/>
        <v>5.0684909393406761</v>
      </c>
      <c r="W15" s="151" t="s">
        <v>133</v>
      </c>
    </row>
    <row r="16" spans="1:23" x14ac:dyDescent="0.35">
      <c r="B16" s="15">
        <v>2023</v>
      </c>
      <c r="C16" s="16"/>
      <c r="D16" s="17" t="str">
        <f>'Chaleur du bâtiment - Calcul'!B104</f>
        <v>Electricité (directe et PAC)</v>
      </c>
      <c r="E16" s="82">
        <f>'Chaleur du bâtiment - Calcul'!D104</f>
        <v>1362131.7684398694</v>
      </c>
      <c r="F16" s="28" t="s">
        <v>138</v>
      </c>
      <c r="G16" s="537">
        <f>_xlfn.XLOOKUP($W16,'Facteur émissions'!$B$7:$B$17,'Facteur émissions'!D$7:D$17)/1000*$E16</f>
        <v>0</v>
      </c>
      <c r="H16" s="114">
        <f>_xlfn.XLOOKUP($W16,'Facteur émissions'!$B$7:$B$17,'Facteur émissions'!E$7:E$17)/1000*$E16</f>
        <v>0</v>
      </c>
      <c r="I16" s="114">
        <f>_xlfn.XLOOKUP($W16,'Facteur émissions'!$B$7:$B$17,'Facteur émissions'!F$7:F$17)/1000*$E16</f>
        <v>0</v>
      </c>
      <c r="J16" s="538">
        <f>_xlfn.XLOOKUP($W16,'Facteur émissions'!$B$7:$B$17,'Facteur émissions'!G$7:G$17)/1000*$E16</f>
        <v>0</v>
      </c>
      <c r="K16" s="531">
        <f>_xlfn.XLOOKUP($W16,'Facteur émissions'!$B$7:$B$17,'Facteur émissions'!H$7:H$17)/1000*$E16</f>
        <v>112.92072360366517</v>
      </c>
      <c r="L16" s="259">
        <f>_xlfn.XLOOKUP($W16,'Facteur émissions'!$B$7:$B$17,'Facteur émissions'!I$7:I$17)/1000*$E16</f>
        <v>0</v>
      </c>
      <c r="M16" s="259">
        <f>_xlfn.XLOOKUP($W16,'Facteur émissions'!$B$7:$B$17,'Facteur émissions'!J$7:J$17)/1000*$E16</f>
        <v>0</v>
      </c>
      <c r="N16" s="538">
        <f>_xlfn.XLOOKUP($W16,'Facteur émissions'!$B$7:$B$17,'Facteur émissions'!K$7:K$17)/1000*$E16</f>
        <v>112.92072360366517</v>
      </c>
      <c r="O16" s="531">
        <f>_xlfn.XLOOKUP($W16,'Facteur émissions'!$B$7:$B$17,'Facteur émissions'!L$7:L$17)/1000*$E16</f>
        <v>57.345747451318502</v>
      </c>
      <c r="P16" s="259">
        <f>_xlfn.XLOOKUP($W16,'Facteur émissions'!$B$7:$B$17,'Facteur émissions'!M$7:M$17)/1000*$E16</f>
        <v>0</v>
      </c>
      <c r="Q16" s="259">
        <f>_xlfn.XLOOKUP($W16,'Facteur émissions'!$B$7:$B$17,'Facteur émissions'!N$7:N$17)/1000*$E16</f>
        <v>0</v>
      </c>
      <c r="R16" s="538">
        <f>_xlfn.XLOOKUP($W16,'Facteur émissions'!$B$7:$B$17,'Facteur émissions'!O$7:O$17)/1000*$E16</f>
        <v>57.345747451318502</v>
      </c>
      <c r="S16" s="231">
        <f t="shared" si="3"/>
        <v>170.26647105498367</v>
      </c>
      <c r="T16" s="114">
        <f t="shared" si="4"/>
        <v>0</v>
      </c>
      <c r="U16" s="114">
        <f t="shared" si="5"/>
        <v>0</v>
      </c>
      <c r="V16" s="538">
        <f t="shared" si="6"/>
        <v>170.26647105498367</v>
      </c>
      <c r="W16" s="151" t="s">
        <v>137</v>
      </c>
    </row>
    <row r="17" spans="1:23" x14ac:dyDescent="0.35">
      <c r="B17" s="21" t="s">
        <v>23</v>
      </c>
      <c r="C17" s="22"/>
      <c r="D17" s="23"/>
      <c r="E17" s="24"/>
      <c r="F17" s="24"/>
      <c r="G17" s="61">
        <f>SUM(G11:G16)</f>
        <v>0</v>
      </c>
      <c r="H17" s="62">
        <f t="shared" ref="H17:V17" si="7">SUM(H11:H16)</f>
        <v>0</v>
      </c>
      <c r="I17" s="62">
        <f t="shared" si="7"/>
        <v>0</v>
      </c>
      <c r="J17" s="156">
        <f t="shared" si="7"/>
        <v>0</v>
      </c>
      <c r="K17" s="293">
        <f>SUM(K11:K16)</f>
        <v>1944.7848247990164</v>
      </c>
      <c r="L17" s="281">
        <f t="shared" ref="L17:N17" si="8">SUM(L11:L16)</f>
        <v>0</v>
      </c>
      <c r="M17" s="282">
        <f t="shared" si="8"/>
        <v>0</v>
      </c>
      <c r="N17" s="63">
        <f t="shared" si="8"/>
        <v>1944.7848247990164</v>
      </c>
      <c r="O17" s="152">
        <f t="shared" si="7"/>
        <v>416.06002989014848</v>
      </c>
      <c r="P17" s="153">
        <f t="shared" si="7"/>
        <v>0</v>
      </c>
      <c r="Q17" s="62">
        <f t="shared" si="7"/>
        <v>0</v>
      </c>
      <c r="R17" s="156">
        <f t="shared" si="7"/>
        <v>416.06002989014848</v>
      </c>
      <c r="S17" s="61">
        <f>SUM(S11:S16)</f>
        <v>2360.8448546891655</v>
      </c>
      <c r="T17" s="62">
        <f t="shared" si="7"/>
        <v>0</v>
      </c>
      <c r="U17" s="62">
        <f t="shared" si="7"/>
        <v>0</v>
      </c>
      <c r="V17" s="156">
        <f t="shared" si="7"/>
        <v>2360.8448546891655</v>
      </c>
      <c r="W17" s="151"/>
    </row>
    <row r="18" spans="1:23" x14ac:dyDescent="0.35">
      <c r="B18" s="146" t="s">
        <v>24</v>
      </c>
      <c r="C18" s="98"/>
      <c r="D18" s="147"/>
      <c r="E18" s="148"/>
      <c r="F18" s="148"/>
      <c r="G18" s="214">
        <f>G17+G10</f>
        <v>7761.3389520663914</v>
      </c>
      <c r="H18" s="215">
        <f t="shared" ref="H18:V18" si="9">H17+H10</f>
        <v>0</v>
      </c>
      <c r="I18" s="215">
        <f t="shared" si="9"/>
        <v>0</v>
      </c>
      <c r="J18" s="218">
        <f t="shared" si="9"/>
        <v>7761.3389520663914</v>
      </c>
      <c r="K18" s="294">
        <f>K17+K10</f>
        <v>1944.7848247990164</v>
      </c>
      <c r="L18" s="295">
        <f t="shared" ref="L18:N18" si="10">L17+L10</f>
        <v>0</v>
      </c>
      <c r="M18" s="295">
        <f t="shared" si="10"/>
        <v>0</v>
      </c>
      <c r="N18" s="292">
        <f t="shared" si="10"/>
        <v>1944.7848247990164</v>
      </c>
      <c r="O18" s="214">
        <f t="shared" si="9"/>
        <v>1734.3595027218162</v>
      </c>
      <c r="P18" s="215">
        <f t="shared" si="9"/>
        <v>0</v>
      </c>
      <c r="Q18" s="215">
        <f t="shared" si="9"/>
        <v>0</v>
      </c>
      <c r="R18" s="218">
        <f t="shared" si="9"/>
        <v>1734.3595027218162</v>
      </c>
      <c r="S18" s="214">
        <f t="shared" si="9"/>
        <v>11440.483279587224</v>
      </c>
      <c r="T18" s="215">
        <f t="shared" si="9"/>
        <v>0</v>
      </c>
      <c r="U18" s="215">
        <f t="shared" si="9"/>
        <v>0</v>
      </c>
      <c r="V18" s="218">
        <f t="shared" si="9"/>
        <v>11440.483279587224</v>
      </c>
      <c r="W18" s="151"/>
    </row>
    <row r="20" spans="1:23" s="109" customFormat="1" x14ac:dyDescent="0.35">
      <c r="A20" s="120">
        <v>2019</v>
      </c>
      <c r="J20" s="121"/>
      <c r="K20" s="121"/>
      <c r="L20" s="121"/>
      <c r="M20" s="121"/>
      <c r="N20" s="121"/>
      <c r="R20" s="121"/>
      <c r="V20" s="121"/>
      <c r="W20" s="150"/>
    </row>
    <row r="21" spans="1:23" x14ac:dyDescent="0.35">
      <c r="T21" s="20"/>
    </row>
    <row r="22" spans="1:23" x14ac:dyDescent="0.35">
      <c r="E22" s="20"/>
      <c r="F22" s="19"/>
      <c r="G22" s="574" t="s">
        <v>276</v>
      </c>
      <c r="H22" s="575"/>
      <c r="I22" s="575"/>
      <c r="J22" s="576"/>
      <c r="K22" s="574" t="s">
        <v>277</v>
      </c>
      <c r="L22" s="575"/>
      <c r="M22" s="575"/>
      <c r="N22" s="576"/>
      <c r="O22" s="574" t="s">
        <v>159</v>
      </c>
      <c r="P22" s="575"/>
      <c r="Q22" s="575"/>
      <c r="R22" s="576"/>
      <c r="S22" s="574" t="s">
        <v>15</v>
      </c>
      <c r="T22" s="575"/>
      <c r="U22" s="575"/>
      <c r="V22" s="576"/>
    </row>
    <row r="23" spans="1:23" ht="15" thickBot="1" x14ac:dyDescent="0.4">
      <c r="B23" s="9" t="s">
        <v>16</v>
      </c>
      <c r="C23" s="10" t="s">
        <v>246</v>
      </c>
      <c r="D23" s="11" t="s">
        <v>17</v>
      </c>
      <c r="E23" s="13" t="s">
        <v>26</v>
      </c>
      <c r="F23" s="13" t="s">
        <v>27</v>
      </c>
      <c r="G23" s="12" t="s">
        <v>55</v>
      </c>
      <c r="H23" s="13" t="s">
        <v>18</v>
      </c>
      <c r="I23" s="13" t="s">
        <v>59</v>
      </c>
      <c r="J23" s="285" t="s">
        <v>19</v>
      </c>
      <c r="K23" s="9" t="s">
        <v>55</v>
      </c>
      <c r="L23" s="171" t="s">
        <v>18</v>
      </c>
      <c r="M23" s="171" t="s">
        <v>59</v>
      </c>
      <c r="N23" s="284" t="s">
        <v>19</v>
      </c>
      <c r="O23" s="12" t="s">
        <v>55</v>
      </c>
      <c r="P23" s="13" t="s">
        <v>18</v>
      </c>
      <c r="Q23" s="13" t="s">
        <v>59</v>
      </c>
      <c r="R23" s="220" t="s">
        <v>19</v>
      </c>
      <c r="S23" s="12" t="s">
        <v>55</v>
      </c>
      <c r="T23" s="13" t="s">
        <v>18</v>
      </c>
      <c r="U23" s="13" t="s">
        <v>59</v>
      </c>
      <c r="V23" s="219" t="s">
        <v>19</v>
      </c>
      <c r="W23" s="151"/>
    </row>
    <row r="24" spans="1:23" ht="15" thickTop="1" x14ac:dyDescent="0.35">
      <c r="B24" s="15">
        <v>2019</v>
      </c>
      <c r="C24" s="16" t="str">
        <f>C8</f>
        <v xml:space="preserve">Chaudières à énergie fossile
</v>
      </c>
      <c r="D24" s="16" t="str">
        <f>D8</f>
        <v>Mazout</v>
      </c>
      <c r="E24" s="115">
        <f>'Chaleur du bâtiment - Calcul'!C97</f>
        <v>10220256.253670791</v>
      </c>
      <c r="F24" s="28" t="s">
        <v>138</v>
      </c>
      <c r="G24" s="157">
        <f>_xlfn.XLOOKUP($W24,'Facteur émissions'!$B$7:$B$17,'Facteur émissions'!D$7:D$17)/1000*$E24</f>
        <v>2709.3899328481266</v>
      </c>
      <c r="H24" s="158">
        <f>_xlfn.XLOOKUP($W24,'Facteur émissions'!$B$7:$B$17,'Facteur émissions'!E$7:E$17)/1000*$E24</f>
        <v>0</v>
      </c>
      <c r="I24" s="158">
        <f>_xlfn.XLOOKUP($W24,'Facteur émissions'!$B$7:$B$17,'Facteur émissions'!F$7:F$17)/1000*$E24</f>
        <v>0</v>
      </c>
      <c r="J24" s="58">
        <f>_xlfn.XLOOKUP($W24,'Facteur émissions'!$B$7:$B$17,'Facteur émissions'!G$7:G$17)/1000*$E24</f>
        <v>2709.3899328481266</v>
      </c>
      <c r="K24" s="290">
        <f>_xlfn.XLOOKUP($W24,'Facteur émissions'!$B$7:$B$17,'Facteur émissions'!H$7:H$17)/1000*$E24</f>
        <v>0</v>
      </c>
      <c r="L24" s="58">
        <f>_xlfn.XLOOKUP($W24,'Facteur émissions'!$B$7:$B$17,'Facteur émissions'!I$7:I$17)/1000*$E24</f>
        <v>0</v>
      </c>
      <c r="M24" s="58">
        <f>_xlfn.XLOOKUP($W24,'Facteur émissions'!$B$7:$B$17,'Facteur émissions'!J$7:J$17)/1000*$E24</f>
        <v>0</v>
      </c>
      <c r="N24" s="58">
        <f>_xlfn.XLOOKUP($W24,'Facteur émissions'!$B$7:$B$17,'Facteur émissions'!K$7:K$17)/1000*$E24</f>
        <v>0</v>
      </c>
      <c r="O24" s="55">
        <f>_xlfn.XLOOKUP($W24,'Facteur émissions'!$B$7:$B$17,'Facteur émissions'!L$7:L$17)/1000*$E24</f>
        <v>601.97309334120973</v>
      </c>
      <c r="P24" s="158">
        <f>_xlfn.XLOOKUP($W24,'Facteur émissions'!$B$7:$B$17,'Facteur émissions'!M$7:M$17)/1000*$E24</f>
        <v>0</v>
      </c>
      <c r="Q24" s="158">
        <f>_xlfn.XLOOKUP($W24,'Facteur émissions'!$B$7:$B$17,'Facteur émissions'!N$7:N$17)/1000*$E24</f>
        <v>0</v>
      </c>
      <c r="R24" s="217">
        <f>_xlfn.XLOOKUP($W24,'Facteur émissions'!$B$7:$B$17,'Facteur émissions'!O$7:O$17)/1000*$E24</f>
        <v>601.97309334120973</v>
      </c>
      <c r="S24" s="55">
        <f>G24+O24</f>
        <v>3311.3630261893363</v>
      </c>
      <c r="T24" s="56">
        <f>H24+P24</f>
        <v>0</v>
      </c>
      <c r="U24" s="56">
        <f>I24+Q24</f>
        <v>0</v>
      </c>
      <c r="V24" s="58">
        <f>J24+R24</f>
        <v>3311.3630261893363</v>
      </c>
      <c r="W24" s="221" t="s">
        <v>126</v>
      </c>
    </row>
    <row r="25" spans="1:23" x14ac:dyDescent="0.35">
      <c r="B25" s="15">
        <v>2019</v>
      </c>
      <c r="C25" s="16"/>
      <c r="D25" s="16" t="str">
        <f>D9</f>
        <v>Gaz fossile</v>
      </c>
      <c r="E25" s="115">
        <f>'Chaleur du bâtiment - Calcul'!C98</f>
        <v>28887464.762926888</v>
      </c>
      <c r="F25" s="28" t="s">
        <v>138</v>
      </c>
      <c r="G25" s="48">
        <f>_xlfn.XLOOKUP($W25,'Facteur émissions'!$B$7:$B$17,'Facteur émissions'!D$7:D$17)/1000*$E25</f>
        <v>5812.1579103008889</v>
      </c>
      <c r="H25" s="52">
        <f>_xlfn.XLOOKUP($W25,'Facteur émissions'!$B$7:$B$17,'Facteur émissions'!E$7:E$17)/1000*$E25</f>
        <v>0</v>
      </c>
      <c r="I25" s="52">
        <f>_xlfn.XLOOKUP($W25,'Facteur émissions'!$B$7:$B$17,'Facteur émissions'!F$7:F$17)/1000*$E25</f>
        <v>0</v>
      </c>
      <c r="J25" s="54">
        <f>_xlfn.XLOOKUP($W25,'Facteur émissions'!$B$7:$B$17,'Facteur émissions'!G$7:G$17)/1000*$E25</f>
        <v>5812.1579103008889</v>
      </c>
      <c r="K25" s="53">
        <f>_xlfn.XLOOKUP($W25,'Facteur émissions'!$B$7:$B$17,'Facteur émissions'!H$7:H$17)/1000*$E25</f>
        <v>0</v>
      </c>
      <c r="L25" s="54">
        <f>_xlfn.XLOOKUP($W25,'Facteur émissions'!$B$7:$B$17,'Facteur émissions'!I$7:I$17)/1000*$E25</f>
        <v>0</v>
      </c>
      <c r="M25" s="54">
        <f>_xlfn.XLOOKUP($W25,'Facteur émissions'!$B$7:$B$17,'Facteur émissions'!J$7:J$17)/1000*$E25</f>
        <v>0</v>
      </c>
      <c r="N25" s="54">
        <f>_xlfn.XLOOKUP($W25,'Facteur émissions'!$B$7:$B$17,'Facteur émissions'!K$7:K$17)/1000*$E25</f>
        <v>0</v>
      </c>
      <c r="O25" s="48">
        <f>_xlfn.XLOOKUP($W25,'Facteur émissions'!$B$7:$B$17,'Facteur émissions'!L$7:L$17)/1000*$E25</f>
        <v>831.95898517229489</v>
      </c>
      <c r="P25" s="52">
        <f>_xlfn.XLOOKUP($W25,'Facteur émissions'!$B$7:$B$17,'Facteur émissions'!M$7:M$17)/1000*$E25</f>
        <v>0</v>
      </c>
      <c r="Q25" s="52">
        <f>_xlfn.XLOOKUP($W25,'Facteur émissions'!$B$7:$B$17,'Facteur émissions'!N$7:N$17)/1000*$E25</f>
        <v>0</v>
      </c>
      <c r="R25" s="49">
        <f>_xlfn.XLOOKUP($W25,'Facteur émissions'!$B$7:$B$17,'Facteur émissions'!O$7:O$17)/1000*$E25</f>
        <v>831.95898517229489</v>
      </c>
      <c r="S25" s="48">
        <f t="shared" ref="S25" si="11">G25+O25</f>
        <v>6644.1168954731838</v>
      </c>
      <c r="T25" s="52">
        <f>H25+P25</f>
        <v>0</v>
      </c>
      <c r="U25" s="52">
        <f>I25+Q25</f>
        <v>0</v>
      </c>
      <c r="V25" s="49">
        <f>J25+R25</f>
        <v>6644.1168954731838</v>
      </c>
      <c r="W25" s="221" t="s">
        <v>128</v>
      </c>
    </row>
    <row r="26" spans="1:23" x14ac:dyDescent="0.35">
      <c r="B26" s="21" t="s">
        <v>23</v>
      </c>
      <c r="C26" s="212"/>
      <c r="D26" s="22"/>
      <c r="E26" s="61"/>
      <c r="F26" s="23"/>
      <c r="G26" s="172">
        <f>SUM(G24:G25)</f>
        <v>8521.5478431490155</v>
      </c>
      <c r="H26" s="173">
        <f t="shared" ref="H26:V26" si="12">SUM(H24:H25)</f>
        <v>0</v>
      </c>
      <c r="I26" s="173">
        <f t="shared" si="12"/>
        <v>0</v>
      </c>
      <c r="J26" s="173">
        <f t="shared" si="12"/>
        <v>8521.5478431490155</v>
      </c>
      <c r="K26" s="172">
        <f t="shared" si="12"/>
        <v>0</v>
      </c>
      <c r="L26" s="173">
        <f t="shared" si="12"/>
        <v>0</v>
      </c>
      <c r="M26" s="173">
        <f t="shared" si="12"/>
        <v>0</v>
      </c>
      <c r="N26" s="173">
        <f t="shared" si="12"/>
        <v>0</v>
      </c>
      <c r="O26" s="172">
        <f t="shared" si="12"/>
        <v>1433.9320785135046</v>
      </c>
      <c r="P26" s="173">
        <f t="shared" si="12"/>
        <v>0</v>
      </c>
      <c r="Q26" s="173">
        <f t="shared" si="12"/>
        <v>0</v>
      </c>
      <c r="R26" s="174">
        <f t="shared" si="12"/>
        <v>1433.9320785135046</v>
      </c>
      <c r="S26" s="172">
        <f t="shared" si="12"/>
        <v>9955.4799216625197</v>
      </c>
      <c r="T26" s="173">
        <f t="shared" si="12"/>
        <v>0</v>
      </c>
      <c r="U26" s="173">
        <f t="shared" si="12"/>
        <v>0</v>
      </c>
      <c r="V26" s="174">
        <f t="shared" si="12"/>
        <v>9955.4799216625197</v>
      </c>
      <c r="W26" s="221"/>
    </row>
    <row r="27" spans="1:23" x14ac:dyDescent="0.35">
      <c r="B27" s="15">
        <v>2019</v>
      </c>
      <c r="C27" s="16" t="str">
        <f>C11</f>
        <v>Autres types de chauffages</v>
      </c>
      <c r="D27" s="16" t="str">
        <f>D11</f>
        <v xml:space="preserve">Bois en plaquettes </v>
      </c>
      <c r="E27" s="115">
        <f>'Chaleur du bâtiment - Calcul'!C99</f>
        <v>4471600.7073098971</v>
      </c>
      <c r="F27" s="28" t="s">
        <v>138</v>
      </c>
      <c r="G27" s="48">
        <f>_xlfn.XLOOKUP($W27,'Facteur émissions'!$B$7:$B$17,'Facteur émissions'!D$7:D$17)/1000*$E27</f>
        <v>0</v>
      </c>
      <c r="H27" s="52">
        <f>_xlfn.XLOOKUP($W27,'Facteur émissions'!$B$7:$B$17,'Facteur émissions'!E$7:E$17)/1000*$E27</f>
        <v>0</v>
      </c>
      <c r="I27" s="52">
        <f>_xlfn.XLOOKUP($W27,'Facteur émissions'!$B$7:$B$17,'Facteur émissions'!F$7:F$17)/1000*$E27</f>
        <v>0</v>
      </c>
      <c r="J27" s="58">
        <f>_xlfn.XLOOKUP($W27,'Facteur émissions'!$B$7:$B$17,'Facteur émissions'!G$7:G$17)/1000*$E27</f>
        <v>0</v>
      </c>
      <c r="K27" s="48">
        <f>_xlfn.XLOOKUP($W27,'Facteur émissions'!$B$7:$B$17,'Facteur émissions'!H$7:H$17)/1000*$E27</f>
        <v>0</v>
      </c>
      <c r="L27" s="52">
        <f>_xlfn.XLOOKUP($W27,'Facteur émissions'!$B$7:$B$17,'Facteur émissions'!I$7:I$17)/1000*$E27</f>
        <v>0</v>
      </c>
      <c r="M27" s="52">
        <f>_xlfn.XLOOKUP($W27,'Facteur émissions'!$B$7:$B$17,'Facteur émissions'!J$7:J$17)/1000*$E27</f>
        <v>0</v>
      </c>
      <c r="N27" s="58">
        <f>_xlfn.XLOOKUP($W27,'Facteur émissions'!$B$7:$B$17,'Facteur émissions'!K$7:K$17)/1000*$E27</f>
        <v>0</v>
      </c>
      <c r="O27" s="48">
        <f>_xlfn.XLOOKUP($W27,'Facteur émissions'!$B$7:$B$17,'Facteur émissions'!L$7:L$17)/1000*$E27</f>
        <v>49.187607780408868</v>
      </c>
      <c r="P27" s="52">
        <f>_xlfn.XLOOKUP($W27,'Facteur émissions'!$B$7:$B$17,'Facteur émissions'!M$7:M$17)/1000*$E27</f>
        <v>0</v>
      </c>
      <c r="Q27" s="52">
        <f>_xlfn.XLOOKUP($W27,'Facteur émissions'!$B$7:$B$17,'Facteur émissions'!N$7:N$17)/1000*$E27</f>
        <v>0</v>
      </c>
      <c r="R27" s="49">
        <f>_xlfn.XLOOKUP($W27,'Facteur émissions'!$B$7:$B$17,'Facteur émissions'!O$7:O$17)/1000*$E27</f>
        <v>49.187607780408868</v>
      </c>
      <c r="S27" s="157">
        <f>G27+O27+K27</f>
        <v>49.187607780408868</v>
      </c>
      <c r="T27" s="158">
        <f t="shared" ref="T27:T32" si="13">H27+P27+L27</f>
        <v>0</v>
      </c>
      <c r="U27" s="158">
        <f t="shared" ref="U27:U32" si="14">I27+Q27+M27</f>
        <v>0</v>
      </c>
      <c r="V27" s="52">
        <f t="shared" ref="V27:V32" si="15">J27+R27+N27</f>
        <v>49.187607780408868</v>
      </c>
      <c r="W27" s="221" t="s">
        <v>131</v>
      </c>
    </row>
    <row r="28" spans="1:23" x14ac:dyDescent="0.35">
      <c r="B28" s="15">
        <v>2019</v>
      </c>
      <c r="C28" s="16"/>
      <c r="D28" s="16" t="str">
        <f>D12</f>
        <v xml:space="preserve">Bois en pellets </v>
      </c>
      <c r="E28" s="115">
        <f>'Chaleur du bâtiment - Calcul'!C100</f>
        <v>2971597.0418173103</v>
      </c>
      <c r="F28" s="28" t="s">
        <v>138</v>
      </c>
      <c r="G28" s="48">
        <f>_xlfn.XLOOKUP($W28,'Facteur émissions'!$B$7:$B$17,'Facteur émissions'!D$7:D$17)/1000*$E28</f>
        <v>0</v>
      </c>
      <c r="H28" s="52">
        <f>_xlfn.XLOOKUP($W28,'Facteur émissions'!$B$7:$B$17,'Facteur émissions'!E$7:E$17)/1000*$E28</f>
        <v>0</v>
      </c>
      <c r="I28" s="52">
        <f>_xlfn.XLOOKUP($W28,'Facteur émissions'!$B$7:$B$17,'Facteur émissions'!F$7:F$17)/1000*$E28</f>
        <v>0</v>
      </c>
      <c r="J28" s="58">
        <f>_xlfn.XLOOKUP($W28,'Facteur émissions'!$B$7:$B$17,'Facteur émissions'!G$7:G$17)/1000*$E28</f>
        <v>0</v>
      </c>
      <c r="K28" s="291">
        <f>_xlfn.XLOOKUP($W28,'Facteur émissions'!$B$7:$B$17,'Facteur émissions'!H$7:H$17)/1000*$E28</f>
        <v>0</v>
      </c>
      <c r="L28" s="280">
        <f>_xlfn.XLOOKUP($W28,'Facteur émissions'!$B$7:$B$17,'Facteur émissions'!I$7:I$17)/1000*$E28</f>
        <v>0</v>
      </c>
      <c r="M28" s="280">
        <f>_xlfn.XLOOKUP($W28,'Facteur émissions'!$B$7:$B$17,'Facteur émissions'!J$7:J$17)/1000*$E28</f>
        <v>0</v>
      </c>
      <c r="N28" s="58">
        <f>_xlfn.XLOOKUP($W28,'Facteur émissions'!$B$7:$B$17,'Facteur émissions'!K$7:K$17)/1000*$E28</f>
        <v>0</v>
      </c>
      <c r="O28" s="48">
        <f>_xlfn.XLOOKUP($W28,'Facteur émissions'!$B$7:$B$17,'Facteur émissions'!L$7:L$17)/1000*$E28</f>
        <v>83.204717170884692</v>
      </c>
      <c r="P28" s="52">
        <f>_xlfn.XLOOKUP($W28,'Facteur émissions'!$B$7:$B$17,'Facteur émissions'!M$7:M$17)/1000*$E28</f>
        <v>0</v>
      </c>
      <c r="Q28" s="52">
        <f>_xlfn.XLOOKUP($W28,'Facteur émissions'!$B$7:$B$17,'Facteur émissions'!N$7:N$17)/1000*$E28</f>
        <v>0</v>
      </c>
      <c r="R28" s="49">
        <f>_xlfn.XLOOKUP($W28,'Facteur émissions'!$B$7:$B$17,'Facteur émissions'!O$7:O$17)/1000*$E28</f>
        <v>83.204717170884692</v>
      </c>
      <c r="S28" s="48">
        <f t="shared" ref="S28:S32" si="16">G28+O28+K28</f>
        <v>83.204717170884692</v>
      </c>
      <c r="T28" s="52">
        <f t="shared" si="13"/>
        <v>0</v>
      </c>
      <c r="U28" s="52">
        <f t="shared" si="14"/>
        <v>0</v>
      </c>
      <c r="V28" s="52">
        <f t="shared" si="15"/>
        <v>83.204717170884692</v>
      </c>
      <c r="W28" s="221" t="s">
        <v>132</v>
      </c>
    </row>
    <row r="29" spans="1:23" x14ac:dyDescent="0.35">
      <c r="B29" s="15">
        <v>2019</v>
      </c>
      <c r="C29" s="16"/>
      <c r="D29" s="16" t="str">
        <f>D13</f>
        <v>Chauffage urbain, bois</v>
      </c>
      <c r="E29" s="115">
        <f>'Chaleur du bâtiment - Calcul'!C101</f>
        <v>709042.53071375994</v>
      </c>
      <c r="F29" s="28" t="s">
        <v>138</v>
      </c>
      <c r="G29" s="48">
        <f>_xlfn.XLOOKUP($W29,'Facteur émissions'!$B$7:$B$17,'Facteur émissions'!D$7:D$17)/1000*$E29</f>
        <v>0</v>
      </c>
      <c r="H29" s="52">
        <f>_xlfn.XLOOKUP($W29,'Facteur émissions'!$B$7:$B$17,'Facteur émissions'!E$7:E$17)/1000*$E29</f>
        <v>0</v>
      </c>
      <c r="I29" s="52">
        <f>_xlfn.XLOOKUP($W29,'Facteur émissions'!$B$7:$B$17,'Facteur émissions'!F$7:F$17)/1000*$E29</f>
        <v>0</v>
      </c>
      <c r="J29" s="58">
        <f>_xlfn.XLOOKUP($W29,'Facteur émissions'!$B$7:$B$17,'Facteur émissions'!G$7:G$17)/1000*$E29</f>
        <v>0</v>
      </c>
      <c r="K29" s="291">
        <f>_xlfn.XLOOKUP($W29,'Facteur émissions'!$B$7:$B$17,'Facteur émissions'!H$7:H$17)/1000*$E29</f>
        <v>0</v>
      </c>
      <c r="L29" s="280">
        <f>_xlfn.XLOOKUP($W29,'Facteur émissions'!$B$7:$B$17,'Facteur émissions'!I$7:I$17)/1000*$E29</f>
        <v>0</v>
      </c>
      <c r="M29" s="280">
        <f>_xlfn.XLOOKUP($W29,'Facteur émissions'!$B$7:$B$17,'Facteur émissions'!J$7:J$17)/1000*$E29</f>
        <v>0</v>
      </c>
      <c r="N29" s="58">
        <f>_xlfn.XLOOKUP($W29,'Facteur émissions'!$B$7:$B$17,'Facteur émissions'!K$7:K$17)/1000*$E29</f>
        <v>0</v>
      </c>
      <c r="O29" s="48">
        <f>_xlfn.XLOOKUP($W29,'Facteur émissions'!$B$7:$B$17,'Facteur émissions'!L$7:L$17)/1000*$E29</f>
        <v>7.7994678378513589</v>
      </c>
      <c r="P29" s="52">
        <f>_xlfn.XLOOKUP($W29,'Facteur émissions'!$B$7:$B$17,'Facteur émissions'!M$7:M$17)/1000*$E29</f>
        <v>0</v>
      </c>
      <c r="Q29" s="52">
        <f>_xlfn.XLOOKUP($W29,'Facteur émissions'!$B$7:$B$17,'Facteur émissions'!N$7:N$17)/1000*$E29</f>
        <v>0</v>
      </c>
      <c r="R29" s="49">
        <f>_xlfn.XLOOKUP($W29,'Facteur émissions'!$B$7:$B$17,'Facteur émissions'!O$7:O$17)/1000*$E29</f>
        <v>7.7994678378513589</v>
      </c>
      <c r="S29" s="48">
        <f t="shared" si="16"/>
        <v>7.7994678378513589</v>
      </c>
      <c r="T29" s="52">
        <f t="shared" si="13"/>
        <v>0</v>
      </c>
      <c r="U29" s="52">
        <f t="shared" si="14"/>
        <v>0</v>
      </c>
      <c r="V29" s="52">
        <f t="shared" si="15"/>
        <v>7.7994678378513589</v>
      </c>
      <c r="W29" s="221" t="s">
        <v>131</v>
      </c>
    </row>
    <row r="30" spans="1:23" x14ac:dyDescent="0.35">
      <c r="B30" s="15">
        <v>2019</v>
      </c>
      <c r="C30" s="16"/>
      <c r="D30" s="16" t="str">
        <f>D14</f>
        <v>Chauffage urbain, SIL</v>
      </c>
      <c r="E30" s="115">
        <f>'Chaleur du bâtiment - Calcul'!C102</f>
        <v>17454333.252861034</v>
      </c>
      <c r="F30" s="28" t="s">
        <v>138</v>
      </c>
      <c r="G30" s="60">
        <f>_xlfn.XLOOKUP($W30,'Facteur émissions'!$B$7:$B$17,'Facteur émissions'!D$7:D$17)/1000*$E30</f>
        <v>0</v>
      </c>
      <c r="H30" s="206">
        <f>_xlfn.XLOOKUP($W30,'Facteur émissions'!$B$7:$B$17,'Facteur émissions'!E$7:E$17)/1000*$E30</f>
        <v>0</v>
      </c>
      <c r="I30" s="206">
        <f>_xlfn.XLOOKUP($W30,'Facteur émissions'!$B$7:$B$17,'Facteur émissions'!F$7:F$17)/1000*$E30</f>
        <v>0</v>
      </c>
      <c r="J30" s="58">
        <f>_xlfn.XLOOKUP($W30,'Facteur émissions'!$B$7:$B$17,'Facteur émissions'!G$7:G$17)/1000*$E30</f>
        <v>0</v>
      </c>
      <c r="K30" s="291">
        <f>_xlfn.XLOOKUP($W30,'Facteur émissions'!$B$7:$B$17,'Facteur émissions'!H$7:H$17)/1000*$E30</f>
        <v>1832.2496611177251</v>
      </c>
      <c r="L30" s="280">
        <f>_xlfn.XLOOKUP($W30,'Facteur émissions'!$B$7:$B$17,'Facteur émissions'!I$7:I$17)/1000*$E30</f>
        <v>0</v>
      </c>
      <c r="M30" s="280">
        <f>_xlfn.XLOOKUP($W30,'Facteur émissions'!$B$7:$B$17,'Facteur émissions'!J$7:J$17)/1000*$E30</f>
        <v>0</v>
      </c>
      <c r="N30" s="58">
        <f>_xlfn.XLOOKUP($W30,'Facteur émissions'!$B$7:$B$17,'Facteur émissions'!K$7:K$17)/1000*$E30</f>
        <v>1832.2496611177251</v>
      </c>
      <c r="O30" s="48">
        <f>_xlfn.XLOOKUP($W30,'Facteur émissions'!$B$7:$B$17,'Facteur émissions'!L$7:L$17)/1000*$E30</f>
        <v>262.27032922559903</v>
      </c>
      <c r="P30" s="52">
        <f>_xlfn.XLOOKUP($W30,'Facteur émissions'!$B$7:$B$17,'Facteur émissions'!M$7:M$17)/1000*$E30</f>
        <v>0</v>
      </c>
      <c r="Q30" s="52">
        <f>_xlfn.XLOOKUP($W30,'Facteur émissions'!$B$7:$B$17,'Facteur émissions'!N$7:N$17)/1000*$E30</f>
        <v>0</v>
      </c>
      <c r="R30" s="49">
        <f>_xlfn.XLOOKUP($W30,'Facteur émissions'!$B$7:$B$17,'Facteur émissions'!O$7:O$17)/1000*$E30</f>
        <v>262.27032922559903</v>
      </c>
      <c r="S30" s="48">
        <f t="shared" si="16"/>
        <v>2094.519990343324</v>
      </c>
      <c r="T30" s="52">
        <f t="shared" si="13"/>
        <v>0</v>
      </c>
      <c r="U30" s="52">
        <f t="shared" si="14"/>
        <v>0</v>
      </c>
      <c r="V30" s="52">
        <f t="shared" si="15"/>
        <v>2094.519990343324</v>
      </c>
      <c r="W30" s="221" t="s">
        <v>160</v>
      </c>
    </row>
    <row r="31" spans="1:23" x14ac:dyDescent="0.35">
      <c r="B31" s="15">
        <v>2019</v>
      </c>
      <c r="C31" s="16"/>
      <c r="D31" s="16" t="str">
        <f>D15</f>
        <v>Solaire thermique</v>
      </c>
      <c r="E31" s="115">
        <f>'Chaleur du bâtiment - Calcul'!C103</f>
        <v>198251.74902179046</v>
      </c>
      <c r="F31" s="28" t="s">
        <v>138</v>
      </c>
      <c r="G31" s="48">
        <f>_xlfn.XLOOKUP($W31,'Facteur émissions'!$B$7:$B$17,'Facteur émissions'!D$7:D$17)/1000*$E31</f>
        <v>0</v>
      </c>
      <c r="H31" s="52">
        <f>_xlfn.XLOOKUP($W31,'Facteur émissions'!$B$7:$B$17,'Facteur émissions'!E$7:E$17)/1000*$E31</f>
        <v>0</v>
      </c>
      <c r="I31" s="52">
        <f>_xlfn.XLOOKUP($W31,'Facteur émissions'!$B$7:$B$17,'Facteur émissions'!F$7:F$17)/1000*$E31</f>
        <v>0</v>
      </c>
      <c r="J31" s="58">
        <f>_xlfn.XLOOKUP($W31,'Facteur émissions'!$B$7:$B$17,'Facteur émissions'!G$7:G$17)/1000*$E31</f>
        <v>0</v>
      </c>
      <c r="K31" s="291">
        <f>_xlfn.XLOOKUP($W31,'Facteur émissions'!$B$7:$B$17,'Facteur émissions'!H$7:H$17)/1000*$E31</f>
        <v>0</v>
      </c>
      <c r="L31" s="280">
        <f>_xlfn.XLOOKUP($W31,'Facteur émissions'!$B$7:$B$17,'Facteur émissions'!I$7:I$17)/1000*$E31</f>
        <v>0</v>
      </c>
      <c r="M31" s="280">
        <f>_xlfn.XLOOKUP($W31,'Facteur émissions'!$B$7:$B$17,'Facteur émissions'!J$7:J$17)/1000*$E31</f>
        <v>0</v>
      </c>
      <c r="N31" s="58">
        <f>_xlfn.XLOOKUP($W31,'Facteur émissions'!$B$7:$B$17,'Facteur émissions'!K$7:K$17)/1000*$E31</f>
        <v>0</v>
      </c>
      <c r="O31" s="48">
        <f>_xlfn.XLOOKUP($W31,'Facteur émissions'!$B$7:$B$17,'Facteur émissions'!L$7:L$17)/1000*$E31</f>
        <v>2.9737762353268566</v>
      </c>
      <c r="P31" s="52">
        <f>_xlfn.XLOOKUP($W31,'Facteur émissions'!$B$7:$B$17,'Facteur émissions'!M$7:M$17)/1000*$E31</f>
        <v>0</v>
      </c>
      <c r="Q31" s="52">
        <f>_xlfn.XLOOKUP($W31,'Facteur émissions'!$B$7:$B$17,'Facteur émissions'!N$7:N$17)/1000*$E31</f>
        <v>0</v>
      </c>
      <c r="R31" s="49">
        <f>_xlfn.XLOOKUP($W31,'Facteur émissions'!$B$7:$B$17,'Facteur émissions'!O$7:O$17)/1000*$E31</f>
        <v>2.9737762353268566</v>
      </c>
      <c r="S31" s="48">
        <f t="shared" si="16"/>
        <v>2.9737762353268566</v>
      </c>
      <c r="T31" s="52">
        <f t="shared" si="13"/>
        <v>0</v>
      </c>
      <c r="U31" s="52">
        <f t="shared" si="14"/>
        <v>0</v>
      </c>
      <c r="V31" s="52">
        <f t="shared" si="15"/>
        <v>2.9737762353268566</v>
      </c>
      <c r="W31" s="221" t="s">
        <v>133</v>
      </c>
    </row>
    <row r="32" spans="1:23" x14ac:dyDescent="0.35">
      <c r="B32" s="15">
        <v>2019</v>
      </c>
      <c r="C32" s="16"/>
      <c r="D32" s="16" t="str">
        <f>D16</f>
        <v>Electricité (directe et PAC)</v>
      </c>
      <c r="E32" s="115">
        <f>'Chaleur du bâtiment - Calcul'!C104</f>
        <v>1291455.7928567072</v>
      </c>
      <c r="F32" s="28" t="s">
        <v>138</v>
      </c>
      <c r="G32" s="53">
        <f>_xlfn.XLOOKUP($W32,'Facteur émissions'!$B$7:$B$17,'Facteur émissions'!D$7:D$17)/1000*$E32</f>
        <v>0</v>
      </c>
      <c r="H32" s="54">
        <f>_xlfn.XLOOKUP($W32,'Facteur émissions'!$B$7:$B$17,'Facteur émissions'!E$7:E$17)/1000*$E32</f>
        <v>0</v>
      </c>
      <c r="I32" s="54">
        <f>_xlfn.XLOOKUP($W32,'Facteur émissions'!$B$7:$B$17,'Facteur émissions'!F$7:F$17)/1000*$E32</f>
        <v>0</v>
      </c>
      <c r="J32" s="59">
        <f>_xlfn.XLOOKUP($W32,'Facteur émissions'!$B$7:$B$17,'Facteur émissions'!G$7:G$17)/1000*$E32</f>
        <v>0</v>
      </c>
      <c r="K32" s="287">
        <f>_xlfn.XLOOKUP($W32,'Facteur émissions'!$B$7:$B$17,'Facteur émissions'!H$7:H$17)/1000*$E32</f>
        <v>107.06168522782103</v>
      </c>
      <c r="L32" s="288">
        <f>_xlfn.XLOOKUP($W32,'Facteur émissions'!$B$7:$B$17,'Facteur émissions'!I$7:I$17)/1000*$E32</f>
        <v>0</v>
      </c>
      <c r="M32" s="288">
        <f>_xlfn.XLOOKUP($W32,'Facteur émissions'!$B$7:$B$17,'Facteur émissions'!J$7:J$17)/1000*$E32</f>
        <v>0</v>
      </c>
      <c r="N32" s="59">
        <f>_xlfn.XLOOKUP($W32,'Facteur émissions'!$B$7:$B$17,'Facteur émissions'!K$7:K$17)/1000*$E32</f>
        <v>107.06168522782103</v>
      </c>
      <c r="O32" s="53">
        <f>_xlfn.XLOOKUP($W32,'Facteur émissions'!$B$7:$B$17,'Facteur émissions'!L$7:L$17)/1000*$E32</f>
        <v>54.370288879267378</v>
      </c>
      <c r="P32" s="54">
        <f>_xlfn.XLOOKUP($W32,'Facteur émissions'!$B$7:$B$17,'Facteur émissions'!M$7:M$17)/1000*$E32</f>
        <v>0</v>
      </c>
      <c r="Q32" s="54">
        <f>_xlfn.XLOOKUP($W32,'Facteur émissions'!$B$7:$B$17,'Facteur émissions'!N$7:N$17)/1000*$E32</f>
        <v>0</v>
      </c>
      <c r="R32" s="160">
        <f>_xlfn.XLOOKUP($W32,'Facteur émissions'!$B$7:$B$17,'Facteur émissions'!O$7:O$17)/1000*$E32</f>
        <v>54.370288879267378</v>
      </c>
      <c r="S32" s="48">
        <f t="shared" si="16"/>
        <v>161.43197410708842</v>
      </c>
      <c r="T32" s="54">
        <f t="shared" si="13"/>
        <v>0</v>
      </c>
      <c r="U32" s="54">
        <f t="shared" si="14"/>
        <v>0</v>
      </c>
      <c r="V32" s="52">
        <f t="shared" si="15"/>
        <v>161.43197410708842</v>
      </c>
      <c r="W32" s="221" t="s">
        <v>137</v>
      </c>
    </row>
    <row r="33" spans="2:23" x14ac:dyDescent="0.35">
      <c r="B33" s="21" t="s">
        <v>23</v>
      </c>
      <c r="C33" s="22"/>
      <c r="D33" s="23"/>
      <c r="E33" s="24"/>
      <c r="F33" s="24"/>
      <c r="G33" s="172">
        <f>SUM(G27:G32)</f>
        <v>0</v>
      </c>
      <c r="H33" s="173">
        <f t="shared" ref="H33:V33" si="17">SUM(H27:H32)</f>
        <v>0</v>
      </c>
      <c r="I33" s="173">
        <f t="shared" si="17"/>
        <v>0</v>
      </c>
      <c r="J33" s="81">
        <f t="shared" si="17"/>
        <v>0</v>
      </c>
      <c r="K33" s="286">
        <f t="shared" si="17"/>
        <v>1939.3113463455461</v>
      </c>
      <c r="L33" s="81">
        <f t="shared" si="17"/>
        <v>0</v>
      </c>
      <c r="M33" s="81">
        <f t="shared" si="17"/>
        <v>0</v>
      </c>
      <c r="N33" s="81">
        <f t="shared" si="17"/>
        <v>1939.3113463455461</v>
      </c>
      <c r="O33" s="172">
        <f t="shared" si="17"/>
        <v>459.80618712933818</v>
      </c>
      <c r="P33" s="173">
        <f t="shared" si="17"/>
        <v>0</v>
      </c>
      <c r="Q33" s="173">
        <f t="shared" si="17"/>
        <v>0</v>
      </c>
      <c r="R33" s="81">
        <f t="shared" si="17"/>
        <v>459.80618712933818</v>
      </c>
      <c r="S33" s="172">
        <f t="shared" si="17"/>
        <v>2399.1175334748846</v>
      </c>
      <c r="T33" s="173">
        <f t="shared" si="17"/>
        <v>0</v>
      </c>
      <c r="U33" s="173">
        <f t="shared" si="17"/>
        <v>0</v>
      </c>
      <c r="V33" s="174">
        <f t="shared" si="17"/>
        <v>2399.1175334748846</v>
      </c>
      <c r="W33" s="221"/>
    </row>
    <row r="34" spans="2:23" x14ac:dyDescent="0.35">
      <c r="B34" s="146" t="s">
        <v>24</v>
      </c>
      <c r="C34" s="98"/>
      <c r="D34" s="147"/>
      <c r="E34" s="148"/>
      <c r="F34" s="148"/>
      <c r="G34" s="214">
        <f>G33+G26</f>
        <v>8521.5478431490155</v>
      </c>
      <c r="H34" s="215">
        <f t="shared" ref="H34:V34" si="18">H33+H26</f>
        <v>0</v>
      </c>
      <c r="I34" s="215">
        <f t="shared" si="18"/>
        <v>0</v>
      </c>
      <c r="J34" s="527">
        <f t="shared" si="18"/>
        <v>8521.5478431490155</v>
      </c>
      <c r="K34" s="528">
        <f>K33+K26</f>
        <v>1939.3113463455461</v>
      </c>
      <c r="L34" s="218">
        <f t="shared" ref="L34:N34" si="19">L33+L26</f>
        <v>0</v>
      </c>
      <c r="M34" s="527">
        <f t="shared" si="19"/>
        <v>0</v>
      </c>
      <c r="N34" s="292">
        <f t="shared" si="19"/>
        <v>1939.3113463455461</v>
      </c>
      <c r="O34" s="214">
        <f t="shared" si="18"/>
        <v>1893.7382656428429</v>
      </c>
      <c r="P34" s="215">
        <f t="shared" si="18"/>
        <v>0</v>
      </c>
      <c r="Q34" s="215">
        <f t="shared" si="18"/>
        <v>0</v>
      </c>
      <c r="R34" s="218">
        <f t="shared" si="18"/>
        <v>1893.7382656428429</v>
      </c>
      <c r="S34" s="214">
        <f t="shared" si="18"/>
        <v>12354.597455137404</v>
      </c>
      <c r="T34" s="215">
        <f t="shared" si="18"/>
        <v>0</v>
      </c>
      <c r="U34" s="215">
        <f t="shared" si="18"/>
        <v>0</v>
      </c>
      <c r="V34" s="292">
        <f t="shared" si="18"/>
        <v>12354.597455137404</v>
      </c>
      <c r="W34" s="221"/>
    </row>
    <row r="36" spans="2:23" x14ac:dyDescent="0.35">
      <c r="D36" s="525" t="s">
        <v>622</v>
      </c>
      <c r="E36" s="525"/>
      <c r="F36" s="525"/>
    </row>
    <row r="37" spans="2:23" x14ac:dyDescent="0.35">
      <c r="D37" t="s">
        <v>620</v>
      </c>
      <c r="E37" t="s">
        <v>619</v>
      </c>
      <c r="F37" s="473">
        <f xml:space="preserve"> -1 +V18/V34</f>
        <v>-7.3989798443013122E-2</v>
      </c>
    </row>
    <row r="38" spans="2:23" x14ac:dyDescent="0.35">
      <c r="D38" t="s">
        <v>621</v>
      </c>
      <c r="E38" t="s">
        <v>619</v>
      </c>
      <c r="F38" s="473">
        <f>-1+(V18+'Electricité - Emissions '!V12)/(V34+'Electricité - Emissions '!V22)</f>
        <v>-7.4724714657237734E-2</v>
      </c>
    </row>
    <row r="39" spans="2:23" x14ac:dyDescent="0.35">
      <c r="D39" t="s">
        <v>623</v>
      </c>
      <c r="E39" t="s">
        <v>558</v>
      </c>
      <c r="F39" s="473">
        <f>-1+J18/J34</f>
        <v>-8.921018869756181E-2</v>
      </c>
    </row>
    <row r="40" spans="2:23" x14ac:dyDescent="0.35">
      <c r="D40" t="s">
        <v>621</v>
      </c>
      <c r="E40" t="s">
        <v>617</v>
      </c>
      <c r="F40" s="473">
        <f>-1+(J18+N18+'Electricité - Emissions '!N12) / ('Chaleur du bâtiment - Emission'!J34+'Chaleur du bâtiment - Emission'!N34+'Electricité - Emissions '!N22)</f>
        <v>-7.4408061357438271E-2</v>
      </c>
    </row>
    <row r="41" spans="2:23" x14ac:dyDescent="0.35">
      <c r="F41" s="4"/>
    </row>
  </sheetData>
  <sheetProtection sheet="1" objects="1" scenarios="1"/>
  <mergeCells count="8">
    <mergeCell ref="G6:J6"/>
    <mergeCell ref="O6:R6"/>
    <mergeCell ref="S6:V6"/>
    <mergeCell ref="G22:J22"/>
    <mergeCell ref="O22:R22"/>
    <mergeCell ref="S22:V22"/>
    <mergeCell ref="K6:N6"/>
    <mergeCell ref="K22:N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theme="7"/>
  </sheetPr>
  <dimension ref="A2:Q106"/>
  <sheetViews>
    <sheetView topLeftCell="B2" zoomScale="93" workbookViewId="0">
      <selection activeCell="G17" sqref="G17"/>
    </sheetView>
  </sheetViews>
  <sheetFormatPr baseColWidth="10" defaultColWidth="8.7265625" defaultRowHeight="14.5" x14ac:dyDescent="0.35"/>
  <cols>
    <col min="1" max="1" width="4" customWidth="1"/>
    <col min="2" max="2" width="37.1796875" customWidth="1"/>
    <col min="3" max="3" width="16.54296875" customWidth="1"/>
    <col min="4" max="4" width="16.453125" customWidth="1"/>
    <col min="5" max="5" width="15.453125" customWidth="1"/>
    <col min="6" max="7" width="12.7265625" customWidth="1"/>
    <col min="9" max="9" width="46.1796875" customWidth="1"/>
    <col min="10" max="10" width="16.54296875" customWidth="1"/>
    <col min="11" max="11" width="15.453125" customWidth="1"/>
    <col min="12" max="12" width="19.26953125" customWidth="1"/>
    <col min="15" max="15" width="19" customWidth="1"/>
    <col min="16" max="16" width="10.54296875" customWidth="1"/>
    <col min="17" max="17" width="12.1796875" customWidth="1"/>
  </cols>
  <sheetData>
    <row r="2" spans="1:13" s="97" customFormat="1" ht="36" x14ac:dyDescent="0.8">
      <c r="B2" s="96" t="s">
        <v>96</v>
      </c>
    </row>
    <row r="4" spans="1:13" s="109" customFormat="1" x14ac:dyDescent="0.35">
      <c r="A4" s="119"/>
      <c r="B4" s="120" t="s">
        <v>116</v>
      </c>
      <c r="C4" s="117"/>
      <c r="D4" s="117"/>
      <c r="E4" s="117"/>
      <c r="F4" s="117"/>
      <c r="G4" s="117"/>
      <c r="I4" s="117"/>
      <c r="J4" s="117"/>
      <c r="K4" s="117"/>
      <c r="L4" s="117"/>
      <c r="M4" s="117"/>
    </row>
    <row r="6" spans="1:13" x14ac:dyDescent="0.35">
      <c r="B6" s="1" t="s">
        <v>275</v>
      </c>
      <c r="I6" s="1" t="s">
        <v>250</v>
      </c>
    </row>
    <row r="7" spans="1:13" x14ac:dyDescent="0.35">
      <c r="B7" s="122"/>
      <c r="C7" s="122" t="s">
        <v>97</v>
      </c>
      <c r="D7" s="122" t="s">
        <v>98</v>
      </c>
      <c r="E7" s="122" t="s">
        <v>0</v>
      </c>
      <c r="F7" s="122" t="s">
        <v>1</v>
      </c>
      <c r="I7" s="99"/>
      <c r="J7" s="99">
        <v>2019</v>
      </c>
      <c r="K7" s="99">
        <v>2023</v>
      </c>
    </row>
    <row r="8" spans="1:13" x14ac:dyDescent="0.35">
      <c r="B8" s="100" t="s">
        <v>2</v>
      </c>
      <c r="C8" s="107">
        <v>88190.080000000002</v>
      </c>
      <c r="D8" s="107"/>
      <c r="E8" s="107">
        <v>27400.684999999998</v>
      </c>
      <c r="F8" s="107">
        <v>115590.765</v>
      </c>
      <c r="I8" s="109" t="s">
        <v>550</v>
      </c>
      <c r="J8" s="82">
        <v>635736</v>
      </c>
      <c r="K8" s="82">
        <v>652878</v>
      </c>
    </row>
    <row r="9" spans="1:13" x14ac:dyDescent="0.35">
      <c r="B9" s="100" t="s">
        <v>3</v>
      </c>
      <c r="C9" s="107">
        <v>152888</v>
      </c>
      <c r="D9" s="107"/>
      <c r="E9" s="107">
        <v>1167</v>
      </c>
      <c r="F9" s="107">
        <v>154055</v>
      </c>
      <c r="I9" s="109" t="s">
        <v>551</v>
      </c>
      <c r="J9" s="82"/>
      <c r="K9" s="82">
        <f>F18-K8</f>
        <v>271523.79000000015</v>
      </c>
    </row>
    <row r="10" spans="1:13" x14ac:dyDescent="0.35">
      <c r="B10" s="100" t="s">
        <v>4</v>
      </c>
      <c r="C10" s="107">
        <v>39543</v>
      </c>
      <c r="D10" s="107"/>
      <c r="E10" s="107">
        <v>0</v>
      </c>
      <c r="F10" s="107">
        <v>39543</v>
      </c>
      <c r="I10" s="101" t="s">
        <v>549</v>
      </c>
      <c r="J10" s="108"/>
      <c r="K10" s="114">
        <f>0.1*(D18+E18)</f>
        <v>18197.163</v>
      </c>
    </row>
    <row r="11" spans="1:13" x14ac:dyDescent="0.35">
      <c r="B11" s="100" t="s">
        <v>5</v>
      </c>
      <c r="C11" s="107">
        <v>202002</v>
      </c>
      <c r="D11" s="107">
        <v>19945.080000000002</v>
      </c>
      <c r="E11" s="107">
        <v>18705.184999999998</v>
      </c>
      <c r="F11" s="107">
        <v>240653</v>
      </c>
      <c r="I11" s="109" t="s">
        <v>24</v>
      </c>
      <c r="J11" s="82"/>
      <c r="K11" s="82">
        <f>SUM(K8:K10)</f>
        <v>942598.95300000021</v>
      </c>
    </row>
    <row r="12" spans="1:13" x14ac:dyDescent="0.35">
      <c r="B12" s="100" t="s">
        <v>6</v>
      </c>
      <c r="C12" s="107">
        <v>61153.41</v>
      </c>
      <c r="D12" s="107"/>
      <c r="E12" s="107">
        <v>0</v>
      </c>
      <c r="F12" s="107">
        <v>61153.41</v>
      </c>
      <c r="G12" s="107"/>
    </row>
    <row r="13" spans="1:13" x14ac:dyDescent="0.35">
      <c r="B13" s="100" t="s">
        <v>7</v>
      </c>
      <c r="C13" s="107">
        <v>16374.564999999999</v>
      </c>
      <c r="D13" s="107">
        <v>0</v>
      </c>
      <c r="E13" s="107">
        <v>75360.74500000001</v>
      </c>
      <c r="F13" s="107">
        <v>91735.310000000012</v>
      </c>
      <c r="G13" s="107"/>
      <c r="I13" s="452" t="s">
        <v>556</v>
      </c>
      <c r="J13" s="453"/>
      <c r="K13" s="454">
        <f>K9-D18-E18</f>
        <v>89552.160000000149</v>
      </c>
    </row>
    <row r="14" spans="1:13" x14ac:dyDescent="0.35">
      <c r="B14" s="100" t="s">
        <v>8</v>
      </c>
      <c r="C14" s="107">
        <v>39232</v>
      </c>
      <c r="D14" s="107">
        <v>21131</v>
      </c>
      <c r="E14" s="107"/>
      <c r="F14" s="107">
        <v>60363</v>
      </c>
      <c r="G14" s="107"/>
    </row>
    <row r="15" spans="1:13" x14ac:dyDescent="0.35">
      <c r="B15" s="100" t="s">
        <v>9</v>
      </c>
      <c r="C15" s="107">
        <v>65491.914999999994</v>
      </c>
      <c r="D15" s="107"/>
      <c r="E15" s="107"/>
      <c r="F15" s="107">
        <v>65491.914999999994</v>
      </c>
      <c r="G15" s="107"/>
    </row>
    <row r="16" spans="1:13" x14ac:dyDescent="0.35">
      <c r="B16" s="100" t="s">
        <v>10</v>
      </c>
      <c r="C16" s="107">
        <v>77492.454999999987</v>
      </c>
      <c r="D16" s="107"/>
      <c r="E16" s="107">
        <v>15760.385</v>
      </c>
      <c r="F16" s="107">
        <v>93252.839999999982</v>
      </c>
      <c r="G16" s="107"/>
    </row>
    <row r="17" spans="1:17" x14ac:dyDescent="0.35">
      <c r="B17" s="101" t="s">
        <v>11</v>
      </c>
      <c r="C17" s="108">
        <v>62</v>
      </c>
      <c r="D17" s="108">
        <v>1966.3899999999999</v>
      </c>
      <c r="E17" s="108">
        <v>535.16</v>
      </c>
      <c r="F17" s="108">
        <v>2563.5499999999997</v>
      </c>
      <c r="G17" s="107"/>
    </row>
    <row r="18" spans="1:17" x14ac:dyDescent="0.35">
      <c r="B18" s="112" t="s">
        <v>24</v>
      </c>
      <c r="C18" s="113">
        <f>SUM(C8:C17)</f>
        <v>742429.42499999993</v>
      </c>
      <c r="D18" s="113">
        <f t="shared" ref="D18:F18" si="0">SUM(D8:D17)</f>
        <v>43042.47</v>
      </c>
      <c r="E18" s="113">
        <f t="shared" si="0"/>
        <v>138929.16</v>
      </c>
      <c r="F18" s="113">
        <f t="shared" si="0"/>
        <v>924401.79000000015</v>
      </c>
      <c r="G18" s="113"/>
      <c r="I18" s="82"/>
    </row>
    <row r="19" spans="1:17" x14ac:dyDescent="0.35">
      <c r="I19" s="82"/>
    </row>
    <row r="20" spans="1:17" x14ac:dyDescent="0.35">
      <c r="A20" s="28"/>
      <c r="B20" s="102" t="s">
        <v>99</v>
      </c>
      <c r="C20" s="103">
        <v>6641</v>
      </c>
      <c r="D20" s="103"/>
      <c r="E20" s="104"/>
      <c r="F20" s="104">
        <v>6640.8</v>
      </c>
      <c r="G20" s="104"/>
    </row>
    <row r="21" spans="1:17" x14ac:dyDescent="0.35">
      <c r="B21" s="105" t="s">
        <v>100</v>
      </c>
      <c r="C21" s="105">
        <v>86247.290000000037</v>
      </c>
      <c r="D21" s="106">
        <v>707.03</v>
      </c>
      <c r="E21" s="106">
        <v>0</v>
      </c>
      <c r="F21" s="106">
        <v>86954.320000000036</v>
      </c>
      <c r="G21" s="118"/>
    </row>
    <row r="22" spans="1:17" x14ac:dyDescent="0.35">
      <c r="B22" s="103" t="s">
        <v>12</v>
      </c>
      <c r="C22" s="526">
        <f>C18+C20+C21</f>
        <v>835317.71499999997</v>
      </c>
      <c r="D22" s="526">
        <f>D21+D18</f>
        <v>43749.5</v>
      </c>
      <c r="E22" s="526">
        <f>E18</f>
        <v>138929.16</v>
      </c>
      <c r="F22" s="104">
        <f>SUM(F18:F21)</f>
        <v>1017996.9100000003</v>
      </c>
      <c r="G22" s="104"/>
    </row>
    <row r="24" spans="1:17" s="109" customFormat="1" x14ac:dyDescent="0.35">
      <c r="B24" s="121" t="s">
        <v>261</v>
      </c>
    </row>
    <row r="27" spans="1:17" x14ac:dyDescent="0.35">
      <c r="B27" s="116" t="s">
        <v>115</v>
      </c>
      <c r="I27" s="1" t="s">
        <v>481</v>
      </c>
      <c r="J27" s="1"/>
      <c r="K27" s="1"/>
      <c r="O27" s="1" t="s">
        <v>486</v>
      </c>
    </row>
    <row r="28" spans="1:17" x14ac:dyDescent="0.35">
      <c r="B28" s="97"/>
      <c r="C28" s="97">
        <v>2023</v>
      </c>
      <c r="I28" s="97"/>
      <c r="J28" s="97">
        <v>2019</v>
      </c>
      <c r="K28" s="97">
        <v>2023</v>
      </c>
      <c r="O28" s="97"/>
      <c r="P28" s="97">
        <v>2019</v>
      </c>
      <c r="Q28" s="97">
        <v>2023</v>
      </c>
    </row>
    <row r="29" spans="1:17" x14ac:dyDescent="0.35">
      <c r="B29" s="100" t="s">
        <v>2</v>
      </c>
      <c r="C29" s="38">
        <v>54.51144413531901</v>
      </c>
      <c r="I29" s="109" t="s">
        <v>103</v>
      </c>
      <c r="J29" s="308">
        <f>P29/SUM(P29:P34)</f>
        <v>0.38405989587519279</v>
      </c>
      <c r="K29" s="308">
        <f>Q29/SUM(Q29:Q34)</f>
        <v>0.34968106052634101</v>
      </c>
      <c r="O29" s="109" t="s">
        <v>103</v>
      </c>
      <c r="P29" s="82">
        <v>3438451.385127767</v>
      </c>
      <c r="Q29" s="82">
        <v>2667312.178601664</v>
      </c>
    </row>
    <row r="30" spans="1:17" x14ac:dyDescent="0.35">
      <c r="B30" s="100" t="s">
        <v>3</v>
      </c>
      <c r="C30" s="38">
        <v>68.447771953979526</v>
      </c>
      <c r="I30" s="109" t="s">
        <v>104</v>
      </c>
      <c r="J30" s="308">
        <f>P30/SUM(P29:P34)</f>
        <v>0.38317476352578628</v>
      </c>
      <c r="K30" s="308">
        <f>Q30/SUM(Q29:Q34)</f>
        <v>0.37862799126340435</v>
      </c>
      <c r="O30" s="109" t="s">
        <v>482</v>
      </c>
      <c r="P30" s="82">
        <v>3430526.8801598563</v>
      </c>
      <c r="Q30" s="82">
        <v>2888114.8173602242</v>
      </c>
    </row>
    <row r="31" spans="1:17" x14ac:dyDescent="0.35">
      <c r="B31" s="100" t="s">
        <v>4</v>
      </c>
      <c r="I31" s="109" t="s">
        <v>105</v>
      </c>
      <c r="O31" s="109" t="s">
        <v>483</v>
      </c>
      <c r="P31" s="82">
        <v>709770.87315349607</v>
      </c>
      <c r="Q31" s="82">
        <v>709267.5419462428</v>
      </c>
    </row>
    <row r="32" spans="1:17" x14ac:dyDescent="0.35">
      <c r="B32" s="100" t="s">
        <v>5</v>
      </c>
      <c r="C32" s="38">
        <v>54.627005764587643</v>
      </c>
      <c r="I32" s="109" t="s">
        <v>106</v>
      </c>
      <c r="J32" s="308">
        <f>P32/SUM(P29:P35)</f>
        <v>5.8220922250201791E-2</v>
      </c>
      <c r="K32" s="308">
        <f>Q32/SUM(Q29:Q35)</f>
        <v>6.8861733943101092E-2</v>
      </c>
      <c r="O32" s="109" t="s">
        <v>484</v>
      </c>
      <c r="P32" s="82">
        <v>521246.32877492026</v>
      </c>
      <c r="Q32" s="82">
        <v>525266.48514961556</v>
      </c>
    </row>
    <row r="33" spans="2:17" x14ac:dyDescent="0.35">
      <c r="B33" s="100" t="s">
        <v>6</v>
      </c>
      <c r="C33" s="38"/>
      <c r="I33" s="109" t="s">
        <v>107</v>
      </c>
      <c r="O33" s="109" t="s">
        <v>485</v>
      </c>
      <c r="P33" s="82">
        <v>777746.55165965424</v>
      </c>
      <c r="Q33" s="82">
        <v>715276.5053964965</v>
      </c>
    </row>
    <row r="34" spans="2:17" x14ac:dyDescent="0.35">
      <c r="B34" s="100" t="s">
        <v>7</v>
      </c>
      <c r="C34" s="38">
        <v>54.51144413531901</v>
      </c>
      <c r="I34" s="109" t="s">
        <v>108</v>
      </c>
      <c r="O34" s="109" t="s">
        <v>111</v>
      </c>
      <c r="P34" s="82">
        <v>75161.999629673883</v>
      </c>
      <c r="Q34" s="82">
        <v>122605.32522166896</v>
      </c>
    </row>
    <row r="35" spans="2:17" x14ac:dyDescent="0.35">
      <c r="B35" s="100" t="s">
        <v>8</v>
      </c>
      <c r="C35" s="38">
        <v>79.166018784557068</v>
      </c>
      <c r="I35" s="109" t="s">
        <v>109</v>
      </c>
      <c r="J35" s="308">
        <f>P33/SUM(P29:P34)</f>
        <v>8.6870868943984741E-2</v>
      </c>
      <c r="K35" s="308">
        <f>Q33/SUM(Q29:Q34)</f>
        <v>9.3771793561766903E-2</v>
      </c>
    </row>
    <row r="36" spans="2:17" x14ac:dyDescent="0.35">
      <c r="B36" s="100" t="s">
        <v>9</v>
      </c>
      <c r="I36" s="109" t="s">
        <v>110</v>
      </c>
      <c r="J36" s="308">
        <f xml:space="preserve"> 1-SUM(J29:J35) - SUM(J37:J38)</f>
        <v>2.6097202061248721E-2</v>
      </c>
      <c r="K36" s="308">
        <f xml:space="preserve"> 1-SUM(K29:K35) - SUM(K37:K38)</f>
        <v>3.9802943906213278E-2</v>
      </c>
    </row>
    <row r="37" spans="2:17" x14ac:dyDescent="0.35">
      <c r="B37" s="100" t="s">
        <v>10</v>
      </c>
      <c r="C37" s="38">
        <v>107.78139879615489</v>
      </c>
      <c r="I37" s="109" t="s">
        <v>111</v>
      </c>
      <c r="J37" s="308">
        <f>P34/SUM(P29:P34)</f>
        <v>8.3952647626196388E-3</v>
      </c>
      <c r="K37" s="308">
        <f>Q34/SUM(Q29:Q34)</f>
        <v>1.6073394218207391E-2</v>
      </c>
    </row>
    <row r="38" spans="2:17" x14ac:dyDescent="0.35">
      <c r="B38" s="100" t="s">
        <v>11</v>
      </c>
      <c r="C38" s="38">
        <v>54.51144413531901</v>
      </c>
      <c r="I38" s="109" t="s">
        <v>113</v>
      </c>
      <c r="J38" s="308">
        <f>(313816203+88926976)/7573053414</f>
        <v>5.3181082580965933E-2</v>
      </c>
      <c r="K38" s="308">
        <f>(313816203+88926976)/7573053414</f>
        <v>5.3181082580965933E-2</v>
      </c>
    </row>
    <row r="39" spans="2:17" x14ac:dyDescent="0.35">
      <c r="I39" s="109" t="s">
        <v>114</v>
      </c>
    </row>
    <row r="40" spans="2:17" x14ac:dyDescent="0.35">
      <c r="J40" s="123">
        <f>SUM(J29:J39)</f>
        <v>1</v>
      </c>
      <c r="K40" s="123">
        <f>SUM(K29:K39)</f>
        <v>1</v>
      </c>
    </row>
    <row r="42" spans="2:17" s="109" customFormat="1" x14ac:dyDescent="0.35">
      <c r="B42" s="109" t="s">
        <v>117</v>
      </c>
    </row>
    <row r="45" spans="2:17" x14ac:dyDescent="0.35">
      <c r="B45" s="1" t="s">
        <v>119</v>
      </c>
    </row>
    <row r="46" spans="2:17" x14ac:dyDescent="0.35">
      <c r="B46" s="99"/>
      <c r="C46" s="99">
        <v>2019</v>
      </c>
      <c r="D46" s="99">
        <v>2023</v>
      </c>
    </row>
    <row r="47" spans="2:17" x14ac:dyDescent="0.35">
      <c r="B47" s="109" t="s">
        <v>103</v>
      </c>
      <c r="C47" s="82">
        <v>4080393.5718013514</v>
      </c>
      <c r="D47" s="82">
        <v>3889437</v>
      </c>
    </row>
    <row r="48" spans="2:17" x14ac:dyDescent="0.35">
      <c r="B48" s="109" t="s">
        <v>104</v>
      </c>
      <c r="C48" s="82">
        <v>22761752.454837695</v>
      </c>
      <c r="D48" s="82">
        <v>19034965</v>
      </c>
    </row>
    <row r="49" spans="2:12" x14ac:dyDescent="0.35">
      <c r="B49" s="109" t="s">
        <v>105</v>
      </c>
      <c r="C49" s="82">
        <v>124212.46543122</v>
      </c>
      <c r="D49" s="82">
        <v>120000</v>
      </c>
    </row>
    <row r="50" spans="2:12" x14ac:dyDescent="0.35">
      <c r="B50" s="109" t="s">
        <v>106</v>
      </c>
      <c r="C50" s="82">
        <v>3416625.9528001999</v>
      </c>
      <c r="D50" s="82">
        <v>3130274</v>
      </c>
    </row>
    <row r="51" spans="2:12" x14ac:dyDescent="0.35">
      <c r="B51" s="109" t="s">
        <v>107</v>
      </c>
      <c r="C51" s="82">
        <v>2971597.0418173103</v>
      </c>
      <c r="D51" s="82">
        <v>1080709</v>
      </c>
    </row>
    <row r="52" spans="2:12" x14ac:dyDescent="0.35">
      <c r="B52" s="109" t="s">
        <v>108</v>
      </c>
      <c r="C52" s="82">
        <v>709042.53071375994</v>
      </c>
      <c r="D52" s="82">
        <v>1128051</v>
      </c>
      <c r="J52" s="82"/>
    </row>
    <row r="53" spans="2:12" x14ac:dyDescent="0.35">
      <c r="B53" s="109" t="s">
        <v>148</v>
      </c>
      <c r="C53" s="82">
        <v>16065551.940104358</v>
      </c>
      <c r="D53" s="82">
        <v>15840189</v>
      </c>
    </row>
    <row r="54" spans="2:12" x14ac:dyDescent="0.35">
      <c r="B54" s="109" t="s">
        <v>552</v>
      </c>
      <c r="C54" s="82">
        <v>1163720</v>
      </c>
      <c r="D54" s="82">
        <v>924267</v>
      </c>
    </row>
    <row r="55" spans="2:12" x14ac:dyDescent="0.35">
      <c r="B55" s="109" t="s">
        <v>111</v>
      </c>
      <c r="C55" s="82">
        <v>64038.9</v>
      </c>
      <c r="D55" s="82">
        <v>61849</v>
      </c>
    </row>
    <row r="56" spans="2:12" x14ac:dyDescent="0.35">
      <c r="B56" s="109" t="s">
        <v>112</v>
      </c>
      <c r="C56" s="82">
        <v>0</v>
      </c>
      <c r="D56" s="82">
        <v>0</v>
      </c>
    </row>
    <row r="57" spans="2:12" x14ac:dyDescent="0.35">
      <c r="B57" s="100" t="s">
        <v>113</v>
      </c>
      <c r="C57" s="115">
        <v>0</v>
      </c>
      <c r="D57" s="115">
        <v>0</v>
      </c>
    </row>
    <row r="58" spans="2:12" x14ac:dyDescent="0.35">
      <c r="B58" s="101" t="s">
        <v>114</v>
      </c>
      <c r="C58" s="114">
        <v>-0.14249410480260849</v>
      </c>
      <c r="D58" s="114">
        <v>0</v>
      </c>
    </row>
    <row r="59" spans="2:12" x14ac:dyDescent="0.35">
      <c r="B59" s="109" t="s">
        <v>24</v>
      </c>
      <c r="C59" s="82">
        <f>SUM(C47:C58)</f>
        <v>51356934.71501179</v>
      </c>
      <c r="D59" s="82">
        <f>SUM(D47:D58)</f>
        <v>45209741</v>
      </c>
    </row>
    <row r="62" spans="2:12" x14ac:dyDescent="0.35">
      <c r="B62" s="1" t="s">
        <v>162</v>
      </c>
      <c r="I62" s="1" t="s">
        <v>555</v>
      </c>
    </row>
    <row r="63" spans="2:12" x14ac:dyDescent="0.35">
      <c r="B63" s="97"/>
      <c r="C63" s="99">
        <v>2019</v>
      </c>
      <c r="D63" s="97">
        <v>2023</v>
      </c>
      <c r="I63" s="97"/>
      <c r="J63" s="99">
        <v>2019</v>
      </c>
      <c r="K63" s="97">
        <v>2023</v>
      </c>
      <c r="L63" s="254" t="s">
        <v>269</v>
      </c>
    </row>
    <row r="64" spans="2:12" x14ac:dyDescent="0.35">
      <c r="B64" s="109" t="s">
        <v>103</v>
      </c>
      <c r="C64" s="82">
        <f>J$77*J29</f>
        <v>6139862.6818694398</v>
      </c>
      <c r="D64" s="82">
        <f>K$77*K29</f>
        <v>6005551.4041508902</v>
      </c>
      <c r="I64" s="100" t="s">
        <v>2</v>
      </c>
      <c r="J64" s="115">
        <f>K64*EPT_2019/EPT_2023</f>
        <v>1364968.0619235972</v>
      </c>
      <c r="K64" s="82">
        <f>(D8+E8)*C29</f>
        <v>1493650.9096469735</v>
      </c>
      <c r="L64" s="255" t="s">
        <v>270</v>
      </c>
    </row>
    <row r="65" spans="2:12" x14ac:dyDescent="0.35">
      <c r="B65" s="109" t="s">
        <v>104</v>
      </c>
      <c r="C65" s="82">
        <f t="shared" ref="C65:D65" si="1">J$77*J30</f>
        <v>6125712.308089193</v>
      </c>
      <c r="D65" s="82">
        <f t="shared" si="1"/>
        <v>6502696.6606659591</v>
      </c>
      <c r="I65" s="100" t="s">
        <v>3</v>
      </c>
      <c r="J65" s="115">
        <f>K65*Constante!C7/Constante!C8</f>
        <v>74401.356241457965</v>
      </c>
      <c r="K65" s="82">
        <f t="shared" ref="K65:K72" si="2">(D9+E9)*C30</f>
        <v>79878.549870294111</v>
      </c>
      <c r="L65" s="255" t="s">
        <v>271</v>
      </c>
    </row>
    <row r="66" spans="2:12" x14ac:dyDescent="0.35">
      <c r="B66" s="109" t="s">
        <v>105</v>
      </c>
      <c r="C66" s="82">
        <f t="shared" ref="C66:D66" si="3">J$77*J31</f>
        <v>0</v>
      </c>
      <c r="D66" s="82">
        <f t="shared" si="3"/>
        <v>0</v>
      </c>
      <c r="I66" s="100" t="s">
        <v>4</v>
      </c>
      <c r="J66" s="115">
        <f t="shared" ref="J66:J73" si="4">K66*EPT_2019/EPT_2023</f>
        <v>0</v>
      </c>
      <c r="K66" s="82">
        <f t="shared" si="2"/>
        <v>0</v>
      </c>
      <c r="L66" s="255"/>
    </row>
    <row r="67" spans="2:12" x14ac:dyDescent="0.35">
      <c r="B67" s="109" t="s">
        <v>106</v>
      </c>
      <c r="C67" s="82">
        <f t="shared" ref="C67:D67" si="5">J$77*J32</f>
        <v>930762.2890784773</v>
      </c>
      <c r="D67" s="82">
        <f t="shared" si="5"/>
        <v>1182656.7968873549</v>
      </c>
      <c r="I67" s="100" t="s">
        <v>5</v>
      </c>
      <c r="J67" s="115">
        <f>K67*Constante!C9/Constante!C10</f>
        <v>2075913.0335907154</v>
      </c>
      <c r="K67" s="82">
        <f t="shared" si="2"/>
        <v>2111348.2489578398</v>
      </c>
      <c r="L67" s="255" t="s">
        <v>272</v>
      </c>
    </row>
    <row r="68" spans="2:12" x14ac:dyDescent="0.35">
      <c r="B68" s="109" t="s">
        <v>107</v>
      </c>
      <c r="C68" s="82">
        <f t="shared" ref="C68:D68" si="6">J$77*J33</f>
        <v>0</v>
      </c>
      <c r="D68" s="82">
        <f t="shared" si="6"/>
        <v>0</v>
      </c>
      <c r="I68" s="100" t="s">
        <v>6</v>
      </c>
      <c r="J68" s="115">
        <f t="shared" si="4"/>
        <v>0</v>
      </c>
      <c r="K68" s="82">
        <f t="shared" si="2"/>
        <v>0</v>
      </c>
      <c r="L68" s="255"/>
    </row>
    <row r="69" spans="2:12" x14ac:dyDescent="0.35">
      <c r="B69" s="109" t="s">
        <v>108</v>
      </c>
      <c r="C69" s="82">
        <f t="shared" ref="C69:D69" si="7">J$77*J34</f>
        <v>0</v>
      </c>
      <c r="D69" s="82">
        <f t="shared" si="7"/>
        <v>0</v>
      </c>
      <c r="I69" s="100" t="s">
        <v>7</v>
      </c>
      <c r="J69" s="115">
        <f t="shared" si="4"/>
        <v>3754103.5944089885</v>
      </c>
      <c r="K69" s="82">
        <f t="shared" si="2"/>
        <v>4108023.041063522</v>
      </c>
      <c r="L69" s="255" t="s">
        <v>270</v>
      </c>
    </row>
    <row r="70" spans="2:12" x14ac:dyDescent="0.35">
      <c r="B70" s="109" t="s">
        <v>148</v>
      </c>
      <c r="C70" s="82">
        <f t="shared" ref="C70:D70" si="8">J$77*J35</f>
        <v>1388781.3127566767</v>
      </c>
      <c r="D70" s="82">
        <f t="shared" si="8"/>
        <v>1610471.3410756635</v>
      </c>
      <c r="I70" s="100" t="s">
        <v>8</v>
      </c>
      <c r="J70" s="115">
        <f>K70</f>
        <v>1672857.1429364753</v>
      </c>
      <c r="K70" s="82">
        <f t="shared" si="2"/>
        <v>1672857.1429364753</v>
      </c>
      <c r="L70" s="255" t="s">
        <v>273</v>
      </c>
    </row>
    <row r="71" spans="2:12" x14ac:dyDescent="0.35">
      <c r="B71" s="109" t="s">
        <v>112</v>
      </c>
      <c r="C71" s="82">
        <f t="shared" ref="C71:D71" si="9">J$77*J36</f>
        <v>417208.97901075805</v>
      </c>
      <c r="D71" s="82">
        <f t="shared" si="9"/>
        <v>683590.42753272539</v>
      </c>
      <c r="I71" s="100" t="s">
        <v>9</v>
      </c>
      <c r="J71" s="115">
        <f t="shared" si="4"/>
        <v>0</v>
      </c>
      <c r="K71" s="82">
        <f t="shared" si="2"/>
        <v>0</v>
      </c>
      <c r="L71" s="255"/>
    </row>
    <row r="72" spans="2:12" x14ac:dyDescent="0.35">
      <c r="B72" s="109" t="s">
        <v>111</v>
      </c>
      <c r="C72" s="82">
        <f t="shared" ref="C72:D72" si="10">J$77*J37</f>
        <v>134212.84902179046</v>
      </c>
      <c r="D72" s="82">
        <f t="shared" si="10"/>
        <v>276050.39595604507</v>
      </c>
      <c r="F72" s="28"/>
      <c r="G72" s="28"/>
      <c r="I72" s="100" t="s">
        <v>10</v>
      </c>
      <c r="J72" s="115">
        <f t="shared" si="4"/>
        <v>1552329.8903726174</v>
      </c>
      <c r="K72" s="82">
        <f t="shared" si="2"/>
        <v>1698676.3408659375</v>
      </c>
      <c r="L72" s="255" t="s">
        <v>270</v>
      </c>
    </row>
    <row r="73" spans="2:12" x14ac:dyDescent="0.35">
      <c r="B73" s="100" t="s">
        <v>113</v>
      </c>
      <c r="C73" s="82">
        <f t="shared" ref="C73:D73" si="11">J$77*J38</f>
        <v>850191.72224740614</v>
      </c>
      <c r="D73" s="82">
        <f t="shared" si="11"/>
        <v>913351.51148206322</v>
      </c>
      <c r="I73" s="101" t="s">
        <v>11</v>
      </c>
      <c r="J73" s="114">
        <f t="shared" si="4"/>
        <v>124614.98153440231</v>
      </c>
      <c r="K73" s="114">
        <f>(D17+E17)*C38</f>
        <v>136363.10307670725</v>
      </c>
      <c r="L73" s="255" t="s">
        <v>270</v>
      </c>
    </row>
    <row r="74" spans="2:12" x14ac:dyDescent="0.35">
      <c r="B74" s="101" t="s">
        <v>114</v>
      </c>
      <c r="C74" s="114">
        <f t="shared" ref="C74" si="12">J$77*J39</f>
        <v>0</v>
      </c>
      <c r="D74" s="114">
        <f>K$77*K39</f>
        <v>0</v>
      </c>
      <c r="I74" s="451" t="s">
        <v>554</v>
      </c>
      <c r="J74" s="82">
        <f>SUM(J64:J73)</f>
        <v>10619188.061008254</v>
      </c>
      <c r="K74" s="82">
        <f>SUM(K64:K73)</f>
        <v>11300797.33641775</v>
      </c>
      <c r="L74" s="255"/>
    </row>
    <row r="75" spans="2:12" x14ac:dyDescent="0.35">
      <c r="B75" s="109" t="s">
        <v>24</v>
      </c>
      <c r="C75" s="82">
        <f>SUM(C64:C74)</f>
        <v>15986732.142073743</v>
      </c>
      <c r="D75" s="82">
        <f>SUM(D64:D74)</f>
        <v>17174368.537750699</v>
      </c>
      <c r="I75" s="100" t="s">
        <v>556</v>
      </c>
      <c r="J75" s="82">
        <f>K75*EPT_2019/EPT_2023</f>
        <v>4461050.4546244778</v>
      </c>
      <c r="K75" s="82">
        <f>(K9-(D18+E18))*$C29</f>
        <v>4881617.5670371577</v>
      </c>
      <c r="L75" s="255" t="s">
        <v>270</v>
      </c>
    </row>
    <row r="76" spans="2:12" x14ac:dyDescent="0.35">
      <c r="I76" s="101" t="s">
        <v>618</v>
      </c>
      <c r="J76" s="114">
        <f>K76*EPT_2019/EPT_2023</f>
        <v>906493.62644101039</v>
      </c>
      <c r="K76" s="114">
        <f>K10*C29</f>
        <v>991953.63429579407</v>
      </c>
      <c r="L76" s="255" t="s">
        <v>270</v>
      </c>
    </row>
    <row r="77" spans="2:12" x14ac:dyDescent="0.35">
      <c r="I77" s="121" t="s">
        <v>553</v>
      </c>
      <c r="J77" s="450">
        <f>SUM(J74:J76)</f>
        <v>15986732.142073743</v>
      </c>
      <c r="K77" s="450">
        <f>SUM(K74:K76)</f>
        <v>17174368.537750702</v>
      </c>
    </row>
    <row r="78" spans="2:12" s="29" customFormat="1" x14ac:dyDescent="0.35">
      <c r="B78" s="116" t="s">
        <v>120</v>
      </c>
    </row>
    <row r="79" spans="2:12" x14ac:dyDescent="0.35">
      <c r="B79" s="97"/>
      <c r="C79" s="99">
        <v>2019</v>
      </c>
      <c r="D79" s="97">
        <v>2023</v>
      </c>
    </row>
    <row r="80" spans="2:12" x14ac:dyDescent="0.35">
      <c r="B80" s="109" t="s">
        <v>103</v>
      </c>
      <c r="C80" s="82">
        <f>C64+C47</f>
        <v>10220256.253670791</v>
      </c>
      <c r="D80" s="82">
        <f t="shared" ref="C80:D88" si="13">D64+D47</f>
        <v>9894988.4041508902</v>
      </c>
    </row>
    <row r="81" spans="2:11" x14ac:dyDescent="0.35">
      <c r="B81" s="109" t="s">
        <v>104</v>
      </c>
      <c r="C81" s="82">
        <f t="shared" si="13"/>
        <v>28887464.762926888</v>
      </c>
      <c r="D81" s="82">
        <f t="shared" si="13"/>
        <v>25537661.660665959</v>
      </c>
    </row>
    <row r="82" spans="2:11" x14ac:dyDescent="0.35">
      <c r="B82" s="109" t="s">
        <v>105</v>
      </c>
      <c r="C82" s="82">
        <f t="shared" si="13"/>
        <v>124212.46543122</v>
      </c>
      <c r="D82" s="82">
        <f t="shared" si="13"/>
        <v>120000</v>
      </c>
    </row>
    <row r="83" spans="2:11" x14ac:dyDescent="0.35">
      <c r="B83" s="109" t="s">
        <v>106</v>
      </c>
      <c r="C83" s="82">
        <f t="shared" si="13"/>
        <v>4347388.2418786772</v>
      </c>
      <c r="D83" s="82">
        <f t="shared" si="13"/>
        <v>4312930.7968873549</v>
      </c>
    </row>
    <row r="84" spans="2:11" x14ac:dyDescent="0.35">
      <c r="B84" s="109" t="s">
        <v>107</v>
      </c>
      <c r="C84" s="82">
        <f t="shared" si="13"/>
        <v>2971597.0418173103</v>
      </c>
      <c r="D84" s="82">
        <f t="shared" si="13"/>
        <v>1080709</v>
      </c>
    </row>
    <row r="85" spans="2:11" x14ac:dyDescent="0.35">
      <c r="B85" s="109" t="s">
        <v>108</v>
      </c>
      <c r="C85" s="82">
        <f t="shared" si="13"/>
        <v>709042.53071375994</v>
      </c>
      <c r="D85" s="82">
        <f t="shared" si="13"/>
        <v>1128051</v>
      </c>
    </row>
    <row r="86" spans="2:11" x14ac:dyDescent="0.35">
      <c r="B86" s="109" t="s">
        <v>148</v>
      </c>
      <c r="C86" s="82">
        <f t="shared" si="13"/>
        <v>17454333.252861034</v>
      </c>
      <c r="D86" s="82">
        <f t="shared" si="13"/>
        <v>17450660.341075663</v>
      </c>
    </row>
    <row r="87" spans="2:11" x14ac:dyDescent="0.35">
      <c r="B87" s="109" t="s">
        <v>157</v>
      </c>
      <c r="C87" s="82">
        <f t="shared" si="13"/>
        <v>1580928.979010758</v>
      </c>
      <c r="D87" s="82">
        <f t="shared" si="13"/>
        <v>1607857.4275327255</v>
      </c>
    </row>
    <row r="88" spans="2:11" x14ac:dyDescent="0.35">
      <c r="B88" s="109" t="s">
        <v>111</v>
      </c>
      <c r="C88" s="82">
        <f t="shared" si="13"/>
        <v>198251.74902179046</v>
      </c>
      <c r="D88" s="82">
        <f t="shared" si="13"/>
        <v>337899.39595604507</v>
      </c>
    </row>
    <row r="89" spans="2:11" x14ac:dyDescent="0.35">
      <c r="B89" s="100" t="s">
        <v>113</v>
      </c>
      <c r="C89" s="82">
        <f>C73+C57</f>
        <v>850191.72224740614</v>
      </c>
      <c r="D89" s="82">
        <f>D73+D57</f>
        <v>913351.51148206322</v>
      </c>
    </row>
    <row r="90" spans="2:11" x14ac:dyDescent="0.35">
      <c r="B90" s="101" t="s">
        <v>114</v>
      </c>
      <c r="C90" s="114">
        <f>C74+C58</f>
        <v>-0.14249410480260849</v>
      </c>
      <c r="D90" s="114">
        <f>D74+D58</f>
        <v>0</v>
      </c>
    </row>
    <row r="91" spans="2:11" x14ac:dyDescent="0.35">
      <c r="B91" s="109" t="s">
        <v>24</v>
      </c>
      <c r="C91" s="82">
        <f>SUM(C80:C90)</f>
        <v>67343666.857085526</v>
      </c>
      <c r="D91" s="82">
        <f>SUM(D80:D90)</f>
        <v>62384109.537750691</v>
      </c>
    </row>
    <row r="94" spans="2:11" x14ac:dyDescent="0.35">
      <c r="B94" s="121" t="s">
        <v>274</v>
      </c>
    </row>
    <row r="95" spans="2:11" x14ac:dyDescent="0.35">
      <c r="B95" s="116" t="s">
        <v>163</v>
      </c>
      <c r="C95" s="200"/>
      <c r="D95" s="200"/>
      <c r="E95" s="4"/>
      <c r="I95" s="116" t="s">
        <v>151</v>
      </c>
      <c r="J95" s="116"/>
    </row>
    <row r="96" spans="2:11" x14ac:dyDescent="0.35">
      <c r="B96" s="168"/>
      <c r="C96" s="122">
        <v>2019</v>
      </c>
      <c r="D96" s="168">
        <v>2023</v>
      </c>
      <c r="E96" s="4"/>
      <c r="I96" s="97" t="s">
        <v>141</v>
      </c>
      <c r="J96" s="97" t="s">
        <v>152</v>
      </c>
      <c r="K96" s="97" t="s">
        <v>150</v>
      </c>
    </row>
    <row r="97" spans="2:11" x14ac:dyDescent="0.35">
      <c r="B97" s="256" t="s">
        <v>103</v>
      </c>
      <c r="C97" s="257">
        <f>C80</f>
        <v>10220256.253670791</v>
      </c>
      <c r="D97" s="257">
        <f>D80</f>
        <v>9894988.4041508902</v>
      </c>
      <c r="E97" s="4"/>
      <c r="I97" t="s">
        <v>153</v>
      </c>
      <c r="J97">
        <v>52675</v>
      </c>
      <c r="K97">
        <v>5</v>
      </c>
    </row>
    <row r="98" spans="2:11" x14ac:dyDescent="0.35">
      <c r="B98" s="256" t="s">
        <v>104</v>
      </c>
      <c r="C98" s="257">
        <f t="shared" ref="C98:D98" si="14">C81</f>
        <v>28887464.762926888</v>
      </c>
      <c r="D98" s="257">
        <f t="shared" si="14"/>
        <v>25537661.660665959</v>
      </c>
      <c r="E98" s="4"/>
      <c r="I98" t="s">
        <v>154</v>
      </c>
      <c r="J98">
        <v>902417</v>
      </c>
      <c r="K98">
        <v>3.5</v>
      </c>
    </row>
    <row r="99" spans="2:11" x14ac:dyDescent="0.35">
      <c r="B99" s="256" t="s">
        <v>158</v>
      </c>
      <c r="C99" s="257">
        <f>C82+C83</f>
        <v>4471600.7073098971</v>
      </c>
      <c r="D99" s="257">
        <f>D82+D83</f>
        <v>4432930.7968873549</v>
      </c>
      <c r="E99" s="4"/>
      <c r="I99" t="s">
        <v>155</v>
      </c>
      <c r="J99">
        <f>SUM(J97:J98)</f>
        <v>955092</v>
      </c>
      <c r="K99" s="110">
        <f>(K98*J98+K97*J97)/J99</f>
        <v>3.5827276325212649</v>
      </c>
    </row>
    <row r="100" spans="2:11" x14ac:dyDescent="0.35">
      <c r="B100" s="256" t="s">
        <v>107</v>
      </c>
      <c r="C100" s="257">
        <f t="shared" ref="C100:D100" si="15">C84</f>
        <v>2971597.0418173103</v>
      </c>
      <c r="D100" s="257">
        <f t="shared" si="15"/>
        <v>1080709</v>
      </c>
      <c r="E100" s="4"/>
    </row>
    <row r="101" spans="2:11" x14ac:dyDescent="0.35">
      <c r="B101" s="256" t="s">
        <v>108</v>
      </c>
      <c r="C101" s="257">
        <f t="shared" ref="C101:D101" si="16">C85</f>
        <v>709042.53071375994</v>
      </c>
      <c r="D101" s="257">
        <f t="shared" si="16"/>
        <v>1128051</v>
      </c>
      <c r="E101" s="4"/>
    </row>
    <row r="102" spans="2:11" x14ac:dyDescent="0.35">
      <c r="B102" s="256" t="s">
        <v>148</v>
      </c>
      <c r="C102" s="257">
        <f t="shared" ref="C102:D102" si="17">C86</f>
        <v>17454333.252861034</v>
      </c>
      <c r="D102" s="257">
        <f t="shared" si="17"/>
        <v>17450660.341075663</v>
      </c>
      <c r="E102" s="4"/>
    </row>
    <row r="103" spans="2:11" x14ac:dyDescent="0.35">
      <c r="B103" s="256" t="s">
        <v>111</v>
      </c>
      <c r="C103" s="257">
        <f t="shared" ref="C103:D103" si="18">C88</f>
        <v>198251.74902179046</v>
      </c>
      <c r="D103" s="257">
        <f t="shared" si="18"/>
        <v>337899.39595604507</v>
      </c>
      <c r="E103" s="4"/>
    </row>
    <row r="104" spans="2:11" x14ac:dyDescent="0.35">
      <c r="B104" s="258" t="s">
        <v>156</v>
      </c>
      <c r="C104" s="259">
        <f>C89+ C87/$K$99</f>
        <v>1291455.7928567072</v>
      </c>
      <c r="D104" s="259">
        <f>D89+ D87/$K$99</f>
        <v>1362131.7684398694</v>
      </c>
      <c r="E104" s="4"/>
    </row>
    <row r="105" spans="2:11" x14ac:dyDescent="0.35">
      <c r="B105" s="256" t="s">
        <v>24</v>
      </c>
      <c r="C105" s="257">
        <f>SUM(C97:C104)</f>
        <v>66204002.091178171</v>
      </c>
      <c r="D105" s="257">
        <f>SUM(D97:D104)</f>
        <v>61225032.367175773</v>
      </c>
      <c r="E105" s="4"/>
    </row>
    <row r="106" spans="2:11" x14ac:dyDescent="0.35">
      <c r="B106" s="4"/>
      <c r="C106" s="4"/>
      <c r="D106" s="4"/>
      <c r="E106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81D2-621D-46B8-AAB3-FDF23ABC28C5}">
  <sheetPr codeName="Feuil5">
    <tabColor theme="7" tint="0.79998168889431442"/>
  </sheetPr>
  <dimension ref="A3:X29"/>
  <sheetViews>
    <sheetView topLeftCell="D1" workbookViewId="0">
      <selection activeCell="H10" sqref="H10"/>
    </sheetView>
  </sheetViews>
  <sheetFormatPr baseColWidth="10" defaultRowHeight="14.5" x14ac:dyDescent="0.35"/>
  <cols>
    <col min="3" max="3" width="25.54296875" customWidth="1"/>
    <col min="4" max="4" width="30.453125" customWidth="1"/>
    <col min="5" max="5" width="14.54296875" customWidth="1"/>
    <col min="23" max="23" width="15.54296875" bestFit="1" customWidth="1"/>
  </cols>
  <sheetData>
    <row r="3" spans="1:24" s="97" customFormat="1" ht="28.5" x14ac:dyDescent="0.65">
      <c r="B3" s="169" t="s">
        <v>176</v>
      </c>
    </row>
    <row r="5" spans="1:24" x14ac:dyDescent="0.35">
      <c r="A5" s="120">
        <v>2023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50"/>
    </row>
    <row r="6" spans="1:24" x14ac:dyDescent="0.35">
      <c r="C6" s="8"/>
      <c r="W6" s="3"/>
    </row>
    <row r="7" spans="1:24" x14ac:dyDescent="0.35">
      <c r="E7" s="20"/>
      <c r="F7" s="19"/>
      <c r="G7" s="574" t="s">
        <v>276</v>
      </c>
      <c r="H7" s="575"/>
      <c r="I7" s="575"/>
      <c r="J7" s="576"/>
      <c r="K7" s="574" t="s">
        <v>277</v>
      </c>
      <c r="L7" s="575"/>
      <c r="M7" s="575"/>
      <c r="N7" s="576"/>
      <c r="O7" s="574" t="s">
        <v>159</v>
      </c>
      <c r="P7" s="575"/>
      <c r="Q7" s="575"/>
      <c r="R7" s="576"/>
      <c r="S7" s="574" t="s">
        <v>15</v>
      </c>
      <c r="T7" s="575"/>
      <c r="U7" s="575"/>
      <c r="V7" s="575"/>
      <c r="W7" s="151"/>
      <c r="X7" s="28"/>
    </row>
    <row r="8" spans="1:24" ht="15" thickBot="1" x14ac:dyDescent="0.4">
      <c r="B8" s="9" t="s">
        <v>16</v>
      </c>
      <c r="C8" s="10" t="s">
        <v>246</v>
      </c>
      <c r="D8" s="11" t="s">
        <v>17</v>
      </c>
      <c r="E8" s="13" t="s">
        <v>26</v>
      </c>
      <c r="F8" s="13" t="s">
        <v>27</v>
      </c>
      <c r="G8" s="9" t="s">
        <v>55</v>
      </c>
      <c r="H8" s="171" t="s">
        <v>18</v>
      </c>
      <c r="I8" s="171" t="s">
        <v>59</v>
      </c>
      <c r="J8" s="11" t="s">
        <v>19</v>
      </c>
      <c r="K8" s="9" t="s">
        <v>55</v>
      </c>
      <c r="L8" s="171" t="s">
        <v>18</v>
      </c>
      <c r="M8" s="171" t="s">
        <v>59</v>
      </c>
      <c r="N8" s="11" t="s">
        <v>19</v>
      </c>
      <c r="O8" s="9" t="s">
        <v>55</v>
      </c>
      <c r="P8" s="171" t="s">
        <v>18</v>
      </c>
      <c r="Q8" s="171" t="s">
        <v>59</v>
      </c>
      <c r="R8" s="11" t="s">
        <v>19</v>
      </c>
      <c r="S8" s="9" t="s">
        <v>55</v>
      </c>
      <c r="T8" s="171" t="s">
        <v>18</v>
      </c>
      <c r="U8" s="171" t="s">
        <v>59</v>
      </c>
      <c r="V8" s="171" t="s">
        <v>19</v>
      </c>
      <c r="W8" s="283" t="s">
        <v>149</v>
      </c>
      <c r="X8" s="28"/>
    </row>
    <row r="9" spans="1:24" ht="15" thickTop="1" x14ac:dyDescent="0.35">
      <c r="B9" s="15">
        <v>2023</v>
      </c>
      <c r="C9" s="16" t="s">
        <v>177</v>
      </c>
      <c r="D9" s="17" t="str">
        <f>'Electricité - Calcul'!B45</f>
        <v xml:space="preserve">Auto-conso PV  - contracting </v>
      </c>
      <c r="E9" s="82">
        <f>'Electricité - Calcul'!D45</f>
        <v>1006496</v>
      </c>
      <c r="F9" s="115" t="s">
        <v>138</v>
      </c>
      <c r="G9" s="231">
        <f>_xlfn.XLOOKUP($W9,'Facteur émissions'!$B$7:$B$17,'Facteur émissions'!D$7:D$17)/1000*$E9</f>
        <v>0</v>
      </c>
      <c r="H9" s="115">
        <f>_xlfn.XLOOKUP($W9,'Facteur émissions'!$B$7:$B$17,'Facteur émissions'!E$7:E$17)/1000*$E9</f>
        <v>0</v>
      </c>
      <c r="I9" s="115">
        <f>_xlfn.XLOOKUP($W9,'Facteur émissions'!$B$7:$B$17,'Facteur émissions'!F$7:F$17)/1000*$E9</f>
        <v>0</v>
      </c>
      <c r="J9" s="432">
        <f>_xlfn.XLOOKUP($W9,'Facteur émissions'!$B$7:$B$17,'Facteur émissions'!G$7:G$17)/1000*$E9</f>
        <v>0</v>
      </c>
      <c r="K9" s="233">
        <f>_xlfn.XLOOKUP($W9,'Facteur émissions'!$B$7:$B$17,'Facteur émissions'!H$7:H$17)/1000*$E9</f>
        <v>0</v>
      </c>
      <c r="L9" s="297">
        <f>_xlfn.XLOOKUP($W9,'Facteur émissions'!$B$7:$B$17,'Facteur émissions'!I$7:I$17)/1000*$E9</f>
        <v>0</v>
      </c>
      <c r="M9" s="297">
        <f>_xlfn.XLOOKUP($W9,'Facteur émissions'!$B$7:$B$17,'Facteur émissions'!J$7:J$17)/1000*$E9</f>
        <v>0</v>
      </c>
      <c r="N9" s="432">
        <f>_xlfn.XLOOKUP($W9,'Facteur émissions'!$B$7:$B$17,'Facteur émissions'!K$7:K$17)/1000*$E9</f>
        <v>0</v>
      </c>
      <c r="O9" s="231">
        <f>_xlfn.XLOOKUP($W9,'Facteur émissions'!$B$7:$B$17,'Facteur émissions'!L$7:L$17)/1000*$E9</f>
        <v>43.279327999999992</v>
      </c>
      <c r="P9" s="115">
        <f>_xlfn.XLOOKUP($W9,'Facteur émissions'!$B$7:$B$17,'Facteur émissions'!M$7:M$17)/1000*$E9</f>
        <v>0</v>
      </c>
      <c r="Q9" s="115">
        <f>_xlfn.XLOOKUP($W9,'Facteur émissions'!$B$7:$B$17,'Facteur émissions'!N$7:N$17)/1000*$E9</f>
        <v>0</v>
      </c>
      <c r="R9" s="432">
        <f>_xlfn.XLOOKUP($W9,'Facteur émissions'!$B$7:$B$17,'Facteur émissions'!O$7:O$17)/1000*$E9</f>
        <v>43.279327999999992</v>
      </c>
      <c r="S9" s="233">
        <f>G9+O9+K9</f>
        <v>43.279327999999992</v>
      </c>
      <c r="T9" s="297">
        <f t="shared" ref="T9:V9" si="0">H9+P9+L9</f>
        <v>0</v>
      </c>
      <c r="U9" s="297">
        <f t="shared" si="0"/>
        <v>0</v>
      </c>
      <c r="V9" s="359">
        <f t="shared" si="0"/>
        <v>43.279327999999992</v>
      </c>
      <c r="W9" s="151" t="s">
        <v>135</v>
      </c>
      <c r="X9" s="28"/>
    </row>
    <row r="10" spans="1:24" x14ac:dyDescent="0.35">
      <c r="B10" s="15">
        <v>2023</v>
      </c>
      <c r="C10" s="16"/>
      <c r="D10" s="17" t="str">
        <f>'Electricité - Calcul'!B46</f>
        <v>Auto-conso  PV  - en main propre</v>
      </c>
      <c r="E10" s="82">
        <f>'Electricité - Calcul'!D46</f>
        <v>213741.6</v>
      </c>
      <c r="F10" s="115" t="s">
        <v>138</v>
      </c>
      <c r="G10" s="231">
        <v>0</v>
      </c>
      <c r="H10" s="115">
        <v>0</v>
      </c>
      <c r="I10" s="115">
        <v>0</v>
      </c>
      <c r="J10" s="432">
        <v>0</v>
      </c>
      <c r="K10" s="231">
        <v>0</v>
      </c>
      <c r="L10" s="115">
        <v>0</v>
      </c>
      <c r="M10" s="115">
        <v>0</v>
      </c>
      <c r="N10" s="432">
        <v>0</v>
      </c>
      <c r="O10" s="231">
        <v>0</v>
      </c>
      <c r="P10" s="115">
        <v>0</v>
      </c>
      <c r="Q10" s="115">
        <v>0</v>
      </c>
      <c r="R10" s="432">
        <v>0</v>
      </c>
      <c r="S10" s="231">
        <f t="shared" ref="S10:S12" si="1">G10+O10+K10</f>
        <v>0</v>
      </c>
      <c r="T10" s="115">
        <f t="shared" ref="T10:T12" si="2">H10+P10+L10</f>
        <v>0</v>
      </c>
      <c r="U10" s="115">
        <f t="shared" ref="U10:U12" si="3">I10+Q10+M10</f>
        <v>0</v>
      </c>
      <c r="V10" s="359">
        <f t="shared" ref="V10:V12" si="4">J10+R10+N10</f>
        <v>0</v>
      </c>
      <c r="W10" s="151" t="s">
        <v>180</v>
      </c>
      <c r="X10" s="28"/>
    </row>
    <row r="11" spans="1:24" x14ac:dyDescent="0.35">
      <c r="B11" s="15">
        <v>2023</v>
      </c>
      <c r="C11" s="16"/>
      <c r="D11" s="17" t="str">
        <f>'Electricité - Calcul'!B47</f>
        <v>Electricité reseau</v>
      </c>
      <c r="E11" s="82">
        <f>'Electricité - Calcul'!D47</f>
        <v>33025117.697517164</v>
      </c>
      <c r="F11" s="115" t="s">
        <v>138</v>
      </c>
      <c r="G11" s="537">
        <f>_xlfn.XLOOKUP($W11,'Facteur émissions'!$B$7:$B$17,'Facteur émissions'!D$7:D$17)/1000*$E11</f>
        <v>0</v>
      </c>
      <c r="H11" s="114">
        <f>_xlfn.XLOOKUP($W11,'Facteur émissions'!$B$7:$B$17,'Facteur émissions'!E$7:E$17)/1000*$E11</f>
        <v>0</v>
      </c>
      <c r="I11" s="114">
        <f>_xlfn.XLOOKUP($W11,'Facteur émissions'!$B$7:$B$17,'Facteur émissions'!F$7:F$17)/1000*$E11</f>
        <v>0</v>
      </c>
      <c r="J11" s="538">
        <f>_xlfn.XLOOKUP($W11,'Facteur émissions'!$B$7:$B$17,'Facteur émissions'!G$7:G$17)/1000*$E11</f>
        <v>0</v>
      </c>
      <c r="K11" s="114">
        <f>_xlfn.XLOOKUP($W11,'Facteur émissions'!$B$7:$B$17,'Facteur émissions'!H$7:H$17)/1000*$E11</f>
        <v>2737.7822571241727</v>
      </c>
      <c r="L11" s="114">
        <f>_xlfn.XLOOKUP($W11,'Facteur émissions'!$B$7:$B$17,'Facteur émissions'!I$7:I$17)/1000*$E11</f>
        <v>0</v>
      </c>
      <c r="M11" s="114">
        <f>_xlfn.XLOOKUP($W11,'Facteur émissions'!$B$7:$B$17,'Facteur émissions'!J$7:J$17)/1000*$E11</f>
        <v>0</v>
      </c>
      <c r="N11" s="549">
        <f>_xlfn.XLOOKUP($W11,'Facteur émissions'!$B$7:$B$17,'Facteur émissions'!K$7:K$17)/1000*$E11</f>
        <v>2737.7822571241727</v>
      </c>
      <c r="O11" s="537">
        <f>_xlfn.XLOOKUP($W11,'Facteur émissions'!$B$7:$B$17,'Facteur émissions'!L$7:L$17)/1000*$E11</f>
        <v>1390.3574550654725</v>
      </c>
      <c r="P11" s="114">
        <f>_xlfn.XLOOKUP($W11,'Facteur émissions'!$B$7:$B$17,'Facteur émissions'!M$7:M$17)/1000*$E11</f>
        <v>0</v>
      </c>
      <c r="Q11" s="114">
        <f>_xlfn.XLOOKUP($W11,'Facteur émissions'!$B$7:$B$17,'Facteur émissions'!N$7:N$17)/1000*$E11</f>
        <v>0</v>
      </c>
      <c r="R11" s="549">
        <f>_xlfn.XLOOKUP($W11,'Facteur émissions'!$B$7:$B$17,'Facteur émissions'!O$7:O$17)/1000*$E11</f>
        <v>1390.3574550654725</v>
      </c>
      <c r="S11" s="537">
        <f t="shared" si="1"/>
        <v>4128.1397121896453</v>
      </c>
      <c r="T11" s="114">
        <f t="shared" si="2"/>
        <v>0</v>
      </c>
      <c r="U11" s="114">
        <f t="shared" si="3"/>
        <v>0</v>
      </c>
      <c r="V11" s="359">
        <f t="shared" si="4"/>
        <v>4128.1397121896453</v>
      </c>
      <c r="W11" s="151" t="s">
        <v>137</v>
      </c>
      <c r="X11" s="28"/>
    </row>
    <row r="12" spans="1:24" x14ac:dyDescent="0.35">
      <c r="B12" s="21" t="s">
        <v>23</v>
      </c>
      <c r="C12" s="22"/>
      <c r="D12" s="23"/>
      <c r="E12" s="62"/>
      <c r="F12" s="62"/>
      <c r="G12" s="152">
        <f t="shared" ref="G12:R12" si="5">SUM(G9:G11)</f>
        <v>0</v>
      </c>
      <c r="H12" s="153">
        <f t="shared" si="5"/>
        <v>0</v>
      </c>
      <c r="I12" s="153">
        <f t="shared" si="5"/>
        <v>0</v>
      </c>
      <c r="J12" s="154">
        <f t="shared" si="5"/>
        <v>0</v>
      </c>
      <c r="K12" s="282">
        <f>SUM(K9:K11)</f>
        <v>2737.7822571241727</v>
      </c>
      <c r="L12" s="282">
        <f t="shared" ref="L12:N12" si="6">SUM(L9:L11)</f>
        <v>0</v>
      </c>
      <c r="M12" s="282">
        <f t="shared" si="6"/>
        <v>0</v>
      </c>
      <c r="N12" s="156">
        <f t="shared" si="6"/>
        <v>2737.7822571241727</v>
      </c>
      <c r="O12" s="152">
        <f t="shared" si="5"/>
        <v>1433.6367830654726</v>
      </c>
      <c r="P12" s="153">
        <f t="shared" si="5"/>
        <v>0</v>
      </c>
      <c r="Q12" s="153">
        <f t="shared" si="5"/>
        <v>0</v>
      </c>
      <c r="R12" s="154">
        <f t="shared" si="5"/>
        <v>1433.6367830654726</v>
      </c>
      <c r="S12" s="152">
        <f t="shared" si="1"/>
        <v>4171.4190401896449</v>
      </c>
      <c r="T12" s="153">
        <f t="shared" si="2"/>
        <v>0</v>
      </c>
      <c r="U12" s="62">
        <f t="shared" si="3"/>
        <v>0</v>
      </c>
      <c r="V12" s="65">
        <f t="shared" si="4"/>
        <v>4171.4190401896449</v>
      </c>
      <c r="W12" s="15"/>
      <c r="X12" s="28"/>
    </row>
    <row r="13" spans="1:24" x14ac:dyDescent="0.35">
      <c r="B13" s="146" t="s">
        <v>24</v>
      </c>
      <c r="C13" s="98"/>
      <c r="D13" s="147"/>
      <c r="E13" s="215"/>
      <c r="F13" s="215"/>
      <c r="G13" s="214">
        <f t="shared" ref="G13:V13" si="7">G12</f>
        <v>0</v>
      </c>
      <c r="H13" s="215">
        <f t="shared" si="7"/>
        <v>0</v>
      </c>
      <c r="I13" s="215">
        <f t="shared" si="7"/>
        <v>0</v>
      </c>
      <c r="J13" s="540">
        <f t="shared" si="7"/>
        <v>0</v>
      </c>
      <c r="K13" s="214">
        <f t="shared" si="7"/>
        <v>2737.7822571241727</v>
      </c>
      <c r="L13" s="215">
        <f t="shared" si="7"/>
        <v>0</v>
      </c>
      <c r="M13" s="215">
        <f t="shared" si="7"/>
        <v>0</v>
      </c>
      <c r="N13" s="292">
        <f t="shared" si="7"/>
        <v>2737.7822571241727</v>
      </c>
      <c r="O13" s="214">
        <f t="shared" si="7"/>
        <v>1433.6367830654726</v>
      </c>
      <c r="P13" s="215">
        <f t="shared" si="7"/>
        <v>0</v>
      </c>
      <c r="Q13" s="215">
        <f t="shared" si="7"/>
        <v>0</v>
      </c>
      <c r="R13" s="292">
        <f t="shared" si="7"/>
        <v>1433.6367830654726</v>
      </c>
      <c r="S13" s="214">
        <f t="shared" si="7"/>
        <v>4171.4190401896449</v>
      </c>
      <c r="T13" s="215">
        <f t="shared" si="7"/>
        <v>0</v>
      </c>
      <c r="U13" s="215">
        <f t="shared" si="7"/>
        <v>0</v>
      </c>
      <c r="V13" s="292">
        <f t="shared" si="7"/>
        <v>4171.4190401896449</v>
      </c>
      <c r="W13" s="151"/>
      <c r="X13" s="28"/>
    </row>
    <row r="14" spans="1:24" x14ac:dyDescent="0.35"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3"/>
    </row>
    <row r="15" spans="1:24" x14ac:dyDescent="0.35">
      <c r="A15" s="120">
        <v>2019</v>
      </c>
      <c r="B15" s="109"/>
      <c r="C15" s="109"/>
      <c r="D15" s="109"/>
      <c r="E15" s="541"/>
      <c r="F15" s="541"/>
      <c r="G15" s="541"/>
      <c r="H15" s="541"/>
      <c r="I15" s="541"/>
      <c r="J15" s="541"/>
      <c r="K15" s="541"/>
      <c r="L15" s="541"/>
      <c r="M15" s="541"/>
      <c r="N15" s="541"/>
      <c r="O15" s="541"/>
      <c r="P15" s="541"/>
      <c r="Q15" s="455"/>
      <c r="R15" s="541"/>
      <c r="S15" s="541"/>
      <c r="T15" s="541"/>
      <c r="U15" s="541"/>
      <c r="V15" s="541"/>
      <c r="W15" s="150"/>
    </row>
    <row r="16" spans="1:24" x14ac:dyDescent="0.35"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3"/>
    </row>
    <row r="17" spans="2:23" x14ac:dyDescent="0.35">
      <c r="E17" s="114"/>
      <c r="F17" s="539"/>
      <c r="G17" s="579" t="s">
        <v>283</v>
      </c>
      <c r="H17" s="580"/>
      <c r="I17" s="580"/>
      <c r="J17" s="581"/>
      <c r="K17" s="579" t="s">
        <v>277</v>
      </c>
      <c r="L17" s="580"/>
      <c r="M17" s="580"/>
      <c r="N17" s="581"/>
      <c r="O17" s="579" t="s">
        <v>159</v>
      </c>
      <c r="P17" s="580"/>
      <c r="Q17" s="580"/>
      <c r="R17" s="581"/>
      <c r="S17" s="579" t="s">
        <v>15</v>
      </c>
      <c r="T17" s="580"/>
      <c r="U17" s="580"/>
      <c r="V17" s="581"/>
      <c r="W17" s="3"/>
    </row>
    <row r="18" spans="2:23" ht="15" thickBot="1" x14ac:dyDescent="0.4">
      <c r="B18" s="9" t="s">
        <v>16</v>
      </c>
      <c r="C18" s="10" t="s">
        <v>246</v>
      </c>
      <c r="D18" s="11" t="s">
        <v>17</v>
      </c>
      <c r="E18" s="542" t="s">
        <v>26</v>
      </c>
      <c r="F18" s="542" t="s">
        <v>27</v>
      </c>
      <c r="G18" s="543" t="s">
        <v>55</v>
      </c>
      <c r="H18" s="542" t="s">
        <v>18</v>
      </c>
      <c r="I18" s="542" t="s">
        <v>59</v>
      </c>
      <c r="J18" s="544" t="s">
        <v>19</v>
      </c>
      <c r="K18" s="545" t="s">
        <v>55</v>
      </c>
      <c r="L18" s="546" t="s">
        <v>18</v>
      </c>
      <c r="M18" s="546" t="s">
        <v>59</v>
      </c>
      <c r="N18" s="547" t="s">
        <v>19</v>
      </c>
      <c r="O18" s="543" t="s">
        <v>55</v>
      </c>
      <c r="P18" s="542" t="s">
        <v>18</v>
      </c>
      <c r="Q18" s="542" t="s">
        <v>59</v>
      </c>
      <c r="R18" s="544" t="s">
        <v>19</v>
      </c>
      <c r="S18" s="543" t="s">
        <v>55</v>
      </c>
      <c r="T18" s="546" t="s">
        <v>18</v>
      </c>
      <c r="U18" s="546" t="s">
        <v>59</v>
      </c>
      <c r="V18" s="542" t="s">
        <v>19</v>
      </c>
      <c r="W18" s="151"/>
    </row>
    <row r="19" spans="2:23" ht="15" thickTop="1" x14ac:dyDescent="0.35">
      <c r="B19" s="15">
        <v>2019</v>
      </c>
      <c r="C19" s="16" t="str">
        <f>C9</f>
        <v>Electricité</v>
      </c>
      <c r="D19" s="16" t="str">
        <f>D9</f>
        <v xml:space="preserve">Auto-conso PV  - contracting </v>
      </c>
      <c r="E19" s="115">
        <f>'Electricité - Calcul'!C45</f>
        <v>456000</v>
      </c>
      <c r="F19" s="115" t="s">
        <v>138</v>
      </c>
      <c r="G19" s="534">
        <f>_xlfn.XLOOKUP($W19,'Facteur émissions'!$B$7:$B$17,'Facteur émissions'!D$7:D$17)/1000*$E19</f>
        <v>0</v>
      </c>
      <c r="H19" s="535">
        <f>_xlfn.XLOOKUP($W19,'Facteur émissions'!$B$7:$B$17,'Facteur émissions'!E$7:E$17)/1000*$E19</f>
        <v>0</v>
      </c>
      <c r="I19" s="535">
        <f>_xlfn.XLOOKUP($W19,'Facteur émissions'!$B$7:$B$17,'Facteur émissions'!F$7:F$17)/1000*$E19</f>
        <v>0</v>
      </c>
      <c r="J19" s="548">
        <f>_xlfn.XLOOKUP($W19,'Facteur émissions'!$B$7:$B$17,'Facteur émissions'!G$7:G$17)/1000*$E19</f>
        <v>0</v>
      </c>
      <c r="K19" s="233">
        <f>_xlfn.XLOOKUP($W19,'Facteur émissions'!$B$7:$B$17,'Facteur émissions'!H$7:H$17)/1000*$E19</f>
        <v>0</v>
      </c>
      <c r="L19" s="297">
        <f>_xlfn.XLOOKUP($W19,'Facteur émissions'!$B$7:$B$17,'Facteur émissions'!I$7:I$17)/1000*$E19</f>
        <v>0</v>
      </c>
      <c r="M19" s="297">
        <f>_xlfn.XLOOKUP($W19,'Facteur émissions'!$B$7:$B$17,'Facteur émissions'!J$7:J$17)/1000*$E19</f>
        <v>0</v>
      </c>
      <c r="N19" s="548">
        <f>_xlfn.XLOOKUP($W19,'Facteur émissions'!$B$7:$B$17,'Facteur émissions'!K$7:K$17)/1000*$E19</f>
        <v>0</v>
      </c>
      <c r="O19" s="534">
        <f>_xlfn.XLOOKUP($W19,'Facteur émissions'!$B$7:$B$17,'Facteur émissions'!L$7:L$17)/1000*$E19</f>
        <v>19.607999999999997</v>
      </c>
      <c r="P19" s="535">
        <f>_xlfn.XLOOKUP($W19,'Facteur émissions'!$B$7:$B$17,'Facteur émissions'!M$7:M$17)/1000*$E19</f>
        <v>0</v>
      </c>
      <c r="Q19" s="535">
        <f>_xlfn.XLOOKUP($W19,'Facteur émissions'!$B$7:$B$17,'Facteur émissions'!N$7:N$17)/1000*$E19</f>
        <v>0</v>
      </c>
      <c r="R19" s="548">
        <f>_xlfn.XLOOKUP($W19,'Facteur émissions'!$B$7:$B$17,'Facteur émissions'!O$7:O$17)/1000*$E19</f>
        <v>19.607999999999997</v>
      </c>
      <c r="S19" s="233">
        <f>G19+O19+K19</f>
        <v>19.607999999999997</v>
      </c>
      <c r="T19" s="115">
        <f t="shared" ref="T19:T22" si="8">H19+P19+L19</f>
        <v>0</v>
      </c>
      <c r="U19" s="115">
        <f t="shared" ref="U19:U22" si="9">I19+Q19+M19</f>
        <v>0</v>
      </c>
      <c r="V19" s="359">
        <f t="shared" ref="V19:V22" si="10">J19+R19+N19</f>
        <v>19.607999999999997</v>
      </c>
      <c r="W19" s="151" t="s">
        <v>135</v>
      </c>
    </row>
    <row r="20" spans="2:23" x14ac:dyDescent="0.35">
      <c r="B20" s="15">
        <v>2019</v>
      </c>
      <c r="C20" s="16"/>
      <c r="D20" s="16" t="str">
        <f>D10</f>
        <v>Auto-conso  PV  - en main propre</v>
      </c>
      <c r="E20" s="115">
        <f>'Electricité - Calcul'!C46</f>
        <v>157200</v>
      </c>
      <c r="F20" s="115" t="s">
        <v>138</v>
      </c>
      <c r="G20" s="231">
        <v>0</v>
      </c>
      <c r="H20" s="115">
        <v>0</v>
      </c>
      <c r="I20" s="115">
        <v>0</v>
      </c>
      <c r="J20" s="432">
        <v>0</v>
      </c>
      <c r="K20" s="231">
        <v>0</v>
      </c>
      <c r="L20" s="115">
        <v>0</v>
      </c>
      <c r="M20" s="115">
        <v>0</v>
      </c>
      <c r="N20" s="432">
        <v>0</v>
      </c>
      <c r="O20" s="231">
        <v>0</v>
      </c>
      <c r="P20" s="115">
        <v>0</v>
      </c>
      <c r="Q20" s="115">
        <v>0</v>
      </c>
      <c r="R20" s="432">
        <v>0</v>
      </c>
      <c r="S20" s="231">
        <f t="shared" ref="S20:S21" si="11">G20+O20+K20</f>
        <v>0</v>
      </c>
      <c r="T20" s="115">
        <f t="shared" si="8"/>
        <v>0</v>
      </c>
      <c r="U20" s="115">
        <f t="shared" si="9"/>
        <v>0</v>
      </c>
      <c r="V20" s="359">
        <f>J20+R20+N20</f>
        <v>0</v>
      </c>
      <c r="W20" s="151" t="s">
        <v>180</v>
      </c>
    </row>
    <row r="21" spans="2:23" x14ac:dyDescent="0.35">
      <c r="B21" s="15">
        <v>2019</v>
      </c>
      <c r="C21" s="16"/>
      <c r="D21" s="16" t="str">
        <f>D11</f>
        <v>Electricité reseau</v>
      </c>
      <c r="E21" s="115">
        <f>'Electricité - Calcul'!C47</f>
        <v>35988042.930101365</v>
      </c>
      <c r="F21" s="115" t="s">
        <v>138</v>
      </c>
      <c r="G21" s="231">
        <f>_xlfn.XLOOKUP($W21,'Facteur émissions'!$B$7:$B$17,'Facteur émissions'!D$7:D$17)/1000*$E21</f>
        <v>0</v>
      </c>
      <c r="H21" s="115">
        <f>_xlfn.XLOOKUP($W21,'Facteur émissions'!$B$7:$B$17,'Facteur émissions'!E$7:E$17)/1000*$E21</f>
        <v>0</v>
      </c>
      <c r="I21" s="115">
        <f>_xlfn.XLOOKUP($W21,'Facteur émissions'!$B$7:$B$17,'Facteur émissions'!F$7:F$17)/1000*$E21</f>
        <v>0</v>
      </c>
      <c r="J21" s="432">
        <f>_xlfn.XLOOKUP($W21,'Facteur émissions'!$B$7:$B$17,'Facteur émissions'!G$7:G$17)/1000*$E21</f>
        <v>0</v>
      </c>
      <c r="K21" s="537">
        <f>_xlfn.XLOOKUP($W21,'Facteur émissions'!$B$7:$B$17,'Facteur émissions'!H$7:H$17)/1000*$E21</f>
        <v>2983.4087589054029</v>
      </c>
      <c r="L21" s="115">
        <f>_xlfn.XLOOKUP($W21,'Facteur émissions'!$B$7:$B$17,'Facteur émissions'!I$7:I$17)/1000*$E21</f>
        <v>0</v>
      </c>
      <c r="M21" s="114">
        <f>_xlfn.XLOOKUP($W21,'Facteur émissions'!$B$7:$B$17,'Facteur émissions'!J$7:J$17)/1000*$E21</f>
        <v>0</v>
      </c>
      <c r="N21" s="432">
        <f>_xlfn.XLOOKUP($W21,'Facteur émissions'!$B$7:$B$17,'Facteur émissions'!K$7:K$17)/1000*$E21</f>
        <v>2983.4087589054029</v>
      </c>
      <c r="O21" s="231">
        <f>_xlfn.XLOOKUP($W21,'Facteur émissions'!$B$7:$B$17,'Facteur émissions'!L$7:L$17)/1000*$E21</f>
        <v>1515.0966073572674</v>
      </c>
      <c r="P21" s="115">
        <f>_xlfn.XLOOKUP($W21,'Facteur émissions'!$B$7:$B$17,'Facteur émissions'!M$7:M$17)/1000*$E21</f>
        <v>0</v>
      </c>
      <c r="Q21" s="115">
        <f>_xlfn.XLOOKUP($W21,'Facteur émissions'!$B$7:$B$17,'Facteur émissions'!N$7:N$17)/1000*$E21</f>
        <v>0</v>
      </c>
      <c r="R21" s="432">
        <f>_xlfn.XLOOKUP($W21,'Facteur émissions'!$B$7:$B$17,'Facteur émissions'!O$7:O$17)/1000*$E21</f>
        <v>1515.0966073572674</v>
      </c>
      <c r="S21" s="537">
        <f t="shared" si="11"/>
        <v>4498.5053662626706</v>
      </c>
      <c r="T21" s="115">
        <f t="shared" si="8"/>
        <v>0</v>
      </c>
      <c r="U21" s="114">
        <f t="shared" si="9"/>
        <v>0</v>
      </c>
      <c r="V21" s="359">
        <f t="shared" si="10"/>
        <v>4498.5053662626706</v>
      </c>
      <c r="W21" s="151" t="s">
        <v>137</v>
      </c>
    </row>
    <row r="22" spans="2:23" x14ac:dyDescent="0.35">
      <c r="B22" s="21" t="s">
        <v>23</v>
      </c>
      <c r="C22" s="22"/>
      <c r="D22" s="23"/>
      <c r="E22" s="62"/>
      <c r="F22" s="62"/>
      <c r="G22" s="61">
        <f t="shared" ref="G22:R22" si="12">SUM(G19:G21)</f>
        <v>0</v>
      </c>
      <c r="H22" s="62">
        <f t="shared" si="12"/>
        <v>0</v>
      </c>
      <c r="I22" s="62">
        <f t="shared" si="12"/>
        <v>0</v>
      </c>
      <c r="J22" s="63">
        <f t="shared" si="12"/>
        <v>0</v>
      </c>
      <c r="K22" s="281">
        <f>SUM(K19:K21)</f>
        <v>2983.4087589054029</v>
      </c>
      <c r="L22" s="281">
        <f t="shared" ref="L22:N22" si="13">SUM(L19:L21)</f>
        <v>0</v>
      </c>
      <c r="M22" s="281">
        <f t="shared" si="13"/>
        <v>0</v>
      </c>
      <c r="N22" s="65">
        <f t="shared" si="13"/>
        <v>2983.4087589054029</v>
      </c>
      <c r="O22" s="61">
        <f t="shared" si="12"/>
        <v>1534.7046073572674</v>
      </c>
      <c r="P22" s="62">
        <f t="shared" si="12"/>
        <v>0</v>
      </c>
      <c r="Q22" s="62">
        <f t="shared" si="12"/>
        <v>0</v>
      </c>
      <c r="R22" s="63">
        <f t="shared" si="12"/>
        <v>1534.7046073572674</v>
      </c>
      <c r="S22" s="61">
        <f>G22+O22+K22</f>
        <v>4518.1133662626708</v>
      </c>
      <c r="T22" s="62">
        <f t="shared" si="8"/>
        <v>0</v>
      </c>
      <c r="U22" s="153">
        <f t="shared" si="9"/>
        <v>0</v>
      </c>
      <c r="V22" s="63">
        <f t="shared" si="10"/>
        <v>4518.1133662626708</v>
      </c>
      <c r="W22" s="151"/>
    </row>
    <row r="23" spans="2:23" x14ac:dyDescent="0.35">
      <c r="B23" s="146" t="s">
        <v>24</v>
      </c>
      <c r="C23" s="98"/>
      <c r="D23" s="147"/>
      <c r="E23" s="148"/>
      <c r="F23" s="148"/>
      <c r="G23" s="214">
        <f t="shared" ref="G23:V23" si="14">G22</f>
        <v>0</v>
      </c>
      <c r="H23" s="215">
        <f t="shared" si="14"/>
        <v>0</v>
      </c>
      <c r="I23" s="215">
        <f t="shared" si="14"/>
        <v>0</v>
      </c>
      <c r="J23" s="540">
        <f t="shared" si="14"/>
        <v>0</v>
      </c>
      <c r="K23" s="214">
        <f t="shared" si="14"/>
        <v>2983.4087589054029</v>
      </c>
      <c r="L23" s="215">
        <f t="shared" si="14"/>
        <v>0</v>
      </c>
      <c r="M23" s="215">
        <f t="shared" si="14"/>
        <v>0</v>
      </c>
      <c r="N23" s="292">
        <f t="shared" si="14"/>
        <v>2983.4087589054029</v>
      </c>
      <c r="O23" s="214">
        <f t="shared" si="14"/>
        <v>1534.7046073572674</v>
      </c>
      <c r="P23" s="215">
        <f t="shared" si="14"/>
        <v>0</v>
      </c>
      <c r="Q23" s="215">
        <f t="shared" si="14"/>
        <v>0</v>
      </c>
      <c r="R23" s="292">
        <f t="shared" si="14"/>
        <v>1534.7046073572674</v>
      </c>
      <c r="S23" s="214">
        <f t="shared" si="14"/>
        <v>4518.1133662626708</v>
      </c>
      <c r="T23" s="215">
        <f t="shared" si="14"/>
        <v>0</v>
      </c>
      <c r="U23" s="215">
        <f t="shared" si="14"/>
        <v>0</v>
      </c>
      <c r="V23" s="292">
        <f t="shared" si="14"/>
        <v>4518.1133662626708</v>
      </c>
      <c r="W23" s="151"/>
    </row>
    <row r="25" spans="2:23" x14ac:dyDescent="0.35">
      <c r="D25" s="487" t="s">
        <v>577</v>
      </c>
      <c r="W25" s="3"/>
    </row>
    <row r="26" spans="2:23" x14ac:dyDescent="0.35">
      <c r="E26" s="488">
        <v>2019</v>
      </c>
      <c r="F26" s="488">
        <v>2023</v>
      </c>
    </row>
    <row r="27" spans="2:23" x14ac:dyDescent="0.35">
      <c r="D27" s="103" t="s">
        <v>607</v>
      </c>
      <c r="E27" s="104">
        <f>I27*E21/1000+V19</f>
        <v>577.42266541657114</v>
      </c>
      <c r="F27" s="104">
        <f>E11*I27/1000+V9</f>
        <v>555.16865231151598</v>
      </c>
      <c r="H27" s="3" t="s">
        <v>591</v>
      </c>
      <c r="I27" s="3">
        <v>1.55E-2</v>
      </c>
      <c r="V27" s="76">
        <f>-1+V12/V22</f>
        <v>-7.6734313189623982E-2</v>
      </c>
    </row>
    <row r="29" spans="2:23" x14ac:dyDescent="0.35">
      <c r="W29" s="28"/>
    </row>
  </sheetData>
  <sheetProtection algorithmName="SHA-512" hashValue="eqMyaWt9IOZVj3ksaYCWKzpz39VzZvsr/tTX/AuhrceqJmD8DY/CWmsT9Fzs6BEWGno9jE8czukQicd08+X2OQ==" saltValue="JgMOpPKYrhjkoQHLvAX6pw==" spinCount="100000" sheet="1" objects="1" scenarios="1"/>
  <mergeCells count="8">
    <mergeCell ref="G7:J7"/>
    <mergeCell ref="O7:R7"/>
    <mergeCell ref="S7:V7"/>
    <mergeCell ref="G17:J17"/>
    <mergeCell ref="O17:R17"/>
    <mergeCell ref="S17:V17"/>
    <mergeCell ref="K7:N7"/>
    <mergeCell ref="K17:N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9DE9-4B78-4816-923A-B5BB4A6E6081}">
  <sheetPr codeName="Feuil6">
    <tabColor theme="7" tint="0.79998168889431442"/>
  </sheetPr>
  <dimension ref="B2:J47"/>
  <sheetViews>
    <sheetView topLeftCell="A15" workbookViewId="0">
      <selection activeCell="G47" sqref="G47"/>
    </sheetView>
  </sheetViews>
  <sheetFormatPr baseColWidth="10" defaultRowHeight="14.5" x14ac:dyDescent="0.35"/>
  <cols>
    <col min="2" max="2" width="46.1796875" customWidth="1"/>
    <col min="3" max="3" width="18.81640625" customWidth="1"/>
    <col min="4" max="4" width="19.453125" customWidth="1"/>
    <col min="7" max="7" width="37.54296875" customWidth="1"/>
    <col min="8" max="8" width="18.453125" customWidth="1"/>
    <col min="9" max="9" width="21.1796875" customWidth="1"/>
  </cols>
  <sheetData>
    <row r="2" spans="2:10" s="162" customFormat="1" ht="28.5" x14ac:dyDescent="0.65">
      <c r="B2" s="163" t="s">
        <v>164</v>
      </c>
    </row>
    <row r="5" spans="2:10" s="162" customFormat="1" x14ac:dyDescent="0.35">
      <c r="B5" s="161" t="s">
        <v>165</v>
      </c>
    </row>
    <row r="7" spans="2:10" x14ac:dyDescent="0.35">
      <c r="B7" s="116" t="s">
        <v>476</v>
      </c>
      <c r="G7" s="1" t="s">
        <v>118</v>
      </c>
    </row>
    <row r="8" spans="2:10" x14ac:dyDescent="0.35">
      <c r="B8" s="97"/>
      <c r="C8" s="97">
        <v>2019</v>
      </c>
      <c r="D8" s="97">
        <v>2023</v>
      </c>
      <c r="G8" s="97"/>
      <c r="H8" s="99">
        <v>2019</v>
      </c>
      <c r="I8" s="97">
        <v>2023</v>
      </c>
      <c r="J8" s="254" t="s">
        <v>269</v>
      </c>
    </row>
    <row r="9" spans="2:10" x14ac:dyDescent="0.35">
      <c r="B9" s="100" t="s">
        <v>2</v>
      </c>
      <c r="C9" s="38">
        <f>2660237/80143</f>
        <v>33.193628888362056</v>
      </c>
      <c r="D9" s="38">
        <v>29.002887335468635</v>
      </c>
      <c r="G9" s="100" t="s">
        <v>2</v>
      </c>
      <c r="H9" s="82">
        <f>C$9*('Chaleur du bâtiment - Calcul'!$E$8+'Chaleur du bâtiment - Calcul'!$D$8)*EPT_2019/EPT_2023</f>
        <v>831169.38123095152</v>
      </c>
      <c r="I9" s="82">
        <f>D$9*('Chaleur du bâtiment - Calcul'!$E$8+'Chaleur du bâtiment - Calcul'!$D$8)</f>
        <v>794698.97996966529</v>
      </c>
      <c r="J9" s="255" t="s">
        <v>270</v>
      </c>
    </row>
    <row r="10" spans="2:10" x14ac:dyDescent="0.35">
      <c r="B10" s="100" t="s">
        <v>3</v>
      </c>
      <c r="C10" s="38">
        <f>6053534/172494</f>
        <v>35.094171391468691</v>
      </c>
      <c r="D10" s="38">
        <v>28.524915942303032</v>
      </c>
      <c r="G10" s="100" t="s">
        <v>3</v>
      </c>
      <c r="H10" s="82">
        <f>C$10*('Chaleur du bâtiment - Calcul'!$E$9+'Chaleur du bâtiment - Calcul'!$D$9)*Constante!C7/Constante!C8</f>
        <v>38146.660923469834</v>
      </c>
      <c r="I10" s="82">
        <f>D$10*('Chaleur du bâtiment - Calcul'!$E$9+'Chaleur du bâtiment - Calcul'!$D$9)</f>
        <v>33288.576904667636</v>
      </c>
      <c r="J10" s="255" t="s">
        <v>271</v>
      </c>
    </row>
    <row r="11" spans="2:10" x14ac:dyDescent="0.35">
      <c r="B11" s="100" t="s">
        <v>4</v>
      </c>
      <c r="C11" s="164"/>
      <c r="D11" s="164"/>
      <c r="G11" s="100" t="s">
        <v>4</v>
      </c>
      <c r="H11" s="82">
        <f>C11*('Chaleur du bâtiment - Calcul'!$E$10+'Chaleur du bâtiment - Calcul'!$D$10)</f>
        <v>0</v>
      </c>
      <c r="I11" s="82">
        <f>D11*('Chaleur du bâtiment - Calcul'!$E$10+'Chaleur du bâtiment - Calcul'!$D$10)</f>
        <v>0</v>
      </c>
      <c r="J11" s="255"/>
    </row>
    <row r="12" spans="2:10" x14ac:dyDescent="0.35">
      <c r="B12" s="100" t="s">
        <v>5</v>
      </c>
      <c r="C12" s="38">
        <f>4024306/169175</f>
        <v>23.787829170976799</v>
      </c>
      <c r="D12" s="38">
        <v>20.602139482226818</v>
      </c>
      <c r="G12" s="100" t="s">
        <v>5</v>
      </c>
      <c r="H12" s="82">
        <f>C12*('Chaleur du bâtiment - Calcul'!$E$11+'Chaleur du bâtiment - Calcul'!$D$11)*Constante!C9/Constante!C10</f>
        <v>903975.31268082152</v>
      </c>
      <c r="I12" s="82">
        <f>D12*('Chaleur du bâtiment - Calcul'!$E$11+'Chaleur du bâtiment - Calcul'!$D$11)</f>
        <v>796278.15055502928</v>
      </c>
      <c r="J12" s="255" t="s">
        <v>272</v>
      </c>
    </row>
    <row r="13" spans="2:10" x14ac:dyDescent="0.35">
      <c r="B13" s="100" t="s">
        <v>6</v>
      </c>
      <c r="C13" s="165"/>
      <c r="D13" s="165"/>
      <c r="G13" s="100" t="s">
        <v>6</v>
      </c>
      <c r="H13" s="82">
        <v>0</v>
      </c>
      <c r="I13" s="82">
        <f>C13*('Chaleur du bâtiment - Calcul'!E12+'Chaleur du bâtiment - Calcul'!D12)</f>
        <v>0</v>
      </c>
      <c r="J13" s="255"/>
    </row>
    <row r="14" spans="2:10" x14ac:dyDescent="0.35">
      <c r="B14" s="100" t="s">
        <v>7</v>
      </c>
      <c r="C14" s="38">
        <f>C9</f>
        <v>33.193628888362056</v>
      </c>
      <c r="D14" s="38">
        <v>29.002887335468635</v>
      </c>
      <c r="G14" s="100" t="s">
        <v>7</v>
      </c>
      <c r="H14" s="82">
        <f>C14*('Chaleur du bâtiment - Calcul'!$E$13+'Chaleur du bâtiment - Calcul'!$D$13)*EPT_2019/EPT_2023</f>
        <v>2285984.5945732212</v>
      </c>
      <c r="I14" s="82">
        <f>D14*('Chaleur du bâtiment - Calcul'!$E$13+'Chaleur du bâtiment - Calcul'!$D$13)</f>
        <v>2185679.1967519815</v>
      </c>
      <c r="J14" s="255" t="s">
        <v>270</v>
      </c>
    </row>
    <row r="15" spans="2:10" x14ac:dyDescent="0.35">
      <c r="B15" s="100" t="s">
        <v>8</v>
      </c>
      <c r="C15" s="38">
        <f>1303882/(44531-11176-3114)</f>
        <v>43.116365199563504</v>
      </c>
      <c r="D15" s="38">
        <v>46.061375763575342</v>
      </c>
      <c r="G15" s="100" t="s">
        <v>8</v>
      </c>
      <c r="H15" s="82">
        <f>C15*('Chaleur du bâtiment - Calcul'!$E$14+'Chaleur du bâtiment - Calcul'!$D$14)</f>
        <v>911091.91303197644</v>
      </c>
      <c r="I15" s="82">
        <f>D15*('Chaleur du bâtiment - Calcul'!$E$14+'Chaleur du bâtiment - Calcul'!$D$14)</f>
        <v>973322.93126011058</v>
      </c>
      <c r="J15" s="255" t="s">
        <v>273</v>
      </c>
    </row>
    <row r="16" spans="2:10" x14ac:dyDescent="0.35">
      <c r="B16" s="100" t="s">
        <v>9</v>
      </c>
      <c r="C16" s="164"/>
      <c r="D16" s="164"/>
      <c r="G16" s="100" t="s">
        <v>9</v>
      </c>
      <c r="H16" s="82">
        <f>C16*('Chaleur du bâtiment - Calcul'!D15+'Chaleur du bâtiment - Calcul'!C15)</f>
        <v>0</v>
      </c>
      <c r="I16" s="82">
        <f>D16*('Chaleur du bâtiment - Calcul'!E15+'Chaleur du bâtiment - Calcul'!D15)</f>
        <v>0</v>
      </c>
      <c r="J16" s="255"/>
    </row>
    <row r="17" spans="2:10" x14ac:dyDescent="0.35">
      <c r="B17" s="100" t="s">
        <v>10</v>
      </c>
      <c r="C17" s="38">
        <f>2977890/44543</f>
        <v>66.854275643759962</v>
      </c>
      <c r="D17" s="38">
        <v>65.041213727427902</v>
      </c>
      <c r="G17" s="100" t="s">
        <v>10</v>
      </c>
      <c r="H17" s="82">
        <f>C17*('Chaleur du bâtiment - Calcul'!$E$16+'Chaleur du bâtiment - Calcul'!$D$16)*EPT_2019/EPT_2023</f>
        <v>962873.8496639462</v>
      </c>
      <c r="I17" s="82">
        <f>D17*('Chaleur du bâtiment - Calcul'!$E$16+'Chaleur du bâtiment - Calcul'!$D$16)</f>
        <v>1025074.5692115488</v>
      </c>
      <c r="J17" s="255" t="s">
        <v>270</v>
      </c>
    </row>
    <row r="18" spans="2:10" x14ac:dyDescent="0.35">
      <c r="B18" s="100" t="s">
        <v>11</v>
      </c>
      <c r="C18" s="38">
        <f>C14</f>
        <v>33.193628888362056</v>
      </c>
      <c r="D18" s="38">
        <v>29.002887335468635</v>
      </c>
      <c r="G18" s="101" t="s">
        <v>11</v>
      </c>
      <c r="H18" s="114">
        <f>C18*('Chaleur du bâtiment - Calcul'!$E$17+'Chaleur du bâtiment - Calcul'!$D$17)*EPT_2019/EPT_2023</f>
        <v>75881.74403735844</v>
      </c>
      <c r="I18" s="114">
        <f>D18*('Chaleur du bâtiment - Calcul'!$E$17+'Chaleur du bâtiment - Calcul'!$D$17)</f>
        <v>72552.172814041551</v>
      </c>
      <c r="J18" s="255" t="s">
        <v>270</v>
      </c>
    </row>
    <row r="19" spans="2:10" x14ac:dyDescent="0.35">
      <c r="G19" s="100" t="str">
        <f>'Chaleur du bâtiment - Calcul'!I74</f>
        <v>TOTAL BATIMENT LOUE</v>
      </c>
      <c r="H19" s="455">
        <f>SUM(H9:H18)</f>
        <v>6009123.4561417447</v>
      </c>
      <c r="I19" s="455">
        <f>SUM(I9:I18)</f>
        <v>5880894.5774670448</v>
      </c>
      <c r="J19" s="255"/>
    </row>
    <row r="20" spans="2:10" x14ac:dyDescent="0.35">
      <c r="G20" s="100" t="str">
        <f>'Chaleur du bâtiment - Calcul'!I75</f>
        <v>Bâtiment non-monitoré hors bâtiment loué</v>
      </c>
      <c r="H20" s="82">
        <f>('Chaleur du bâtiment - Calcul'!$K$9 -('Chaleur du bâtiment - Calcul'!$D$18+'Chaleur du bâtiment - Calcul'!$E$18))*'Electricité - Calcul'!C9*EPT_2019/EPT_2023</f>
        <v>2716465.4246817301</v>
      </c>
      <c r="I20" s="82">
        <f>('Chaleur du bâtiment - Calcul'!$K$9 -('Chaleur du bâtiment - Calcul'!$D$18+'Chaleur du bâtiment - Calcul'!$E$18))*'Electricité - Calcul'!D9</f>
        <v>2597271.2071278654</v>
      </c>
      <c r="J20" s="255" t="s">
        <v>270</v>
      </c>
    </row>
    <row r="21" spans="2:10" x14ac:dyDescent="0.35">
      <c r="G21" s="100" t="str">
        <f>'Chaleur du bâtiment - Calcul'!I76</f>
        <v>Bâtiment non-recensé par planon</v>
      </c>
      <c r="H21" s="82">
        <f>'Chaleur du bâtiment - Calcul'!$K$10*'Electricité - Calcul'!C9*EPT_2019/EPT_2023</f>
        <v>551990.75172276783</v>
      </c>
      <c r="I21" s="82">
        <f>'Chaleur du bâtiment - Calcul'!$K$10*'Electricité - Calcul'!D9</f>
        <v>527770.26831415843</v>
      </c>
      <c r="J21" s="255" t="s">
        <v>270</v>
      </c>
    </row>
    <row r="22" spans="2:10" x14ac:dyDescent="0.35">
      <c r="B22" s="167" t="s">
        <v>170</v>
      </c>
      <c r="C22" s="38"/>
      <c r="D22" s="38"/>
      <c r="G22" s="100" t="str">
        <f>'Chaleur du bâtiment - Calcul'!I77</f>
        <v xml:space="preserve">TOTAL </v>
      </c>
      <c r="H22" s="455">
        <f>SUM(H19:H21)</f>
        <v>9277579.6325462423</v>
      </c>
      <c r="I22" s="455">
        <f>SUM(I19:I21)</f>
        <v>9005936.0529090688</v>
      </c>
    </row>
    <row r="23" spans="2:10" x14ac:dyDescent="0.35">
      <c r="B23" s="97"/>
      <c r="C23" s="97">
        <v>2019</v>
      </c>
      <c r="D23" s="97">
        <v>2023</v>
      </c>
    </row>
    <row r="24" spans="2:10" x14ac:dyDescent="0.35">
      <c r="B24" t="s">
        <v>284</v>
      </c>
      <c r="C24" s="82">
        <f>H22</f>
        <v>9277579.6325462423</v>
      </c>
      <c r="D24" s="82">
        <f>I22</f>
        <v>9005936.0529090688</v>
      </c>
    </row>
    <row r="26" spans="2:10" x14ac:dyDescent="0.35">
      <c r="B26" s="167" t="s">
        <v>167</v>
      </c>
      <c r="C26" s="38"/>
      <c r="D26" s="38"/>
    </row>
    <row r="27" spans="2:10" x14ac:dyDescent="0.35">
      <c r="B27" s="97"/>
      <c r="C27" s="97">
        <v>2019</v>
      </c>
      <c r="D27" s="97">
        <v>2023</v>
      </c>
    </row>
    <row r="28" spans="2:10" x14ac:dyDescent="0.35">
      <c r="B28" t="s">
        <v>168</v>
      </c>
      <c r="C28" s="82">
        <v>24709334.10827909</v>
      </c>
      <c r="D28" s="82">
        <v>22378623.244608101</v>
      </c>
    </row>
    <row r="29" spans="2:10" x14ac:dyDescent="0.35">
      <c r="B29" t="s">
        <v>171</v>
      </c>
      <c r="C29" s="399">
        <f>D29*EPT_2019/EPT_2023</f>
        <v>2108318.5240485994</v>
      </c>
      <c r="D29" s="322">
        <v>2307081</v>
      </c>
    </row>
    <row r="30" spans="2:10" x14ac:dyDescent="0.35">
      <c r="B30" s="29" t="s">
        <v>172</v>
      </c>
      <c r="C30" s="399">
        <f>D30*EPT_2019/EPT_2023</f>
        <v>506010.66522743244</v>
      </c>
      <c r="D30" s="399">
        <f>272787+280928</f>
        <v>553715</v>
      </c>
    </row>
    <row r="31" spans="2:10" x14ac:dyDescent="0.35">
      <c r="C31" s="38"/>
      <c r="D31" s="38"/>
    </row>
    <row r="32" spans="2:10" x14ac:dyDescent="0.35">
      <c r="B32" s="1" t="s">
        <v>173</v>
      </c>
      <c r="C32" s="38"/>
      <c r="D32" s="38"/>
    </row>
    <row r="33" spans="2:8" x14ac:dyDescent="0.35">
      <c r="B33" s="97"/>
      <c r="C33" s="97">
        <v>2019</v>
      </c>
      <c r="D33" s="97">
        <v>2023</v>
      </c>
    </row>
    <row r="34" spans="2:8" x14ac:dyDescent="0.35">
      <c r="B34" t="s">
        <v>169</v>
      </c>
      <c r="C34" s="82">
        <f>C28+C24+C29+C30</f>
        <v>36601242.930101365</v>
      </c>
      <c r="D34" s="82">
        <f>D24+D28+D29+D30</f>
        <v>34245355.297517166</v>
      </c>
    </row>
    <row r="36" spans="2:8" s="162" customFormat="1" x14ac:dyDescent="0.35">
      <c r="B36" s="161" t="s">
        <v>166</v>
      </c>
    </row>
    <row r="38" spans="2:8" x14ac:dyDescent="0.35">
      <c r="B38" s="1" t="s">
        <v>477</v>
      </c>
    </row>
    <row r="39" spans="2:8" x14ac:dyDescent="0.35">
      <c r="B39" s="168"/>
      <c r="C39" s="168">
        <v>2019</v>
      </c>
      <c r="D39" s="168">
        <v>2023</v>
      </c>
      <c r="G39" s="109" t="s">
        <v>480</v>
      </c>
      <c r="H39" s="400">
        <v>0.4</v>
      </c>
    </row>
    <row r="40" spans="2:8" x14ac:dyDescent="0.35">
      <c r="B40" t="s">
        <v>178</v>
      </c>
      <c r="C40" s="82">
        <v>1140000</v>
      </c>
      <c r="D40" s="82">
        <v>2516240</v>
      </c>
      <c r="E40" s="170"/>
    </row>
    <row r="41" spans="2:8" x14ac:dyDescent="0.35">
      <c r="B41" t="s">
        <v>179</v>
      </c>
      <c r="C41" s="82">
        <v>393000</v>
      </c>
      <c r="D41" s="82">
        <v>534354</v>
      </c>
      <c r="E41" s="170"/>
    </row>
    <row r="43" spans="2:8" x14ac:dyDescent="0.35">
      <c r="B43" s="1" t="s">
        <v>174</v>
      </c>
    </row>
    <row r="44" spans="2:8" x14ac:dyDescent="0.35">
      <c r="B44" s="168"/>
      <c r="C44" s="168">
        <v>2019</v>
      </c>
      <c r="D44" s="168">
        <v>2023</v>
      </c>
    </row>
    <row r="45" spans="2:8" x14ac:dyDescent="0.35">
      <c r="B45" t="s">
        <v>478</v>
      </c>
      <c r="C45" s="82">
        <f>C40*$H$39</f>
        <v>456000</v>
      </c>
      <c r="D45" s="82">
        <f>D40*$H$39</f>
        <v>1006496</v>
      </c>
    </row>
    <row r="46" spans="2:8" x14ac:dyDescent="0.35">
      <c r="B46" t="s">
        <v>479</v>
      </c>
      <c r="C46" s="82">
        <f>C41*$H$39</f>
        <v>157200</v>
      </c>
      <c r="D46" s="82">
        <f>D41*$H$39</f>
        <v>213741.6</v>
      </c>
    </row>
    <row r="47" spans="2:8" x14ac:dyDescent="0.35">
      <c r="B47" t="s">
        <v>175</v>
      </c>
      <c r="C47" s="82">
        <f>C34-C46-C45</f>
        <v>35988042.930101365</v>
      </c>
      <c r="D47" s="82">
        <f>D34-D46-D45</f>
        <v>33025117.697517164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3474-A736-4B57-B081-F5C8453B6312}">
  <sheetPr codeName="Feuil7">
    <tabColor theme="4" tint="-0.249977111117893"/>
  </sheetPr>
  <dimension ref="B4:W33"/>
  <sheetViews>
    <sheetView topLeftCell="C1" workbookViewId="0">
      <selection activeCell="G13" sqref="G13"/>
    </sheetView>
  </sheetViews>
  <sheetFormatPr baseColWidth="10" defaultRowHeight="14.5" x14ac:dyDescent="0.35"/>
  <cols>
    <col min="3" max="3" width="27.26953125" customWidth="1"/>
    <col min="4" max="4" width="30.453125" customWidth="1"/>
  </cols>
  <sheetData>
    <row r="4" spans="2:23" s="41" customFormat="1" ht="26" x14ac:dyDescent="0.6">
      <c r="B4" s="177" t="s">
        <v>294</v>
      </c>
    </row>
    <row r="7" spans="2:23" s="310" customFormat="1" x14ac:dyDescent="0.35">
      <c r="B7" s="311">
        <v>2023</v>
      </c>
    </row>
    <row r="10" spans="2:23" x14ac:dyDescent="0.35">
      <c r="E10" s="20"/>
      <c r="F10" s="19"/>
      <c r="G10" s="574" t="s">
        <v>523</v>
      </c>
      <c r="H10" s="575"/>
      <c r="I10" s="575"/>
      <c r="J10" s="576"/>
      <c r="K10" s="574" t="s">
        <v>520</v>
      </c>
      <c r="L10" s="575"/>
      <c r="M10" s="575"/>
      <c r="N10" s="576"/>
      <c r="O10" s="574" t="s">
        <v>521</v>
      </c>
      <c r="P10" s="575"/>
      <c r="Q10" s="575"/>
      <c r="R10" s="576"/>
      <c r="S10" s="574" t="s">
        <v>522</v>
      </c>
      <c r="T10" s="575"/>
      <c r="U10" s="575"/>
      <c r="V10" s="575"/>
      <c r="W10" s="15"/>
    </row>
    <row r="11" spans="2:23" ht="15" thickBot="1" x14ac:dyDescent="0.4">
      <c r="B11" s="9" t="s">
        <v>16</v>
      </c>
      <c r="C11" s="10" t="s">
        <v>246</v>
      </c>
      <c r="D11" s="11" t="s">
        <v>17</v>
      </c>
      <c r="E11" s="13" t="s">
        <v>26</v>
      </c>
      <c r="F11" s="13" t="s">
        <v>27</v>
      </c>
      <c r="G11" s="9" t="s">
        <v>55</v>
      </c>
      <c r="H11" s="171" t="s">
        <v>18</v>
      </c>
      <c r="I11" s="171" t="s">
        <v>59</v>
      </c>
      <c r="J11" s="11" t="s">
        <v>19</v>
      </c>
      <c r="K11" s="9" t="s">
        <v>55</v>
      </c>
      <c r="L11" s="171" t="s">
        <v>18</v>
      </c>
      <c r="M11" s="171" t="s">
        <v>59</v>
      </c>
      <c r="N11" s="11" t="s">
        <v>19</v>
      </c>
      <c r="O11" s="9" t="s">
        <v>55</v>
      </c>
      <c r="P11" s="171" t="s">
        <v>18</v>
      </c>
      <c r="Q11" s="171" t="s">
        <v>59</v>
      </c>
      <c r="R11" s="11" t="s">
        <v>19</v>
      </c>
      <c r="S11" s="9" t="s">
        <v>55</v>
      </c>
      <c r="T11" s="171" t="s">
        <v>18</v>
      </c>
      <c r="U11" s="171" t="s">
        <v>59</v>
      </c>
      <c r="V11" s="171" t="s">
        <v>19</v>
      </c>
      <c r="W11" s="15"/>
    </row>
    <row r="12" spans="2:23" ht="15" thickTop="1" x14ac:dyDescent="0.35">
      <c r="B12" s="15">
        <v>2023</v>
      </c>
      <c r="C12" s="16" t="s">
        <v>295</v>
      </c>
      <c r="D12" t="s">
        <v>297</v>
      </c>
      <c r="E12" s="233">
        <f>'Mobilité pro. - Calcul'!D15</f>
        <v>4046157.6540000006</v>
      </c>
      <c r="F12" s="28" t="s">
        <v>138</v>
      </c>
      <c r="G12" s="233">
        <f>_xlfn.XLOOKUP($W12,'Facteur émissions'!$B:$B,'Facteur émissions'!D:D)*$E12/1000</f>
        <v>1074.9823055288757</v>
      </c>
      <c r="H12" s="297">
        <f>_xlfn.XLOOKUP($W12,'Facteur émissions'!$B:$B,'Facteur émissions'!E:E)*$E12/1000</f>
        <v>0</v>
      </c>
      <c r="I12" s="297">
        <f>_xlfn.XLOOKUP($W12,'Facteur émissions'!$B:$B,'Facteur émissions'!F:F)*$E12/1000</f>
        <v>0</v>
      </c>
      <c r="J12" s="359">
        <f>_xlfn.XLOOKUP($W12,'Facteur émissions'!$B:$B,'Facteur émissions'!G:G)*$E12/1000</f>
        <v>1074.9823055288757</v>
      </c>
      <c r="K12" s="233">
        <f>_xlfn.XLOOKUP($W12,'Facteur émissions'!$B:$B,'Facteur émissions'!H:H)*$E12/1000</f>
        <v>0</v>
      </c>
      <c r="L12" s="297">
        <f>_xlfn.XLOOKUP($W12,'Facteur émissions'!$B:$B,'Facteur émissions'!I:I)*$E12/1000</f>
        <v>0</v>
      </c>
      <c r="M12" s="297">
        <f>_xlfn.XLOOKUP($W12,'Facteur émissions'!$B:$B,'Facteur émissions'!J:J)*$E12/1000</f>
        <v>0</v>
      </c>
      <c r="N12" s="359">
        <f>_xlfn.XLOOKUP($W12,'Facteur émissions'!$B:$B,'Facteur émissions'!K:K)*$E12/1000</f>
        <v>0</v>
      </c>
      <c r="O12" s="233">
        <f>_xlfn.XLOOKUP($W12,'Facteur émissions'!$B:$B,'Facteur émissions'!L:L)*$E12/1000</f>
        <v>339.1933862540796</v>
      </c>
      <c r="P12" s="297">
        <f>_xlfn.XLOOKUP($W12,'Facteur émissions'!$B:$B,'Facteur émissions'!M:M)*$E12/1000</f>
        <v>0</v>
      </c>
      <c r="Q12" s="297">
        <f>_xlfn.XLOOKUP($W12,'Facteur émissions'!$B:$B,'Facteur émissions'!N:N)*$E12/1000</f>
        <v>0</v>
      </c>
      <c r="R12" s="359">
        <f>_xlfn.XLOOKUP($W12,'Facteur émissions'!$B:$B,'Facteur émissions'!O:O)*$E12/1000</f>
        <v>339.1933862540796</v>
      </c>
      <c r="S12" s="233">
        <f>_xlfn.XLOOKUP($W12,'Facteur émissions'!$B:$B,'Facteur émissions'!P:P)*$E12/1000</f>
        <v>1414.1756917829553</v>
      </c>
      <c r="T12" s="297">
        <f>_xlfn.XLOOKUP($W12,'Facteur émissions'!$B:$B,'Facteur émissions'!Q:Q)*$E12/1000</f>
        <v>0</v>
      </c>
      <c r="U12" s="297">
        <f>_xlfn.XLOOKUP($W12,'Facteur émissions'!$B:$B,'Facteur émissions'!R:R)*$E12/1000</f>
        <v>0</v>
      </c>
      <c r="V12" s="359">
        <f>_xlfn.XLOOKUP($W12,'Facteur émissions'!$B:$B,'Facteur émissions'!S:S)*$E12/1000</f>
        <v>1414.1756917829553</v>
      </c>
      <c r="W12" s="408" t="s">
        <v>144</v>
      </c>
    </row>
    <row r="13" spans="2:23" x14ac:dyDescent="0.35">
      <c r="B13" s="15">
        <v>2023</v>
      </c>
      <c r="C13" s="16"/>
      <c r="D13" t="s">
        <v>298</v>
      </c>
      <c r="E13" s="231">
        <f>'Mobilité pro. - Calcul'!D16</f>
        <v>11549406.624</v>
      </c>
      <c r="F13" s="28" t="s">
        <v>138</v>
      </c>
      <c r="G13" s="231">
        <f>_xlfn.XLOOKUP($W13,'Facteur émissions'!$B:$B,'Facteur émissions'!D:D)*$E13/1000 - 'Agriculture - Emissions'!J14</f>
        <v>2925.145392866174</v>
      </c>
      <c r="H13" s="115">
        <f>_xlfn.XLOOKUP($W13,'Facteur émissions'!$B:$B,'Facteur émissions'!E:E)*$E13/1000</f>
        <v>0</v>
      </c>
      <c r="I13" s="115">
        <f>_xlfn.XLOOKUP($W13,'Facteur émissions'!$B:$B,'Facteur émissions'!F:F)*$E13/1000</f>
        <v>0</v>
      </c>
      <c r="J13" s="359">
        <f>_xlfn.XLOOKUP($W13,'Facteur émissions'!$B:$B,'Facteur émissions'!G:G)*$E13/1000 - 'Agriculture - Emissions'!J14</f>
        <v>2925.145392866174</v>
      </c>
      <c r="K13" s="231">
        <f>_xlfn.XLOOKUP($W13,'Facteur émissions'!$B:$B,'Facteur émissions'!H:H)*$E13/1000</f>
        <v>0</v>
      </c>
      <c r="L13" s="115">
        <f>_xlfn.XLOOKUP($W13,'Facteur émissions'!$B:$B,'Facteur émissions'!I:I)*$E13/1000</f>
        <v>0</v>
      </c>
      <c r="M13" s="115">
        <f>_xlfn.XLOOKUP($W13,'Facteur émissions'!$B:$B,'Facteur émissions'!J:J)*$E13/1000</f>
        <v>0</v>
      </c>
      <c r="N13" s="359">
        <f>_xlfn.XLOOKUP($W13,'Facteur émissions'!$B:$B,'Facteur émissions'!K:K)*$E13/1000</f>
        <v>0</v>
      </c>
      <c r="O13" s="231">
        <f>_xlfn.XLOOKUP($W13,'Facteur émissions'!$B:$B,'Facteur émissions'!L:L)*$E13/1000</f>
        <v>976.59633959177211</v>
      </c>
      <c r="P13" s="115">
        <f>_xlfn.XLOOKUP($W13,'Facteur émissions'!$B:$B,'Facteur émissions'!M:M)*$E13/1000</f>
        <v>0</v>
      </c>
      <c r="Q13" s="115">
        <f>_xlfn.XLOOKUP($W13,'Facteur émissions'!$B:$B,'Facteur émissions'!N:N)*$E13/1000</f>
        <v>0</v>
      </c>
      <c r="R13" s="359">
        <f>_xlfn.XLOOKUP($W13,'Facteur émissions'!$B:$B,'Facteur émissions'!O:O)*$E13/1000</f>
        <v>976.59633959177211</v>
      </c>
      <c r="S13" s="231">
        <f>J13+R13</f>
        <v>3901.741732457946</v>
      </c>
      <c r="T13" s="115">
        <f>_xlfn.XLOOKUP($W13,'Facteur émissions'!$B:$B,'Facteur émissions'!Q:Q)*$E13/1000</f>
        <v>0</v>
      </c>
      <c r="U13" s="115">
        <f>_xlfn.XLOOKUP($W13,'Facteur émissions'!$B:$B,'Facteur émissions'!R:R)*$E13/1000</f>
        <v>0</v>
      </c>
      <c r="V13" s="359">
        <f>J13+R13</f>
        <v>3901.741732457946</v>
      </c>
      <c r="W13" s="408" t="s">
        <v>145</v>
      </c>
    </row>
    <row r="14" spans="2:23" x14ac:dyDescent="0.35">
      <c r="B14" s="15">
        <v>2023</v>
      </c>
      <c r="C14" s="16"/>
      <c r="D14" s="17" t="s">
        <v>519</v>
      </c>
      <c r="E14" s="82">
        <f>'Mobilité pro. - Calcul'!D46+SUM('Mobilité pro. - Calcul'!D38:D42)</f>
        <v>6997750.8571428573</v>
      </c>
      <c r="F14" s="166" t="s">
        <v>289</v>
      </c>
      <c r="G14" s="231">
        <v>0</v>
      </c>
      <c r="H14" s="115">
        <f>_xlfn.XLOOKUP($W14,'Facteur émissions'!$B:$B,'Facteur émissions'!E:E)*$E14/1000</f>
        <v>0</v>
      </c>
      <c r="I14" s="115">
        <f>_xlfn.XLOOKUP($W14,'Facteur émissions'!$B:$B,'Facteur émissions'!F:F)*$E14/1000</f>
        <v>0</v>
      </c>
      <c r="J14" s="359">
        <v>0</v>
      </c>
      <c r="K14" s="231">
        <f>_xlfn.XLOOKUP($W14,'Facteur émissions'!$B:$B,'Facteur émissions'!H:H)*$E14/1000</f>
        <v>0</v>
      </c>
      <c r="L14" s="115">
        <f>_xlfn.XLOOKUP($W14,'Facteur émissions'!$B:$B,'Facteur émissions'!I:I)*$E14/1000</f>
        <v>0</v>
      </c>
      <c r="M14" s="115">
        <f>_xlfn.XLOOKUP($W14,'Facteur émissions'!$B:$B,'Facteur émissions'!J:J)*$E14/1000</f>
        <v>0</v>
      </c>
      <c r="N14" s="432">
        <f>_xlfn.XLOOKUP($W14,'Facteur émissions'!$B:$B,'Facteur émissions'!K:K)*$E14/1000</f>
        <v>0</v>
      </c>
      <c r="O14" s="115">
        <f>V14</f>
        <v>2084.9816313036249</v>
      </c>
      <c r="P14" s="115">
        <f>_xlfn.XLOOKUP($W14,'Facteur émissions'!$B:$B,'Facteur émissions'!M:M)*$E14/1000</f>
        <v>0</v>
      </c>
      <c r="Q14" s="115">
        <f>_xlfn.XLOOKUP($W14,'Facteur émissions'!$B:$B,'Facteur émissions'!N:N)*$E14/1000</f>
        <v>0</v>
      </c>
      <c r="R14" s="359">
        <f>V14</f>
        <v>2084.9816313036249</v>
      </c>
      <c r="S14" s="231">
        <f>_xlfn.XLOOKUP($W14,'Facteur émissions'!$B:$B,'Facteur émissions'!P:P)*$E14/1000</f>
        <v>2084.9816313036249</v>
      </c>
      <c r="T14" s="115">
        <f>_xlfn.XLOOKUP($W14,'Facteur émissions'!$B:$B,'Facteur émissions'!Q:Q)*$E14/1000</f>
        <v>0</v>
      </c>
      <c r="U14" s="115">
        <f>_xlfn.XLOOKUP($W14,'Facteur émissions'!$B:$B,'Facteur émissions'!R:R)*$E14/1000</f>
        <v>0</v>
      </c>
      <c r="V14" s="359">
        <f>_xlfn.XLOOKUP($W14,'Facteur émissions'!$B:$B,'Facteur émissions'!S:S)*$E14/1000</f>
        <v>2084.9816313036249</v>
      </c>
      <c r="W14" s="408" t="s">
        <v>598</v>
      </c>
    </row>
    <row r="15" spans="2:23" x14ac:dyDescent="0.35">
      <c r="B15" s="15">
        <v>2023</v>
      </c>
      <c r="C15" s="16"/>
      <c r="D15" s="17" t="s">
        <v>296</v>
      </c>
      <c r="E15" s="82">
        <f>'Mobilité pro. - Calcul'!D62</f>
        <v>5062620.4264000291</v>
      </c>
      <c r="F15" s="28" t="s">
        <v>289</v>
      </c>
      <c r="G15" s="537">
        <f>_xlfn.XLOOKUP($W15,'Facteur émissions'!$B:$B,'Facteur émissions'!D:D)*$E15/1000</f>
        <v>0.26238930390548248</v>
      </c>
      <c r="H15" s="114">
        <f>_xlfn.XLOOKUP($W15,'Facteur émissions'!$B:$B,'Facteur émissions'!E:E)*$E15/1000</f>
        <v>0</v>
      </c>
      <c r="I15" s="114">
        <f>_xlfn.XLOOKUP($W15,'Facteur émissions'!$B:$B,'Facteur émissions'!F:F)*$E15/1000</f>
        <v>0</v>
      </c>
      <c r="J15" s="549">
        <f>_xlfn.XLOOKUP($W15,'Facteur émissions'!$B:$B,'Facteur émissions'!G:G)*$E15/1000</f>
        <v>0.26238930390548248</v>
      </c>
      <c r="K15" s="537">
        <f>_xlfn.XLOOKUP($W15,'Facteur émissions'!$B:$B,'Facteur émissions'!H:H)*$E15/1000</f>
        <v>0</v>
      </c>
      <c r="L15" s="114">
        <f>_xlfn.XLOOKUP($W15,'Facteur émissions'!$B:$B,'Facteur émissions'!I:I)*$E15/1000</f>
        <v>0</v>
      </c>
      <c r="M15" s="114">
        <f>_xlfn.XLOOKUP($W15,'Facteur émissions'!$B:$B,'Facteur émissions'!J:J)*$E15/1000</f>
        <v>0</v>
      </c>
      <c r="N15" s="549">
        <f>_xlfn.XLOOKUP($W15,'Facteur émissions'!$B:$B,'Facteur émissions'!K:K)*$E15/1000</f>
        <v>0</v>
      </c>
      <c r="O15" s="537">
        <f>S15</f>
        <v>35.564527896363131</v>
      </c>
      <c r="P15" s="114">
        <f>_xlfn.XLOOKUP($W15,'Facteur émissions'!$B:$B,'Facteur émissions'!M:M)*$E15/1000</f>
        <v>0</v>
      </c>
      <c r="Q15" s="114">
        <f>_xlfn.XLOOKUP($W15,'Facteur émissions'!$B:$B,'Facteur émissions'!N:N)*$E15/1000</f>
        <v>0</v>
      </c>
      <c r="R15" s="549">
        <f>V15</f>
        <v>35.564527896363131</v>
      </c>
      <c r="S15" s="537">
        <f>_xlfn.XLOOKUP($W15,'Facteur émissions'!$B:$B,'Facteur émissions'!P:P)*$E15/1000</f>
        <v>35.564527896363131</v>
      </c>
      <c r="T15" s="114">
        <f>_xlfn.XLOOKUP($W15,'Facteur émissions'!$B:$B,'Facteur émissions'!Q:Q)*$E15/1000</f>
        <v>0</v>
      </c>
      <c r="U15" s="114">
        <f>_xlfn.XLOOKUP($W15,'Facteur émissions'!$B:$B,'Facteur émissions'!R:R)*$E15/1000</f>
        <v>0</v>
      </c>
      <c r="V15" s="538">
        <f>_xlfn.XLOOKUP($W15,'Facteur émissions'!$B:$B,'Facteur émissions'!S:S)*$E15/1000</f>
        <v>35.564527896363131</v>
      </c>
      <c r="W15" s="408" t="s">
        <v>379</v>
      </c>
    </row>
    <row r="16" spans="2:23" x14ac:dyDescent="0.35">
      <c r="B16" s="21" t="s">
        <v>23</v>
      </c>
      <c r="C16" s="22"/>
      <c r="D16" s="23"/>
      <c r="E16" s="24"/>
      <c r="F16" s="24"/>
      <c r="G16" s="152">
        <f t="shared" ref="G16:R16" si="0">SUM(G12:G15)</f>
        <v>4000.3900876989551</v>
      </c>
      <c r="H16" s="153">
        <f t="shared" si="0"/>
        <v>0</v>
      </c>
      <c r="I16" s="153">
        <f t="shared" si="0"/>
        <v>0</v>
      </c>
      <c r="J16" s="154">
        <f t="shared" si="0"/>
        <v>4000.3900876989551</v>
      </c>
      <c r="K16" s="282">
        <f t="shared" si="0"/>
        <v>0</v>
      </c>
      <c r="L16" s="282">
        <f t="shared" si="0"/>
        <v>0</v>
      </c>
      <c r="M16" s="282">
        <f t="shared" si="0"/>
        <v>0</v>
      </c>
      <c r="N16" s="156">
        <f>SUM(N12:N15)</f>
        <v>0</v>
      </c>
      <c r="O16" s="152">
        <f t="shared" si="0"/>
        <v>3436.3358850458399</v>
      </c>
      <c r="P16" s="153">
        <f t="shared" si="0"/>
        <v>0</v>
      </c>
      <c r="Q16" s="153">
        <f t="shared" si="0"/>
        <v>0</v>
      </c>
      <c r="R16" s="154">
        <f t="shared" si="0"/>
        <v>3436.3358850458399</v>
      </c>
      <c r="S16" s="152">
        <f>G16+O16+K16</f>
        <v>7436.7259727447945</v>
      </c>
      <c r="T16" s="153">
        <f t="shared" ref="T16:U16" si="1">H16+P16+L16</f>
        <v>0</v>
      </c>
      <c r="U16" s="153">
        <f t="shared" si="1"/>
        <v>0</v>
      </c>
      <c r="V16" s="156">
        <f>J16+R16+N16</f>
        <v>7436.7259727447945</v>
      </c>
      <c r="W16" s="15"/>
    </row>
    <row r="17" spans="2:23" x14ac:dyDescent="0.35"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2:23" x14ac:dyDescent="0.35"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2:23" s="310" customFormat="1" x14ac:dyDescent="0.35">
      <c r="B19" s="311">
        <v>2019</v>
      </c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</row>
    <row r="20" spans="2:23" x14ac:dyDescent="0.35"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</row>
    <row r="21" spans="2:23" x14ac:dyDescent="0.35"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2:23" x14ac:dyDescent="0.35">
      <c r="E22" s="20"/>
      <c r="F22" s="19"/>
      <c r="G22" s="579" t="s">
        <v>523</v>
      </c>
      <c r="H22" s="580"/>
      <c r="I22" s="580"/>
      <c r="J22" s="581"/>
      <c r="K22" s="579" t="s">
        <v>520</v>
      </c>
      <c r="L22" s="580"/>
      <c r="M22" s="580"/>
      <c r="N22" s="581"/>
      <c r="O22" s="579" t="s">
        <v>521</v>
      </c>
      <c r="P22" s="580"/>
      <c r="Q22" s="580"/>
      <c r="R22" s="581"/>
      <c r="S22" s="579" t="s">
        <v>522</v>
      </c>
      <c r="T22" s="580"/>
      <c r="U22" s="580"/>
      <c r="V22" s="580"/>
      <c r="W22" s="15"/>
    </row>
    <row r="23" spans="2:23" ht="15" thickBot="1" x14ac:dyDescent="0.4">
      <c r="B23" s="9" t="s">
        <v>16</v>
      </c>
      <c r="C23" s="10" t="s">
        <v>246</v>
      </c>
      <c r="D23" s="11" t="s">
        <v>17</v>
      </c>
      <c r="E23" s="13" t="s">
        <v>26</v>
      </c>
      <c r="F23" s="13" t="s">
        <v>27</v>
      </c>
      <c r="G23" s="545" t="s">
        <v>55</v>
      </c>
      <c r="H23" s="546" t="s">
        <v>18</v>
      </c>
      <c r="I23" s="546" t="s">
        <v>59</v>
      </c>
      <c r="J23" s="547" t="s">
        <v>19</v>
      </c>
      <c r="K23" s="545" t="s">
        <v>55</v>
      </c>
      <c r="L23" s="546" t="s">
        <v>18</v>
      </c>
      <c r="M23" s="546" t="s">
        <v>59</v>
      </c>
      <c r="N23" s="547" t="s">
        <v>19</v>
      </c>
      <c r="O23" s="545" t="s">
        <v>55</v>
      </c>
      <c r="P23" s="546" t="s">
        <v>18</v>
      </c>
      <c r="Q23" s="546" t="s">
        <v>59</v>
      </c>
      <c r="R23" s="547" t="s">
        <v>19</v>
      </c>
      <c r="S23" s="545" t="s">
        <v>55</v>
      </c>
      <c r="T23" s="546" t="s">
        <v>18</v>
      </c>
      <c r="U23" s="546" t="s">
        <v>59</v>
      </c>
      <c r="V23" s="546" t="s">
        <v>19</v>
      </c>
      <c r="W23" s="15"/>
    </row>
    <row r="24" spans="2:23" ht="15" thickTop="1" x14ac:dyDescent="0.35">
      <c r="B24" s="15">
        <v>2019</v>
      </c>
      <c r="C24" s="16" t="s">
        <v>295</v>
      </c>
      <c r="D24" t="s">
        <v>297</v>
      </c>
      <c r="E24" s="233">
        <f>'Mobilité pro. - Calcul'!C15</f>
        <v>4736332.2930000005</v>
      </c>
      <c r="F24" s="28" t="s">
        <v>138</v>
      </c>
      <c r="G24" s="233">
        <f>_xlfn.XLOOKUP($W24,'Facteur émissions'!$B:$B,'Facteur émissions'!D:D)*$E24/1000</f>
        <v>1258.3477569260347</v>
      </c>
      <c r="H24" s="297">
        <f>_xlfn.XLOOKUP($W24,'Facteur émissions'!$B:$B,'Facteur émissions'!E:E)*$E24/1000</f>
        <v>0</v>
      </c>
      <c r="I24" s="297">
        <f>_xlfn.XLOOKUP($W24,'Facteur émissions'!$B:$B,'Facteur émissions'!F:F)*$E24/1000</f>
        <v>0</v>
      </c>
      <c r="J24" s="359">
        <f>_xlfn.XLOOKUP($W24,'Facteur émissions'!$B:$B,'Facteur émissions'!G:G)*$E24/1000</f>
        <v>1258.3477569260347</v>
      </c>
      <c r="K24" s="233">
        <f>_xlfn.XLOOKUP($W24,'Facteur émissions'!$B:$B,'Facteur émissions'!H:H)*$E24/1000</f>
        <v>0</v>
      </c>
      <c r="L24" s="297">
        <f>_xlfn.XLOOKUP($W24,'Facteur émissions'!$B:$B,'Facteur émissions'!I:I)*$E24/1000</f>
        <v>0</v>
      </c>
      <c r="M24" s="297">
        <f>_xlfn.XLOOKUP($W24,'Facteur émissions'!$B:$B,'Facteur émissions'!J:J)*$E24/1000</f>
        <v>0</v>
      </c>
      <c r="N24" s="359">
        <f>_xlfn.XLOOKUP($W24,'Facteur émissions'!$B:$B,'Facteur émissions'!K:K)*$E24/1000</f>
        <v>0</v>
      </c>
      <c r="O24" s="233">
        <f>_xlfn.XLOOKUP($W24,'Facteur émissions'!$B:$B,'Facteur émissions'!L:L)*$E24/1000</f>
        <v>397.05140685732147</v>
      </c>
      <c r="P24" s="297">
        <f>_xlfn.XLOOKUP($W24,'Facteur émissions'!$B:$B,'Facteur émissions'!M:M)*$E24/1000</f>
        <v>0</v>
      </c>
      <c r="Q24" s="297">
        <f>_xlfn.XLOOKUP($W24,'Facteur émissions'!$B:$B,'Facteur émissions'!N:N)*$E24/1000</f>
        <v>0</v>
      </c>
      <c r="R24" s="359">
        <f>_xlfn.XLOOKUP($W24,'Facteur émissions'!$B:$B,'Facteur émissions'!O:O)*$E24/1000</f>
        <v>397.05140685732147</v>
      </c>
      <c r="S24" s="233">
        <f>_xlfn.XLOOKUP($W24,'Facteur émissions'!$B:$B,'Facteur émissions'!P:P)*$E24/1000</f>
        <v>1655.399163783356</v>
      </c>
      <c r="T24" s="297">
        <f>_xlfn.XLOOKUP($W24,'Facteur émissions'!$B:$B,'Facteur émissions'!Q:Q)*$E24/1000</f>
        <v>0</v>
      </c>
      <c r="U24" s="297">
        <f>_xlfn.XLOOKUP($W24,'Facteur émissions'!$B:$B,'Facteur émissions'!R:R)*$E24/1000</f>
        <v>0</v>
      </c>
      <c r="V24" s="359">
        <f>_xlfn.XLOOKUP($W24,'Facteur émissions'!$B:$B,'Facteur émissions'!S:S)*$E24/1000</f>
        <v>1655.399163783356</v>
      </c>
      <c r="W24" s="408" t="s">
        <v>144</v>
      </c>
    </row>
    <row r="25" spans="2:23" x14ac:dyDescent="0.35">
      <c r="B25" s="15">
        <v>2019</v>
      </c>
      <c r="C25" s="16"/>
      <c r="D25" t="s">
        <v>298</v>
      </c>
      <c r="E25" s="231">
        <f>'Mobilité pro. - Calcul'!C16</f>
        <v>12086476.416000001</v>
      </c>
      <c r="F25" s="28" t="s">
        <v>138</v>
      </c>
      <c r="G25" s="231">
        <f>_xlfn.XLOOKUP($W25,'Facteur émissions'!$B:$B,'Facteur émissions'!D:D)*$E25/1000 - 'Agriculture - Calcul'!C120</f>
        <v>3065.6887169751658</v>
      </c>
      <c r="H25" s="115">
        <f>_xlfn.XLOOKUP($W25,'Facteur émissions'!$B:$B,'Facteur émissions'!E:E)*$E25/1000</f>
        <v>0</v>
      </c>
      <c r="I25" s="115">
        <f>_xlfn.XLOOKUP($W25,'Facteur émissions'!$B:$B,'Facteur émissions'!F:F)*$E25/1000</f>
        <v>0</v>
      </c>
      <c r="J25" s="359">
        <f>_xlfn.XLOOKUP($W25,'Facteur émissions'!$B:$B,'Facteur émissions'!G:G)*$E25/1000 - 'Agriculture - Calcul'!C120</f>
        <v>3065.6887169751658</v>
      </c>
      <c r="K25" s="231">
        <f>_xlfn.XLOOKUP($W25,'Facteur émissions'!$B:$B,'Facteur émissions'!H:H)*$E25/1000</f>
        <v>0</v>
      </c>
      <c r="L25" s="115">
        <f>_xlfn.XLOOKUP($W25,'Facteur émissions'!$B:$B,'Facteur émissions'!I:I)*$E25/1000</f>
        <v>0</v>
      </c>
      <c r="M25" s="115">
        <f>_xlfn.XLOOKUP($W25,'Facteur émissions'!$B:$B,'Facteur émissions'!J:J)*$E25/1000</f>
        <v>0</v>
      </c>
      <c r="N25" s="359">
        <f>_xlfn.XLOOKUP($W25,'Facteur émissions'!$B:$B,'Facteur émissions'!K:K)*$E25/1000</f>
        <v>0</v>
      </c>
      <c r="O25" s="231">
        <f>_xlfn.XLOOKUP($W25,'Facteur émissions'!$B:$B,'Facteur émissions'!L:L)*$E25/1000</f>
        <v>1022.0099621308374</v>
      </c>
      <c r="P25" s="115">
        <f>_xlfn.XLOOKUP($W25,'Facteur émissions'!$B:$B,'Facteur émissions'!M:M)*$E25/1000</f>
        <v>0</v>
      </c>
      <c r="Q25" s="115">
        <f>_xlfn.XLOOKUP($W25,'Facteur émissions'!$B:$B,'Facteur émissions'!N:N)*$E25/1000</f>
        <v>0</v>
      </c>
      <c r="R25" s="359">
        <f>_xlfn.XLOOKUP($W25,'Facteur émissions'!$B:$B,'Facteur émissions'!O:O)*$E25/1000</f>
        <v>1022.0099621308374</v>
      </c>
      <c r="S25" s="231">
        <f>_xlfn.XLOOKUP($W25,'Facteur émissions'!$B:$B,'Facteur émissions'!P:P)*$E25/1000</f>
        <v>3964.3642644480005</v>
      </c>
      <c r="T25" s="115">
        <f>_xlfn.XLOOKUP($W25,'Facteur émissions'!$B:$B,'Facteur émissions'!Q:Q)*$E25/1000</f>
        <v>0</v>
      </c>
      <c r="U25" s="115">
        <f>_xlfn.XLOOKUP($W25,'Facteur émissions'!$B:$B,'Facteur émissions'!R:R)*$E25/1000</f>
        <v>0</v>
      </c>
      <c r="V25" s="359">
        <f>_xlfn.XLOOKUP($W25,'Facteur émissions'!$B:$B,'Facteur émissions'!S:S)*$E25/1000</f>
        <v>3964.3642644480005</v>
      </c>
      <c r="W25" s="408" t="s">
        <v>145</v>
      </c>
    </row>
    <row r="26" spans="2:23" x14ac:dyDescent="0.35">
      <c r="B26" s="15">
        <v>2019</v>
      </c>
      <c r="C26" s="16"/>
      <c r="D26" s="17" t="s">
        <v>519</v>
      </c>
      <c r="E26" s="82">
        <f>SUM('Mobilité pro. - Calcul'!C38:C40)+'Mobilité pro. - Calcul'!C46</f>
        <v>7220819.043220059</v>
      </c>
      <c r="F26" s="166" t="s">
        <v>289</v>
      </c>
      <c r="G26" s="231">
        <v>0</v>
      </c>
      <c r="H26" s="115">
        <f>_xlfn.XLOOKUP($W26,'Facteur émissions'!$B:$B,'Facteur émissions'!E:E)*$E26/1000</f>
        <v>0</v>
      </c>
      <c r="I26" s="115">
        <f>_xlfn.XLOOKUP($W26,'Facteur émissions'!$B:$B,'Facteur émissions'!F:F)*$E26/1000</f>
        <v>0</v>
      </c>
      <c r="J26" s="359">
        <v>0</v>
      </c>
      <c r="K26" s="231">
        <f>_xlfn.XLOOKUP($W26,'Facteur émissions'!$B:$B,'Facteur émissions'!H:H)*$E26/1000</f>
        <v>0</v>
      </c>
      <c r="L26" s="115">
        <f>_xlfn.XLOOKUP($W26,'Facteur émissions'!$B:$B,'Facteur émissions'!I:I)*$E26/1000</f>
        <v>0</v>
      </c>
      <c r="M26" s="115">
        <f>_xlfn.XLOOKUP($W26,'Facteur émissions'!$B:$B,'Facteur émissions'!J:J)*$E26/1000</f>
        <v>0</v>
      </c>
      <c r="N26" s="359">
        <f>_xlfn.XLOOKUP($W26,'Facteur émissions'!$B:$B,'Facteur émissions'!K:K)*$E26/1000</f>
        <v>0</v>
      </c>
      <c r="O26" s="231">
        <f>S26</f>
        <v>2476.062888593593</v>
      </c>
      <c r="P26" s="115">
        <f>_xlfn.XLOOKUP($W26,'Facteur émissions'!$B:$B,'Facteur émissions'!M:M)*$E26/1000</f>
        <v>0</v>
      </c>
      <c r="Q26" s="115">
        <f>_xlfn.XLOOKUP($W26,'Facteur émissions'!$B:$B,'Facteur émissions'!N:N)*$E26/1000</f>
        <v>0</v>
      </c>
      <c r="R26" s="359">
        <f>V26</f>
        <v>2507.0614316327337</v>
      </c>
      <c r="S26" s="231">
        <f>_xlfn.XLOOKUP($W26,'Facteur émissions'!$B:$B,'Facteur émissions'!P:P)*$E26/1000*eff_voiture_2019_2023</f>
        <v>2476.062888593593</v>
      </c>
      <c r="T26" s="115">
        <f>_xlfn.XLOOKUP($W26,'Facteur émissions'!$B:$B,'Facteur émissions'!Q:Q)*$E26/1000*eff_voiture_2019_2023</f>
        <v>0</v>
      </c>
      <c r="U26" s="115">
        <f>_xlfn.XLOOKUP($W26,'Facteur émissions'!$B:$B,'Facteur émissions'!R:R)*$E26/1000*eff_voiture_2019_2023</f>
        <v>0</v>
      </c>
      <c r="V26" s="359">
        <f>_xlfn.XLOOKUP($W26,'Facteur émissions'!$B:$B,'Facteur émissions'!S:S)*$E26/1000*eff_voiture_2019_2023</f>
        <v>2507.0614316327337</v>
      </c>
      <c r="W26" s="408" t="s">
        <v>597</v>
      </c>
    </row>
    <row r="27" spans="2:23" x14ac:dyDescent="0.35">
      <c r="B27" s="15">
        <v>2019</v>
      </c>
      <c r="C27" s="16"/>
      <c r="D27" s="17" t="s">
        <v>296</v>
      </c>
      <c r="E27" s="82">
        <f>'Mobilité pro. - Calcul'!C62</f>
        <v>4626459.333333333</v>
      </c>
      <c r="F27" s="28" t="s">
        <v>289</v>
      </c>
      <c r="G27" s="537">
        <f>_xlfn.XLOOKUP($W27,'Facteur émissions'!$B:$B,'Facteur émissions'!D:D)*$E27/1000</f>
        <v>0.23978361831948952</v>
      </c>
      <c r="H27" s="114">
        <f>_xlfn.XLOOKUP($W27,'Facteur émissions'!$B:$B,'Facteur émissions'!E:E)*$E27/1000</f>
        <v>0</v>
      </c>
      <c r="I27" s="114">
        <f>_xlfn.XLOOKUP($W27,'Facteur émissions'!$B:$B,'Facteur émissions'!F:F)*$E27/1000</f>
        <v>0</v>
      </c>
      <c r="J27" s="549">
        <f>_xlfn.XLOOKUP($W27,'Facteur émissions'!$B:$B,'Facteur émissions'!G:G)*$E27/1000</f>
        <v>0.23978361831948952</v>
      </c>
      <c r="K27" s="537">
        <f>_xlfn.XLOOKUP($W27,'Facteur émissions'!$B:$B,'Facteur émissions'!H:H)*$E27/1000</f>
        <v>0</v>
      </c>
      <c r="L27" s="114">
        <f>_xlfn.XLOOKUP($W27,'Facteur émissions'!$B:$B,'Facteur émissions'!I:I)*$E27/1000</f>
        <v>0</v>
      </c>
      <c r="M27" s="114">
        <f>_xlfn.XLOOKUP($W27,'Facteur émissions'!$B:$B,'Facteur émissions'!J:J)*$E27/1000</f>
        <v>0</v>
      </c>
      <c r="N27" s="549">
        <f>_xlfn.XLOOKUP($W27,'Facteur émissions'!$B:$B,'Facteur émissions'!K:K)*$E27/1000</f>
        <v>0</v>
      </c>
      <c r="O27" s="537">
        <f>S27</f>
        <v>32.500529007410464</v>
      </c>
      <c r="P27" s="114">
        <f>_xlfn.XLOOKUP($W27,'Facteur émissions'!$B:$B,'Facteur émissions'!M:M)*$E27/1000</f>
        <v>0</v>
      </c>
      <c r="Q27" s="114">
        <f>_xlfn.XLOOKUP($W27,'Facteur émissions'!$B:$B,'Facteur émissions'!N:N)*$E27/1000</f>
        <v>0</v>
      </c>
      <c r="R27" s="549">
        <f>V27</f>
        <v>32.500529007410464</v>
      </c>
      <c r="S27" s="537">
        <f>_xlfn.XLOOKUP($W27,'Facteur émissions'!$B:$B,'Facteur émissions'!P:P)*$E27/1000</f>
        <v>32.500529007410464</v>
      </c>
      <c r="T27" s="114">
        <f>_xlfn.XLOOKUP($W27,'Facteur émissions'!$B:$B,'Facteur émissions'!Q:Q)*$E27/1000</f>
        <v>0</v>
      </c>
      <c r="U27" s="114">
        <f>_xlfn.XLOOKUP($W27,'Facteur émissions'!$B:$B,'Facteur émissions'!R:R)*$E27/1000</f>
        <v>0</v>
      </c>
      <c r="V27" s="538">
        <f>_xlfn.XLOOKUP($W27,'Facteur émissions'!$B:$B,'Facteur émissions'!S:S)*$E27/1000</f>
        <v>32.500529007410464</v>
      </c>
      <c r="W27" s="408" t="s">
        <v>379</v>
      </c>
    </row>
    <row r="28" spans="2:23" x14ac:dyDescent="0.35">
      <c r="B28" s="21" t="s">
        <v>23</v>
      </c>
      <c r="C28" s="22"/>
      <c r="D28" s="23"/>
      <c r="E28" s="24"/>
      <c r="F28" s="24"/>
      <c r="G28" s="152">
        <f t="shared" ref="G28:R28" si="2">SUM(G24:G27)</f>
        <v>4324.2762575195193</v>
      </c>
      <c r="H28" s="153">
        <f t="shared" si="2"/>
        <v>0</v>
      </c>
      <c r="I28" s="153">
        <f t="shared" si="2"/>
        <v>0</v>
      </c>
      <c r="J28" s="154">
        <f t="shared" si="2"/>
        <v>4324.2762575195193</v>
      </c>
      <c r="K28" s="282">
        <f t="shared" si="2"/>
        <v>0</v>
      </c>
      <c r="L28" s="282">
        <f t="shared" si="2"/>
        <v>0</v>
      </c>
      <c r="M28" s="282">
        <f t="shared" si="2"/>
        <v>0</v>
      </c>
      <c r="N28" s="156">
        <f t="shared" si="2"/>
        <v>0</v>
      </c>
      <c r="O28" s="152">
        <f t="shared" si="2"/>
        <v>3927.6247865891623</v>
      </c>
      <c r="P28" s="153">
        <f t="shared" si="2"/>
        <v>0</v>
      </c>
      <c r="Q28" s="153">
        <f t="shared" si="2"/>
        <v>0</v>
      </c>
      <c r="R28" s="154">
        <f t="shared" si="2"/>
        <v>3958.6233296283031</v>
      </c>
      <c r="S28" s="152">
        <f t="shared" ref="S28" si="3">G28+O28+K28</f>
        <v>8251.9010441086812</v>
      </c>
      <c r="T28" s="153">
        <f t="shared" ref="T28" si="4">H28+P28+L28</f>
        <v>0</v>
      </c>
      <c r="U28" s="153">
        <f t="shared" ref="U28" si="5">I28+Q28+M28</f>
        <v>0</v>
      </c>
      <c r="V28" s="153">
        <f t="shared" ref="V28" si="6">J28+R28+N28</f>
        <v>8282.8995871478219</v>
      </c>
      <c r="W28" s="15"/>
    </row>
    <row r="31" spans="2:23" x14ac:dyDescent="0.35">
      <c r="J31" s="76">
        <f>-1+J16/J28</f>
        <v>-7.4899509312652213E-2</v>
      </c>
      <c r="V31" s="76">
        <f>-1+V16/V28</f>
        <v>-0.10215910569723607</v>
      </c>
    </row>
    <row r="32" spans="2:23" x14ac:dyDescent="0.35">
      <c r="O32" s="38"/>
      <c r="T32" s="28"/>
    </row>
    <row r="33" spans="17:17" x14ac:dyDescent="0.35">
      <c r="Q33" s="38"/>
    </row>
  </sheetData>
  <sheetProtection algorithmName="SHA-512" hashValue="Pr/Hf6/o8g03GDazbMd9sgoJ0ea8X+KEpy4tbsnKbfXOxj13lLRkRHw7imtlrevGIS7UNeixjg6zoaalgPLx6w==" saltValue="EpKSgJYMYqrK5asHJnNC0w==" spinCount="100000" sheet="1" objects="1" scenarios="1"/>
  <mergeCells count="8">
    <mergeCell ref="G10:J10"/>
    <mergeCell ref="K10:N10"/>
    <mergeCell ref="O10:R10"/>
    <mergeCell ref="S10:V10"/>
    <mergeCell ref="G22:J22"/>
    <mergeCell ref="K22:N22"/>
    <mergeCell ref="O22:R22"/>
    <mergeCell ref="S22:V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53BF-F5B2-41D0-931E-D82819EDA20E}">
  <sheetPr codeName="Feuil8">
    <tabColor theme="4" tint="-0.249977111117893"/>
  </sheetPr>
  <dimension ref="A2:J62"/>
  <sheetViews>
    <sheetView zoomScale="112" workbookViewId="0">
      <selection activeCell="E26" sqref="E26"/>
    </sheetView>
  </sheetViews>
  <sheetFormatPr baseColWidth="10" defaultRowHeight="14.5" x14ac:dyDescent="0.35"/>
  <cols>
    <col min="2" max="2" width="44.90625" customWidth="1"/>
    <col min="3" max="3" width="13.7265625" customWidth="1"/>
    <col min="4" max="4" width="13.54296875" customWidth="1"/>
    <col min="7" max="7" width="15.7265625" customWidth="1"/>
    <col min="8" max="8" width="15.81640625" customWidth="1"/>
  </cols>
  <sheetData>
    <row r="2" spans="2:9" s="41" customFormat="1" ht="26" x14ac:dyDescent="0.6">
      <c r="B2" s="177" t="s">
        <v>181</v>
      </c>
    </row>
    <row r="4" spans="2:9" s="187" customFormat="1" x14ac:dyDescent="0.35">
      <c r="B4" s="187" t="s">
        <v>367</v>
      </c>
    </row>
    <row r="6" spans="2:9" x14ac:dyDescent="0.35">
      <c r="B6" s="179" t="s">
        <v>182</v>
      </c>
      <c r="C6" s="180">
        <v>2019</v>
      </c>
      <c r="D6" s="180">
        <v>2023</v>
      </c>
    </row>
    <row r="7" spans="2:9" x14ac:dyDescent="0.35">
      <c r="B7" s="181" t="s">
        <v>183</v>
      </c>
      <c r="C7" s="178">
        <f>1676485-1160376</f>
        <v>516109</v>
      </c>
      <c r="D7" s="178">
        <f>440209+693</f>
        <v>440902</v>
      </c>
      <c r="G7" s="179" t="s">
        <v>322</v>
      </c>
      <c r="H7" s="179"/>
      <c r="I7" s="179"/>
    </row>
    <row r="8" spans="2:9" x14ac:dyDescent="0.35">
      <c r="B8" s="181" t="s">
        <v>184</v>
      </c>
      <c r="C8" s="178">
        <v>1160376</v>
      </c>
      <c r="D8" s="178">
        <v>1108814</v>
      </c>
      <c r="G8" t="s">
        <v>144</v>
      </c>
      <c r="H8">
        <v>8.74</v>
      </c>
      <c r="I8" t="s">
        <v>323</v>
      </c>
    </row>
    <row r="9" spans="2:9" x14ac:dyDescent="0.35">
      <c r="C9" s="178"/>
      <c r="D9" s="178"/>
      <c r="G9" t="s">
        <v>145</v>
      </c>
      <c r="H9">
        <v>9.92</v>
      </c>
      <c r="I9" t="s">
        <v>323</v>
      </c>
    </row>
    <row r="10" spans="2:9" x14ac:dyDescent="0.35">
      <c r="B10" s="179" t="s">
        <v>590</v>
      </c>
      <c r="C10" s="180">
        <v>2019</v>
      </c>
      <c r="D10" s="180">
        <v>2023</v>
      </c>
    </row>
    <row r="11" spans="2:9" x14ac:dyDescent="0.35">
      <c r="B11" s="181"/>
      <c r="C11" s="178">
        <f>C7*1.05</f>
        <v>541914.45000000007</v>
      </c>
      <c r="D11" s="178">
        <f>D7*1.05</f>
        <v>462947.10000000003</v>
      </c>
    </row>
    <row r="12" spans="2:9" x14ac:dyDescent="0.35">
      <c r="B12" s="181"/>
      <c r="C12" s="178">
        <f>C8*1.05</f>
        <v>1218394.8</v>
      </c>
      <c r="D12" s="178">
        <f>D8*1.05</f>
        <v>1164254.7</v>
      </c>
    </row>
    <row r="13" spans="2:9" x14ac:dyDescent="0.35">
      <c r="D13" s="178"/>
    </row>
    <row r="14" spans="2:9" x14ac:dyDescent="0.35">
      <c r="B14" s="179" t="s">
        <v>321</v>
      </c>
      <c r="C14" s="180">
        <v>2019</v>
      </c>
      <c r="D14" s="180">
        <v>2023</v>
      </c>
    </row>
    <row r="15" spans="2:9" x14ac:dyDescent="0.35">
      <c r="B15" s="181" t="s">
        <v>183</v>
      </c>
      <c r="C15" s="178">
        <f>C11*$H8</f>
        <v>4736332.2930000005</v>
      </c>
      <c r="D15" s="178">
        <f>D11*$H8</f>
        <v>4046157.6540000006</v>
      </c>
    </row>
    <row r="16" spans="2:9" x14ac:dyDescent="0.35">
      <c r="B16" s="181" t="s">
        <v>184</v>
      </c>
      <c r="C16" s="178">
        <f>C12*$H9</f>
        <v>12086476.416000001</v>
      </c>
      <c r="D16" s="178">
        <f>D12*$H9</f>
        <v>11549406.624</v>
      </c>
    </row>
    <row r="18" spans="1:10" s="187" customFormat="1" x14ac:dyDescent="0.35">
      <c r="B18" s="187" t="s">
        <v>288</v>
      </c>
    </row>
    <row r="19" spans="1:10" s="29" customFormat="1" x14ac:dyDescent="0.35"/>
    <row r="20" spans="1:10" x14ac:dyDescent="0.35">
      <c r="B20" s="1" t="s">
        <v>503</v>
      </c>
    </row>
    <row r="21" spans="1:10" x14ac:dyDescent="0.35">
      <c r="B21" s="179"/>
      <c r="C21" s="180">
        <v>2019</v>
      </c>
      <c r="D21" s="180">
        <v>2023</v>
      </c>
      <c r="H21" t="s">
        <v>290</v>
      </c>
      <c r="I21" s="82">
        <f>J21*EPT_2019/EPT_2023</f>
        <v>3929541.1185862035</v>
      </c>
      <c r="J21" s="82">
        <v>4300000</v>
      </c>
    </row>
    <row r="22" spans="1:10" x14ac:dyDescent="0.35">
      <c r="A22" s="401" t="s">
        <v>493</v>
      </c>
      <c r="B22" s="178" t="s">
        <v>494</v>
      </c>
      <c r="C22" s="257">
        <v>4533832</v>
      </c>
      <c r="D22" s="82">
        <v>4447852.55</v>
      </c>
    </row>
    <row r="23" spans="1:10" x14ac:dyDescent="0.35">
      <c r="A23" s="401" t="s">
        <v>495</v>
      </c>
      <c r="B23" s="178" t="s">
        <v>496</v>
      </c>
      <c r="C23" s="257">
        <v>332220</v>
      </c>
      <c r="D23" s="82">
        <v>260548.75</v>
      </c>
    </row>
    <row r="24" spans="1:10" x14ac:dyDescent="0.35">
      <c r="A24" s="401" t="s">
        <v>497</v>
      </c>
      <c r="B24" s="178" t="s">
        <v>498</v>
      </c>
      <c r="C24" s="257">
        <v>20696</v>
      </c>
      <c r="D24" s="82">
        <v>14512.15</v>
      </c>
    </row>
    <row r="25" spans="1:10" x14ac:dyDescent="0.35">
      <c r="A25" s="401" t="s">
        <v>499</v>
      </c>
      <c r="B25" s="178" t="s">
        <v>500</v>
      </c>
      <c r="C25" s="257">
        <v>436308</v>
      </c>
      <c r="D25" s="82">
        <v>434740.9</v>
      </c>
      <c r="I25" s="1"/>
      <c r="J25" s="1"/>
    </row>
    <row r="26" spans="1:10" x14ac:dyDescent="0.35">
      <c r="A26" s="401" t="s">
        <v>501</v>
      </c>
      <c r="B26" s="178" t="s">
        <v>502</v>
      </c>
      <c r="C26" s="257">
        <v>2061373</v>
      </c>
      <c r="D26" s="82">
        <v>2168346.5499999998</v>
      </c>
    </row>
    <row r="28" spans="1:10" x14ac:dyDescent="0.35">
      <c r="B28" s="403" t="s">
        <v>505</v>
      </c>
    </row>
    <row r="29" spans="1:10" x14ac:dyDescent="0.35">
      <c r="B29" s="176"/>
      <c r="C29" s="318">
        <v>2019</v>
      </c>
      <c r="D29" s="318">
        <v>2023</v>
      </c>
    </row>
    <row r="30" spans="1:10" x14ac:dyDescent="0.35">
      <c r="B30" s="178" t="s">
        <v>494</v>
      </c>
      <c r="C30" s="404">
        <v>0.7</v>
      </c>
      <c r="D30" s="404">
        <v>0.7</v>
      </c>
    </row>
    <row r="31" spans="1:10" x14ac:dyDescent="0.35">
      <c r="B31" s="178" t="s">
        <v>496</v>
      </c>
      <c r="C31" s="404">
        <v>0.7</v>
      </c>
      <c r="D31" s="404">
        <v>0.7</v>
      </c>
    </row>
    <row r="32" spans="1:10" x14ac:dyDescent="0.35">
      <c r="B32" s="178" t="s">
        <v>498</v>
      </c>
      <c r="C32" s="404">
        <v>0.35</v>
      </c>
      <c r="D32" s="404">
        <v>0.35</v>
      </c>
    </row>
    <row r="33" spans="2:5" x14ac:dyDescent="0.35">
      <c r="B33" s="178" t="s">
        <v>500</v>
      </c>
      <c r="C33" s="404">
        <v>0</v>
      </c>
      <c r="D33" s="404">
        <v>0</v>
      </c>
    </row>
    <row r="34" spans="2:5" x14ac:dyDescent="0.35">
      <c r="B34" s="178" t="s">
        <v>502</v>
      </c>
      <c r="C34" s="404">
        <v>0</v>
      </c>
      <c r="D34" s="404">
        <v>0</v>
      </c>
    </row>
    <row r="35" spans="2:5" x14ac:dyDescent="0.35">
      <c r="B35" s="178"/>
      <c r="C35" s="404"/>
      <c r="D35" s="404"/>
    </row>
    <row r="36" spans="2:5" x14ac:dyDescent="0.35">
      <c r="B36" s="403" t="s">
        <v>504</v>
      </c>
    </row>
    <row r="37" spans="2:5" x14ac:dyDescent="0.35">
      <c r="B37" s="176"/>
      <c r="C37" s="318">
        <v>2019</v>
      </c>
      <c r="D37" s="318">
        <v>2023</v>
      </c>
    </row>
    <row r="38" spans="2:5" x14ac:dyDescent="0.35">
      <c r="B38" s="178" t="s">
        <v>494</v>
      </c>
      <c r="C38" s="82">
        <f>C22/C30</f>
        <v>6476902.8571428573</v>
      </c>
      <c r="D38" s="82">
        <f>D22/D30</f>
        <v>6354075.0714285718</v>
      </c>
    </row>
    <row r="39" spans="2:5" x14ac:dyDescent="0.35">
      <c r="B39" s="178" t="s">
        <v>496</v>
      </c>
      <c r="C39" s="82">
        <f t="shared" ref="C39:D39" si="0">C23/C31</f>
        <v>474600.00000000006</v>
      </c>
      <c r="D39" s="82">
        <f t="shared" si="0"/>
        <v>372212.5</v>
      </c>
    </row>
    <row r="40" spans="2:5" x14ac:dyDescent="0.35">
      <c r="B40" s="178" t="s">
        <v>498</v>
      </c>
      <c r="C40" s="82">
        <f t="shared" ref="C40:D40" si="1">C24/C32</f>
        <v>59131.428571428572</v>
      </c>
      <c r="D40" s="82">
        <f t="shared" si="1"/>
        <v>41463.285714285717</v>
      </c>
    </row>
    <row r="41" spans="2:5" x14ac:dyDescent="0.35">
      <c r="B41" s="178" t="s">
        <v>500</v>
      </c>
      <c r="C41" s="82">
        <v>0</v>
      </c>
      <c r="D41" s="82">
        <v>0</v>
      </c>
    </row>
    <row r="42" spans="2:5" x14ac:dyDescent="0.35">
      <c r="B42" s="178" t="s">
        <v>502</v>
      </c>
      <c r="C42" s="82">
        <v>0</v>
      </c>
      <c r="D42" s="82">
        <v>0</v>
      </c>
    </row>
    <row r="43" spans="2:5" x14ac:dyDescent="0.35">
      <c r="B43" s="178"/>
      <c r="C43" s="82"/>
      <c r="D43" s="82"/>
    </row>
    <row r="44" spans="2:5" x14ac:dyDescent="0.35">
      <c r="B44" s="402" t="s">
        <v>506</v>
      </c>
    </row>
    <row r="45" spans="2:5" x14ac:dyDescent="0.35">
      <c r="B45" s="176"/>
      <c r="C45" s="318">
        <v>2019</v>
      </c>
      <c r="D45" s="318">
        <v>2023</v>
      </c>
    </row>
    <row r="46" spans="2:5" x14ac:dyDescent="0.35">
      <c r="B46" t="s">
        <v>291</v>
      </c>
      <c r="C46" s="82">
        <f>D46*EPT_2019/EPT_2023</f>
        <v>210184.75750577368</v>
      </c>
      <c r="D46" s="82">
        <v>230000</v>
      </c>
      <c r="E46" s="1" t="s">
        <v>507</v>
      </c>
    </row>
    <row r="48" spans="2:5" x14ac:dyDescent="0.35">
      <c r="B48" s="1" t="s">
        <v>512</v>
      </c>
      <c r="D48" s="407" t="s">
        <v>511</v>
      </c>
    </row>
    <row r="49" spans="2:8" x14ac:dyDescent="0.35">
      <c r="B49" s="406"/>
      <c r="C49" s="318">
        <v>2019</v>
      </c>
      <c r="D49" s="406"/>
    </row>
    <row r="50" spans="2:8" x14ac:dyDescent="0.35">
      <c r="B50" t="s">
        <v>508</v>
      </c>
      <c r="C50" s="405">
        <v>327426.95</v>
      </c>
    </row>
    <row r="51" spans="2:8" x14ac:dyDescent="0.35">
      <c r="B51" t="s">
        <v>509</v>
      </c>
      <c r="C51" s="405">
        <v>191879.6</v>
      </c>
    </row>
    <row r="52" spans="2:8" x14ac:dyDescent="0.35">
      <c r="B52" t="s">
        <v>510</v>
      </c>
      <c r="C52" s="405">
        <v>1550341.9</v>
      </c>
    </row>
    <row r="53" spans="2:8" x14ac:dyDescent="0.35">
      <c r="C53" s="405"/>
    </row>
    <row r="54" spans="2:8" x14ac:dyDescent="0.35">
      <c r="B54" s="1" t="s">
        <v>517</v>
      </c>
    </row>
    <row r="55" spans="2:8" x14ac:dyDescent="0.35">
      <c r="B55" s="176"/>
      <c r="C55" s="318">
        <v>2019</v>
      </c>
      <c r="D55" s="176"/>
      <c r="F55" t="s">
        <v>513</v>
      </c>
      <c r="G55">
        <v>0.4</v>
      </c>
      <c r="H55" t="s">
        <v>514</v>
      </c>
    </row>
    <row r="56" spans="2:8" x14ac:dyDescent="0.35">
      <c r="B56" t="s">
        <v>508</v>
      </c>
      <c r="C56" s="405">
        <f>C50*(1-G55)</f>
        <v>196456.17</v>
      </c>
      <c r="F56" t="s">
        <v>515</v>
      </c>
      <c r="G56">
        <v>0.28499999999999998</v>
      </c>
      <c r="H56" t="s">
        <v>516</v>
      </c>
    </row>
    <row r="57" spans="2:8" x14ac:dyDescent="0.35">
      <c r="B57" t="s">
        <v>509</v>
      </c>
      <c r="C57" s="405">
        <f>C51</f>
        <v>191879.6</v>
      </c>
    </row>
    <row r="58" spans="2:8" x14ac:dyDescent="0.35">
      <c r="B58" t="s">
        <v>510</v>
      </c>
      <c r="C58" s="405">
        <f>C52*(1-G55)</f>
        <v>930205.1399999999</v>
      </c>
    </row>
    <row r="60" spans="2:8" x14ac:dyDescent="0.35">
      <c r="B60" s="1" t="s">
        <v>518</v>
      </c>
      <c r="D60" s="407" t="s">
        <v>511</v>
      </c>
    </row>
    <row r="61" spans="2:8" x14ac:dyDescent="0.35">
      <c r="B61" s="176"/>
      <c r="C61" s="318">
        <v>2019</v>
      </c>
      <c r="D61" s="318">
        <v>2023</v>
      </c>
    </row>
    <row r="62" spans="2:8" x14ac:dyDescent="0.35">
      <c r="B62" t="s">
        <v>293</v>
      </c>
      <c r="C62" s="399">
        <f>SUM(C56:C58) /G56</f>
        <v>4626459.333333333</v>
      </c>
      <c r="D62" s="399">
        <f>C62*EPT_2023/EPT_2019</f>
        <v>5062620.4264000291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2A5E-2543-4EE1-89BA-6F6B4BF301A3}">
  <sheetPr codeName="Feuil9">
    <tabColor theme="4" tint="0.39997558519241921"/>
  </sheetPr>
  <dimension ref="B3:X56"/>
  <sheetViews>
    <sheetView topLeftCell="D1" workbookViewId="0">
      <selection activeCell="G8" sqref="G8:V8"/>
    </sheetView>
  </sheetViews>
  <sheetFormatPr baseColWidth="10" defaultRowHeight="14.5" x14ac:dyDescent="0.35"/>
  <cols>
    <col min="3" max="3" width="18.7265625" customWidth="1"/>
    <col min="4" max="4" width="41.453125" customWidth="1"/>
    <col min="5" max="5" width="14.26953125" customWidth="1"/>
    <col min="23" max="24" width="21.7265625" customWidth="1"/>
  </cols>
  <sheetData>
    <row r="3" spans="2:23" s="343" customFormat="1" ht="31" x14ac:dyDescent="0.7">
      <c r="B3" s="345" t="s">
        <v>376</v>
      </c>
    </row>
    <row r="5" spans="2:23" s="310" customFormat="1" x14ac:dyDescent="0.35">
      <c r="B5" s="311">
        <v>2023</v>
      </c>
    </row>
    <row r="8" spans="2:23" x14ac:dyDescent="0.35">
      <c r="E8" s="20"/>
      <c r="F8" s="19"/>
      <c r="G8" s="574" t="s">
        <v>523</v>
      </c>
      <c r="H8" s="575"/>
      <c r="I8" s="575"/>
      <c r="J8" s="576"/>
      <c r="K8" s="574" t="s">
        <v>520</v>
      </c>
      <c r="L8" s="575"/>
      <c r="M8" s="575"/>
      <c r="N8" s="576"/>
      <c r="O8" s="574" t="s">
        <v>547</v>
      </c>
      <c r="P8" s="575"/>
      <c r="Q8" s="575"/>
      <c r="R8" s="576"/>
      <c r="S8" s="574" t="s">
        <v>522</v>
      </c>
      <c r="T8" s="575"/>
      <c r="U8" s="575"/>
      <c r="V8" s="575"/>
      <c r="W8" s="15"/>
    </row>
    <row r="9" spans="2:23" x14ac:dyDescent="0.35">
      <c r="B9" s="210" t="s">
        <v>16</v>
      </c>
      <c r="C9" s="349" t="s">
        <v>246</v>
      </c>
      <c r="D9" s="349" t="s">
        <v>17</v>
      </c>
      <c r="E9" s="347" t="s">
        <v>26</v>
      </c>
      <c r="F9" s="347" t="s">
        <v>27</v>
      </c>
      <c r="G9" s="210" t="s">
        <v>55</v>
      </c>
      <c r="H9" s="347" t="s">
        <v>18</v>
      </c>
      <c r="I9" s="347" t="s">
        <v>59</v>
      </c>
      <c r="J9" s="347" t="s">
        <v>19</v>
      </c>
      <c r="K9" s="210" t="s">
        <v>55</v>
      </c>
      <c r="L9" s="347" t="s">
        <v>18</v>
      </c>
      <c r="M9" s="347" t="s">
        <v>59</v>
      </c>
      <c r="N9" s="347" t="s">
        <v>19</v>
      </c>
      <c r="O9" s="210" t="s">
        <v>55</v>
      </c>
      <c r="P9" s="347" t="s">
        <v>18</v>
      </c>
      <c r="Q9" s="347" t="s">
        <v>59</v>
      </c>
      <c r="R9" s="347" t="s">
        <v>19</v>
      </c>
      <c r="S9" s="210" t="s">
        <v>55</v>
      </c>
      <c r="T9" s="347" t="s">
        <v>18</v>
      </c>
      <c r="U9" s="347" t="s">
        <v>59</v>
      </c>
      <c r="V9" s="347" t="s">
        <v>19</v>
      </c>
      <c r="W9" s="15"/>
    </row>
    <row r="10" spans="2:23" x14ac:dyDescent="0.35">
      <c r="B10" s="15">
        <v>2023</v>
      </c>
      <c r="C10" t="s">
        <v>255</v>
      </c>
      <c r="D10" s="16" t="str">
        <f>'Mobilité pendulaire - Calcul'!B17</f>
        <v>A pied</v>
      </c>
      <c r="E10" s="231">
        <f>'Mobilité pendulaire - Calcul'!G17</f>
        <v>679916.13664359064</v>
      </c>
      <c r="F10" s="28" t="s">
        <v>546</v>
      </c>
      <c r="G10" s="231">
        <v>0</v>
      </c>
      <c r="H10" s="115">
        <v>0</v>
      </c>
      <c r="I10" s="115">
        <v>0</v>
      </c>
      <c r="J10" s="359">
        <v>0</v>
      </c>
      <c r="K10" s="231">
        <v>0</v>
      </c>
      <c r="L10" s="115">
        <v>0</v>
      </c>
      <c r="M10" s="115">
        <v>0</v>
      </c>
      <c r="N10" s="359">
        <v>0</v>
      </c>
      <c r="O10" s="231">
        <f xml:space="preserve"> $E10* _xlfn.XLOOKUP($W10,'Facteur émissions'!$B:$B,'Facteur émissions'!P:P) /1000</f>
        <v>0</v>
      </c>
      <c r="P10" s="115">
        <f xml:space="preserve"> $E10* _xlfn.XLOOKUP($W10,'Facteur émissions'!$B:$B,'Facteur émissions'!Q:Q) /1000</f>
        <v>0</v>
      </c>
      <c r="Q10" s="115">
        <f xml:space="preserve"> $E10* _xlfn.XLOOKUP($W10,'Facteur émissions'!$B:$B,'Facteur émissions'!R:R) /1000</f>
        <v>0</v>
      </c>
      <c r="R10" s="359">
        <f xml:space="preserve"> $E10* _xlfn.XLOOKUP($W10,'Facteur émissions'!$B:$B,'Facteur émissions'!S:S) /1000</f>
        <v>0</v>
      </c>
      <c r="S10" s="231">
        <f>G10+K10+O10</f>
        <v>0</v>
      </c>
      <c r="T10" s="115">
        <f t="shared" ref="T10:V10" si="0">H10+L10+P10</f>
        <v>0</v>
      </c>
      <c r="U10" s="115">
        <f t="shared" si="0"/>
        <v>0</v>
      </c>
      <c r="V10" s="359">
        <f t="shared" si="0"/>
        <v>0</v>
      </c>
      <c r="W10" s="356" t="s">
        <v>386</v>
      </c>
    </row>
    <row r="11" spans="2:23" x14ac:dyDescent="0.35">
      <c r="B11" s="15">
        <v>2023</v>
      </c>
      <c r="D11" s="16" t="str">
        <f>'Mobilité pendulaire - Calcul'!B18</f>
        <v>Trottinette, skateboard, patins à roulettes, etc.</v>
      </c>
      <c r="E11" s="231">
        <f>'Mobilité pendulaire - Calcul'!G18</f>
        <v>45165.142792328079</v>
      </c>
      <c r="F11" s="28" t="s">
        <v>546</v>
      </c>
      <c r="G11" s="231">
        <v>0</v>
      </c>
      <c r="H11" s="115">
        <v>0</v>
      </c>
      <c r="I11" s="115">
        <v>0</v>
      </c>
      <c r="J11" s="359">
        <v>0</v>
      </c>
      <c r="K11" s="231">
        <v>0</v>
      </c>
      <c r="L11" s="115">
        <v>0</v>
      </c>
      <c r="M11" s="115">
        <v>0</v>
      </c>
      <c r="N11" s="359">
        <v>0</v>
      </c>
      <c r="O11" s="231">
        <f xml:space="preserve"> $E11* _xlfn.XLOOKUP($W11,'Facteur émissions'!$B:$B,'Facteur émissions'!P:P) /1000</f>
        <v>0</v>
      </c>
      <c r="P11" s="115">
        <f xml:space="preserve"> $E11* _xlfn.XLOOKUP($W11,'Facteur émissions'!$B:$B,'Facteur émissions'!Q:Q) /1000</f>
        <v>0</v>
      </c>
      <c r="Q11" s="115">
        <f xml:space="preserve"> $E11* _xlfn.XLOOKUP($W11,'Facteur émissions'!$B:$B,'Facteur émissions'!R:R) /1000</f>
        <v>0</v>
      </c>
      <c r="R11" s="359">
        <f xml:space="preserve"> $E11* _xlfn.XLOOKUP($W11,'Facteur émissions'!$B:$B,'Facteur émissions'!S:S) /1000</f>
        <v>0</v>
      </c>
      <c r="S11" s="231">
        <f t="shared" ref="S11:S21" si="1">G11+K11+O11</f>
        <v>0</v>
      </c>
      <c r="T11" s="115">
        <f t="shared" ref="T11:T21" si="2">H11+L11+P11</f>
        <v>0</v>
      </c>
      <c r="U11" s="115">
        <f t="shared" ref="U11:U21" si="3">I11+M11+Q11</f>
        <v>0</v>
      </c>
      <c r="V11" s="359">
        <f t="shared" ref="V11:V21" si="4">J11+N11+R11</f>
        <v>0</v>
      </c>
      <c r="W11" s="356" t="s">
        <v>386</v>
      </c>
    </row>
    <row r="12" spans="2:23" x14ac:dyDescent="0.35">
      <c r="B12" s="15">
        <v>2023</v>
      </c>
      <c r="D12" s="16" t="str">
        <f>'Mobilité pendulaire - Calcul'!B19</f>
        <v>Vélo, vélo électrique</v>
      </c>
      <c r="E12" s="231">
        <f>'Mobilité pendulaire - Calcul'!G19</f>
        <v>1564417.0206714289</v>
      </c>
      <c r="F12" s="28" t="s">
        <v>546</v>
      </c>
      <c r="G12" s="231">
        <v>0</v>
      </c>
      <c r="H12" s="115">
        <v>0</v>
      </c>
      <c r="I12" s="115">
        <v>0</v>
      </c>
      <c r="J12" s="359">
        <v>0</v>
      </c>
      <c r="K12" s="231">
        <v>0</v>
      </c>
      <c r="L12" s="115">
        <v>0</v>
      </c>
      <c r="M12" s="115">
        <v>0</v>
      </c>
      <c r="N12" s="359">
        <v>0</v>
      </c>
      <c r="O12" s="231">
        <f xml:space="preserve"> $E12* _xlfn.XLOOKUP($W12,'Facteur émissions'!$B:$B,'Facteur émissions'!P:P) /1000</f>
        <v>8.7294961019121864</v>
      </c>
      <c r="P12" s="115">
        <f xml:space="preserve"> $E12* _xlfn.XLOOKUP($W12,'Facteur émissions'!$B:$B,'Facteur émissions'!Q:Q) /1000</f>
        <v>0</v>
      </c>
      <c r="Q12" s="115">
        <f xml:space="preserve"> $E12* _xlfn.XLOOKUP($W12,'Facteur émissions'!$B:$B,'Facteur émissions'!R:R) /1000</f>
        <v>0</v>
      </c>
      <c r="R12" s="359">
        <f xml:space="preserve"> $E12* _xlfn.XLOOKUP($W12,'Facteur émissions'!$B:$B,'Facteur émissions'!S:S) /1000</f>
        <v>8.7294961019121864</v>
      </c>
      <c r="S12" s="231">
        <f t="shared" si="1"/>
        <v>8.7294961019121864</v>
      </c>
      <c r="T12" s="115">
        <f t="shared" si="2"/>
        <v>0</v>
      </c>
      <c r="U12" s="115">
        <f t="shared" si="3"/>
        <v>0</v>
      </c>
      <c r="V12" s="359">
        <f t="shared" si="4"/>
        <v>8.7294961019121864</v>
      </c>
      <c r="W12" s="356" t="s">
        <v>385</v>
      </c>
    </row>
    <row r="13" spans="2:23" x14ac:dyDescent="0.35">
      <c r="B13" s="419"/>
      <c r="C13" s="420" t="s">
        <v>23</v>
      </c>
      <c r="D13" s="421"/>
      <c r="E13" s="438"/>
      <c r="F13" s="438"/>
      <c r="G13" s="439"/>
      <c r="H13" s="438"/>
      <c r="I13" s="438"/>
      <c r="J13" s="438"/>
      <c r="K13" s="439"/>
      <c r="L13" s="438"/>
      <c r="M13" s="438"/>
      <c r="N13" s="438"/>
      <c r="O13" s="440">
        <f>SUM(O10:O12)</f>
        <v>8.7294961019121864</v>
      </c>
      <c r="P13" s="424">
        <f t="shared" ref="P13:V13" si="5">SUM(P10:P12)</f>
        <v>0</v>
      </c>
      <c r="Q13" s="424">
        <f t="shared" si="5"/>
        <v>0</v>
      </c>
      <c r="R13" s="425">
        <f t="shared" si="5"/>
        <v>8.7294961019121864</v>
      </c>
      <c r="S13" s="440">
        <f t="shared" si="5"/>
        <v>8.7294961019121864</v>
      </c>
      <c r="T13" s="424">
        <f t="shared" si="5"/>
        <v>0</v>
      </c>
      <c r="U13" s="424">
        <f t="shared" si="5"/>
        <v>0</v>
      </c>
      <c r="V13" s="425">
        <f t="shared" si="5"/>
        <v>8.7294961019121864</v>
      </c>
      <c r="W13" s="356"/>
    </row>
    <row r="14" spans="2:23" x14ac:dyDescent="0.35">
      <c r="B14" s="15">
        <v>2023</v>
      </c>
      <c r="C14" t="s">
        <v>545</v>
      </c>
      <c r="D14" s="16" t="str">
        <f>'Mobilité pendulaire - Calcul'!B21</f>
        <v>Vélomoteur, moto, scooter</v>
      </c>
      <c r="E14" s="231">
        <f>'Mobilité pendulaire - Calcul'!G21</f>
        <v>846575.89731870021</v>
      </c>
      <c r="F14" s="28" t="s">
        <v>546</v>
      </c>
      <c r="G14" s="231">
        <v>0</v>
      </c>
      <c r="H14" s="115">
        <v>0</v>
      </c>
      <c r="I14" s="115">
        <v>0</v>
      </c>
      <c r="J14" s="359">
        <v>0</v>
      </c>
      <c r="K14" s="231">
        <v>0</v>
      </c>
      <c r="L14" s="115">
        <v>0</v>
      </c>
      <c r="M14" s="115">
        <v>0</v>
      </c>
      <c r="N14" s="359">
        <v>0</v>
      </c>
      <c r="O14" s="231">
        <f xml:space="preserve"> $E14* _xlfn.XLOOKUP($W14,'Facteur émissions'!$B:$B,'Facteur émissions'!P:P) /1000</f>
        <v>138.53484140416575</v>
      </c>
      <c r="P14" s="115">
        <f xml:space="preserve"> $E14* _xlfn.XLOOKUP($W14,'Facteur émissions'!$B:$B,'Facteur émissions'!Q:Q) /1000</f>
        <v>0</v>
      </c>
      <c r="Q14" s="115">
        <f xml:space="preserve"> $E14* _xlfn.XLOOKUP($W14,'Facteur émissions'!$B:$B,'Facteur émissions'!R:R) /1000</f>
        <v>0</v>
      </c>
      <c r="R14" s="359">
        <f xml:space="preserve"> $E14* _xlfn.XLOOKUP($W14,'Facteur émissions'!$B:$B,'Facteur émissions'!S:S) /1000</f>
        <v>138.53484140416575</v>
      </c>
      <c r="S14" s="231">
        <f t="shared" si="1"/>
        <v>138.53484140416575</v>
      </c>
      <c r="T14" s="115">
        <f t="shared" si="2"/>
        <v>0</v>
      </c>
      <c r="U14" s="115">
        <f t="shared" si="3"/>
        <v>0</v>
      </c>
      <c r="V14" s="359">
        <f t="shared" si="4"/>
        <v>138.53484140416575</v>
      </c>
      <c r="W14" s="356" t="s">
        <v>378</v>
      </c>
    </row>
    <row r="15" spans="2:23" x14ac:dyDescent="0.35">
      <c r="B15" s="15">
        <v>2023</v>
      </c>
      <c r="D15" s="16" t="str">
        <f>'Mobilité pendulaire - Calcul'!B22</f>
        <v>Voiture (comme conducteur/trice ou passager/ère)</v>
      </c>
      <c r="E15" s="231">
        <f>'Mobilité pendulaire - Calcul'!G22</f>
        <v>62996649.97459691</v>
      </c>
      <c r="F15" s="28" t="s">
        <v>546</v>
      </c>
      <c r="G15" s="231">
        <v>0</v>
      </c>
      <c r="H15" s="115">
        <v>0</v>
      </c>
      <c r="I15" s="115">
        <v>0</v>
      </c>
      <c r="J15" s="359">
        <v>0</v>
      </c>
      <c r="K15" s="231">
        <v>0</v>
      </c>
      <c r="L15" s="115">
        <v>0</v>
      </c>
      <c r="M15" s="115">
        <v>0</v>
      </c>
      <c r="N15" s="359">
        <v>0</v>
      </c>
      <c r="O15" s="231">
        <f xml:space="preserve"> $E15* _xlfn.XLOOKUP($W15,'Facteur émissions'!$B:$B,'Facteur émissions'!P:P) /1000</f>
        <v>18769.867734949155</v>
      </c>
      <c r="P15" s="115">
        <f xml:space="preserve"> $E15* _xlfn.XLOOKUP($W15,'Facteur émissions'!$B:$B,'Facteur émissions'!Q:Q) /1000</f>
        <v>0</v>
      </c>
      <c r="Q15" s="115">
        <f xml:space="preserve"> $E15* _xlfn.XLOOKUP($W15,'Facteur émissions'!$B:$B,'Facteur émissions'!R:R) /1000</f>
        <v>0</v>
      </c>
      <c r="R15" s="359">
        <f xml:space="preserve"> $E15* _xlfn.XLOOKUP($W15,'Facteur émissions'!$B:$B,'Facteur émissions'!S:S) /1000</f>
        <v>18769.867734949155</v>
      </c>
      <c r="S15" s="231">
        <f t="shared" si="1"/>
        <v>18769.867734949155</v>
      </c>
      <c r="T15" s="115">
        <f t="shared" si="2"/>
        <v>0</v>
      </c>
      <c r="U15" s="115">
        <f t="shared" si="3"/>
        <v>0</v>
      </c>
      <c r="V15" s="359">
        <f t="shared" si="4"/>
        <v>18769.867734949155</v>
      </c>
      <c r="W15" s="357" t="s">
        <v>598</v>
      </c>
    </row>
    <row r="16" spans="2:23" x14ac:dyDescent="0.35">
      <c r="B16" s="15">
        <v>2023</v>
      </c>
      <c r="D16" s="16" t="str">
        <f>'Mobilité pendulaire - Calcul'!B23</f>
        <v>voiture de l'entreprise</v>
      </c>
      <c r="E16" s="231">
        <f>'Mobilité pendulaire - Calcul'!G23</f>
        <v>48265.904197658769</v>
      </c>
      <c r="F16" s="28" t="s">
        <v>546</v>
      </c>
      <c r="G16" s="231">
        <v>0</v>
      </c>
      <c r="H16" s="115">
        <v>0</v>
      </c>
      <c r="I16" s="115">
        <v>0</v>
      </c>
      <c r="J16" s="359">
        <v>0</v>
      </c>
      <c r="K16" s="231">
        <v>0</v>
      </c>
      <c r="L16" s="115">
        <v>0</v>
      </c>
      <c r="M16" s="115">
        <v>0</v>
      </c>
      <c r="N16" s="359">
        <v>0</v>
      </c>
      <c r="O16" s="231">
        <f xml:space="preserve"> $E16* _xlfn.XLOOKUP($W16,'Facteur émissions'!$B:$B,'Facteur émissions'!P:P) /1000</f>
        <v>14.380838318594721</v>
      </c>
      <c r="P16" s="115">
        <f xml:space="preserve"> $E16* _xlfn.XLOOKUP($W16,'Facteur émissions'!$B:$B,'Facteur émissions'!Q:Q) /1000</f>
        <v>0</v>
      </c>
      <c r="Q16" s="115">
        <f xml:space="preserve"> $E16* _xlfn.XLOOKUP($W16,'Facteur émissions'!$B:$B,'Facteur émissions'!R:R) /1000</f>
        <v>0</v>
      </c>
      <c r="R16" s="359">
        <f xml:space="preserve"> $E16* _xlfn.XLOOKUP($W16,'Facteur émissions'!$B:$B,'Facteur émissions'!S:S) /1000</f>
        <v>14.380838318594721</v>
      </c>
      <c r="S16" s="231">
        <f t="shared" si="1"/>
        <v>14.380838318594721</v>
      </c>
      <c r="T16" s="115">
        <f t="shared" si="2"/>
        <v>0</v>
      </c>
      <c r="U16" s="115">
        <f t="shared" si="3"/>
        <v>0</v>
      </c>
      <c r="V16" s="359">
        <f t="shared" si="4"/>
        <v>14.380838318594721</v>
      </c>
      <c r="W16" s="356" t="s">
        <v>598</v>
      </c>
    </row>
    <row r="17" spans="2:24" x14ac:dyDescent="0.35">
      <c r="B17" s="419"/>
      <c r="C17" s="420" t="s">
        <v>23</v>
      </c>
      <c r="D17" s="421"/>
      <c r="E17" s="350"/>
      <c r="F17" s="350"/>
      <c r="G17" s="419"/>
      <c r="H17" s="350"/>
      <c r="I17" s="350"/>
      <c r="J17" s="438"/>
      <c r="K17" s="419"/>
      <c r="L17" s="350"/>
      <c r="M17" s="350"/>
      <c r="N17" s="438"/>
      <c r="O17" s="422">
        <f>SUM(O14:O16)</f>
        <v>18922.783414671914</v>
      </c>
      <c r="P17" s="423">
        <f t="shared" ref="P17:V17" si="6">SUM(P14:P16)</f>
        <v>0</v>
      </c>
      <c r="Q17" s="423">
        <f t="shared" si="6"/>
        <v>0</v>
      </c>
      <c r="R17" s="425">
        <f t="shared" si="6"/>
        <v>18922.783414671914</v>
      </c>
      <c r="S17" s="422">
        <f t="shared" si="6"/>
        <v>18922.783414671914</v>
      </c>
      <c r="T17" s="423">
        <f t="shared" si="6"/>
        <v>0</v>
      </c>
      <c r="U17" s="423">
        <f t="shared" si="6"/>
        <v>0</v>
      </c>
      <c r="V17" s="425">
        <f t="shared" si="6"/>
        <v>18922.783414671914</v>
      </c>
      <c r="W17" s="357"/>
    </row>
    <row r="18" spans="2:24" x14ac:dyDescent="0.35">
      <c r="B18" s="15">
        <v>2023</v>
      </c>
      <c r="C18" t="s">
        <v>296</v>
      </c>
      <c r="D18" s="16" t="str">
        <f>'Mobilité pendulaire - Calcul'!B25</f>
        <v>Train</v>
      </c>
      <c r="E18" s="231">
        <f>'Mobilité pendulaire - Calcul'!G25</f>
        <v>44675558.908870779</v>
      </c>
      <c r="F18" s="28" t="s">
        <v>546</v>
      </c>
      <c r="G18" s="231">
        <v>0</v>
      </c>
      <c r="H18" s="115">
        <v>0</v>
      </c>
      <c r="I18" s="115">
        <v>0</v>
      </c>
      <c r="J18" s="359">
        <v>0</v>
      </c>
      <c r="K18" s="231">
        <v>0</v>
      </c>
      <c r="L18" s="115">
        <v>0</v>
      </c>
      <c r="M18" s="115">
        <v>0</v>
      </c>
      <c r="N18" s="359">
        <v>0</v>
      </c>
      <c r="O18" s="231">
        <f xml:space="preserve"> $E18* _xlfn.XLOOKUP($W18,'Facteur émissions'!$B:$B,'Facteur émissions'!P:P) /1000</f>
        <v>313.84244270313047</v>
      </c>
      <c r="P18" s="115">
        <f xml:space="preserve"> $E18* _xlfn.XLOOKUP($W18,'Facteur émissions'!$B:$B,'Facteur émissions'!Q:Q) /1000</f>
        <v>0</v>
      </c>
      <c r="Q18" s="115">
        <f xml:space="preserve"> $E18* _xlfn.XLOOKUP($W18,'Facteur émissions'!$B:$B,'Facteur émissions'!R:R) /1000</f>
        <v>0</v>
      </c>
      <c r="R18" s="359">
        <f xml:space="preserve"> $E18* _xlfn.XLOOKUP($W18,'Facteur émissions'!$B:$B,'Facteur émissions'!S:S) /1000</f>
        <v>313.84244270313047</v>
      </c>
      <c r="S18" s="231">
        <f t="shared" si="1"/>
        <v>313.84244270313047</v>
      </c>
      <c r="T18" s="115">
        <f t="shared" si="2"/>
        <v>0</v>
      </c>
      <c r="U18" s="115">
        <f t="shared" si="3"/>
        <v>0</v>
      </c>
      <c r="V18" s="359">
        <f t="shared" si="4"/>
        <v>313.84244270313047</v>
      </c>
      <c r="W18" s="357" t="s">
        <v>379</v>
      </c>
    </row>
    <row r="19" spans="2:24" x14ac:dyDescent="0.35">
      <c r="B19" s="15">
        <v>2023</v>
      </c>
      <c r="D19" s="16" t="str">
        <f>'Mobilité pendulaire - Calcul'!B26</f>
        <v>Tram, métro</v>
      </c>
      <c r="E19" s="231">
        <f>'Mobilité pendulaire - Calcul'!G26</f>
        <v>4212332.1047481466</v>
      </c>
      <c r="F19" s="28" t="s">
        <v>546</v>
      </c>
      <c r="G19" s="231">
        <v>0</v>
      </c>
      <c r="H19" s="115">
        <v>0</v>
      </c>
      <c r="I19" s="115">
        <v>0</v>
      </c>
      <c r="J19" s="359">
        <v>0</v>
      </c>
      <c r="K19" s="231">
        <v>0</v>
      </c>
      <c r="L19" s="115">
        <v>0</v>
      </c>
      <c r="M19" s="115">
        <v>0</v>
      </c>
      <c r="N19" s="359">
        <v>0</v>
      </c>
      <c r="O19" s="231">
        <f xml:space="preserve"> $E19* _xlfn.XLOOKUP($W19,'Facteur émissions'!$B:$B,'Facteur émissions'!P:P) /1000</f>
        <v>152.49860648804545</v>
      </c>
      <c r="P19" s="115">
        <f xml:space="preserve"> $E19* _xlfn.XLOOKUP($W19,'Facteur émissions'!$B:$B,'Facteur émissions'!Q:Q) /1000</f>
        <v>0</v>
      </c>
      <c r="Q19" s="115">
        <f xml:space="preserve"> $E19* _xlfn.XLOOKUP($W19,'Facteur émissions'!$B:$B,'Facteur émissions'!R:R) /1000</f>
        <v>0</v>
      </c>
      <c r="R19" s="359">
        <f xml:space="preserve"> $E19* _xlfn.XLOOKUP($W19,'Facteur émissions'!$B:$B,'Facteur émissions'!S:S) /1000</f>
        <v>152.49860648804545</v>
      </c>
      <c r="S19" s="231">
        <f t="shared" si="1"/>
        <v>152.49860648804545</v>
      </c>
      <c r="T19" s="115">
        <f t="shared" si="2"/>
        <v>0</v>
      </c>
      <c r="U19" s="115">
        <f t="shared" si="3"/>
        <v>0</v>
      </c>
      <c r="V19" s="359">
        <f t="shared" si="4"/>
        <v>152.49860648804545</v>
      </c>
      <c r="W19" s="357" t="s">
        <v>384</v>
      </c>
    </row>
    <row r="20" spans="2:24" x14ac:dyDescent="0.35">
      <c r="B20" s="15">
        <v>2023</v>
      </c>
      <c r="D20" s="16" t="str">
        <f>'Mobilité pendulaire - Calcul'!B27</f>
        <v>Trolleybus, autobus, car postal, autocar</v>
      </c>
      <c r="E20" s="231">
        <f>'Mobilité pendulaire - Calcul'!G27</f>
        <v>4592962.357127239</v>
      </c>
      <c r="F20" s="28" t="s">
        <v>546</v>
      </c>
      <c r="G20" s="231">
        <v>0</v>
      </c>
      <c r="H20" s="115">
        <v>0</v>
      </c>
      <c r="I20" s="115">
        <v>0</v>
      </c>
      <c r="J20" s="359">
        <v>0</v>
      </c>
      <c r="K20" s="231">
        <v>0</v>
      </c>
      <c r="L20" s="115">
        <v>0</v>
      </c>
      <c r="M20" s="115">
        <v>0</v>
      </c>
      <c r="N20" s="359">
        <v>0</v>
      </c>
      <c r="O20" s="231">
        <f xml:space="preserve"> $E20* _xlfn.XLOOKUP($W20,'Facteur émissions'!$B:$B,'Facteur émissions'!P:P) /1000</f>
        <v>415.57501488328023</v>
      </c>
      <c r="P20" s="115">
        <f xml:space="preserve"> $E20* _xlfn.XLOOKUP($W20,'Facteur émissions'!$B:$B,'Facteur émissions'!Q:Q) /1000</f>
        <v>0</v>
      </c>
      <c r="Q20" s="115">
        <f xml:space="preserve"> $E20* _xlfn.XLOOKUP($W20,'Facteur émissions'!$B:$B,'Facteur émissions'!R:R) /1000</f>
        <v>0</v>
      </c>
      <c r="R20" s="359">
        <f xml:space="preserve"> $E20* _xlfn.XLOOKUP($W20,'Facteur émissions'!$B:$B,'Facteur émissions'!S:S) /1000</f>
        <v>415.57501488328023</v>
      </c>
      <c r="S20" s="231">
        <f t="shared" si="1"/>
        <v>415.57501488328023</v>
      </c>
      <c r="T20" s="115">
        <f t="shared" si="2"/>
        <v>0</v>
      </c>
      <c r="U20" s="115">
        <f t="shared" si="3"/>
        <v>0</v>
      </c>
      <c r="V20" s="432">
        <f t="shared" si="4"/>
        <v>415.57501488328023</v>
      </c>
      <c r="W20" s="357" t="s">
        <v>382</v>
      </c>
    </row>
    <row r="21" spans="2:24" x14ac:dyDescent="0.35">
      <c r="B21" s="15">
        <v>2023</v>
      </c>
      <c r="C21" s="17"/>
      <c r="D21" s="431" t="str">
        <f>'Mobilité pendulaire - Calcul'!B28</f>
        <v>Autres (p.ex. bateau, téléphérique)</v>
      </c>
      <c r="E21" s="231">
        <f>'Mobilité pendulaire - Calcul'!G28</f>
        <v>28286.871455082051</v>
      </c>
      <c r="F21" s="28" t="s">
        <v>546</v>
      </c>
      <c r="G21" s="231">
        <v>0</v>
      </c>
      <c r="H21" s="115">
        <v>0</v>
      </c>
      <c r="I21" s="115">
        <v>0</v>
      </c>
      <c r="J21" s="359">
        <v>0</v>
      </c>
      <c r="K21" s="231">
        <v>0</v>
      </c>
      <c r="L21" s="115">
        <v>0</v>
      </c>
      <c r="M21" s="115">
        <v>0</v>
      </c>
      <c r="N21" s="359">
        <v>0</v>
      </c>
      <c r="O21" s="231">
        <f xml:space="preserve"> $E21* _xlfn.XLOOKUP($W21,'Facteur émissions'!$B:$B,'Facteur émissions'!P:P) /1000</f>
        <v>2.5594194142927305</v>
      </c>
      <c r="P21" s="115">
        <f xml:space="preserve"> $E21* _xlfn.XLOOKUP($W21,'Facteur émissions'!$B:$B,'Facteur émissions'!Q:Q) /1000</f>
        <v>0</v>
      </c>
      <c r="Q21" s="115">
        <f xml:space="preserve"> $E21* _xlfn.XLOOKUP($W21,'Facteur émissions'!$B:$B,'Facteur émissions'!R:R) /1000</f>
        <v>0</v>
      </c>
      <c r="R21" s="359">
        <f xml:space="preserve"> $E21* _xlfn.XLOOKUP($W21,'Facteur émissions'!$B:$B,'Facteur émissions'!S:S) /1000</f>
        <v>2.5594194142927305</v>
      </c>
      <c r="S21" s="231">
        <f t="shared" si="1"/>
        <v>2.5594194142927305</v>
      </c>
      <c r="T21" s="115">
        <f t="shared" si="2"/>
        <v>0</v>
      </c>
      <c r="U21" s="115">
        <f t="shared" si="3"/>
        <v>0</v>
      </c>
      <c r="V21" s="432">
        <f t="shared" si="4"/>
        <v>2.5594194142927305</v>
      </c>
      <c r="W21" s="357" t="s">
        <v>382</v>
      </c>
    </row>
    <row r="22" spans="2:24" x14ac:dyDescent="0.35">
      <c r="B22" s="427"/>
      <c r="C22" s="430" t="s">
        <v>23</v>
      </c>
      <c r="D22" s="427"/>
      <c r="E22" s="427"/>
      <c r="F22" s="430"/>
      <c r="G22" s="152">
        <v>0</v>
      </c>
      <c r="H22" s="153">
        <v>0</v>
      </c>
      <c r="I22" s="153">
        <v>0</v>
      </c>
      <c r="J22" s="156">
        <v>0</v>
      </c>
      <c r="K22" s="437">
        <f>SUM(K10:K21)</f>
        <v>0</v>
      </c>
      <c r="L22" s="282">
        <v>0</v>
      </c>
      <c r="M22" s="282">
        <v>0</v>
      </c>
      <c r="N22" s="156">
        <v>0</v>
      </c>
      <c r="O22" s="152">
        <f>SUM(O18:O21)</f>
        <v>884.47548348874886</v>
      </c>
      <c r="P22" s="153">
        <f t="shared" ref="P22:V22" si="7">SUM(P18:P21)</f>
        <v>0</v>
      </c>
      <c r="Q22" s="153">
        <f t="shared" si="7"/>
        <v>0</v>
      </c>
      <c r="R22" s="156">
        <f t="shared" si="7"/>
        <v>884.47548348874886</v>
      </c>
      <c r="S22" s="152">
        <f t="shared" si="7"/>
        <v>884.47548348874886</v>
      </c>
      <c r="T22" s="153">
        <f t="shared" si="7"/>
        <v>0</v>
      </c>
      <c r="U22" s="153">
        <f t="shared" si="7"/>
        <v>0</v>
      </c>
      <c r="V22" s="154">
        <f t="shared" si="7"/>
        <v>884.47548348874886</v>
      </c>
      <c r="W22" s="15"/>
    </row>
    <row r="23" spans="2:24" x14ac:dyDescent="0.35">
      <c r="B23" s="435"/>
      <c r="C23" s="433"/>
      <c r="D23" s="435"/>
      <c r="E23" s="435"/>
      <c r="F23" s="433"/>
      <c r="G23" s="436">
        <f>G22+G17+G13</f>
        <v>0</v>
      </c>
      <c r="H23" s="434">
        <f t="shared" ref="H23:V23" si="8">H22+H17+H13</f>
        <v>0</v>
      </c>
      <c r="I23" s="434">
        <f t="shared" si="8"/>
        <v>0</v>
      </c>
      <c r="J23" s="442">
        <f t="shared" si="8"/>
        <v>0</v>
      </c>
      <c r="K23" s="436">
        <f t="shared" si="8"/>
        <v>0</v>
      </c>
      <c r="L23" s="434">
        <f t="shared" si="8"/>
        <v>0</v>
      </c>
      <c r="M23" s="434">
        <f t="shared" si="8"/>
        <v>0</v>
      </c>
      <c r="N23" s="442">
        <f t="shared" si="8"/>
        <v>0</v>
      </c>
      <c r="O23" s="434">
        <f>O22+O17+O13</f>
        <v>19815.988394262575</v>
      </c>
      <c r="P23" s="434">
        <f t="shared" si="8"/>
        <v>0</v>
      </c>
      <c r="Q23" s="434">
        <f t="shared" si="8"/>
        <v>0</v>
      </c>
      <c r="R23" s="441">
        <f t="shared" si="8"/>
        <v>19815.988394262575</v>
      </c>
      <c r="S23" s="436">
        <f t="shared" si="8"/>
        <v>19815.988394262575</v>
      </c>
      <c r="T23" s="434">
        <f t="shared" si="8"/>
        <v>0</v>
      </c>
      <c r="U23" s="434">
        <f t="shared" si="8"/>
        <v>0</v>
      </c>
      <c r="V23" s="441">
        <f t="shared" si="8"/>
        <v>19815.988394262575</v>
      </c>
      <c r="W23" s="15"/>
    </row>
    <row r="24" spans="2:24" x14ac:dyDescent="0.35">
      <c r="B24" s="28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</row>
    <row r="25" spans="2:24" s="310" customFormat="1" x14ac:dyDescent="0.35">
      <c r="B25" s="311">
        <v>2019</v>
      </c>
      <c r="G25" s="338"/>
      <c r="H25" s="338"/>
      <c r="I25" s="338"/>
      <c r="J25" s="338"/>
      <c r="K25" s="338"/>
      <c r="L25" s="338"/>
      <c r="M25" s="338"/>
      <c r="N25" s="338"/>
      <c r="O25" s="338"/>
      <c r="P25" s="363"/>
      <c r="Q25" s="338"/>
      <c r="R25" s="338"/>
      <c r="S25" s="338"/>
      <c r="T25" s="338"/>
      <c r="U25" s="338"/>
      <c r="V25" s="338"/>
    </row>
    <row r="26" spans="2:24" x14ac:dyDescent="0.35"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7" spans="2:24" x14ac:dyDescent="0.35"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</row>
    <row r="28" spans="2:24" x14ac:dyDescent="0.35">
      <c r="E28" s="20"/>
      <c r="F28" s="19"/>
      <c r="G28" s="579" t="s">
        <v>523</v>
      </c>
      <c r="H28" s="580"/>
      <c r="I28" s="580"/>
      <c r="J28" s="581"/>
      <c r="K28" s="579" t="s">
        <v>520</v>
      </c>
      <c r="L28" s="580"/>
      <c r="M28" s="580"/>
      <c r="N28" s="581"/>
      <c r="O28" s="579" t="s">
        <v>521</v>
      </c>
      <c r="P28" s="580"/>
      <c r="Q28" s="580"/>
      <c r="R28" s="581"/>
      <c r="S28" s="579" t="s">
        <v>522</v>
      </c>
      <c r="T28" s="580"/>
      <c r="U28" s="580"/>
      <c r="V28" s="580"/>
      <c r="W28" s="15"/>
    </row>
    <row r="29" spans="2:24" x14ac:dyDescent="0.35">
      <c r="B29" s="210" t="s">
        <v>16</v>
      </c>
      <c r="C29" s="347" t="s">
        <v>246</v>
      </c>
      <c r="D29" s="348" t="s">
        <v>17</v>
      </c>
      <c r="E29" s="350" t="s">
        <v>26</v>
      </c>
      <c r="F29" s="350" t="s">
        <v>27</v>
      </c>
      <c r="G29" s="360" t="s">
        <v>55</v>
      </c>
      <c r="H29" s="361" t="s">
        <v>18</v>
      </c>
      <c r="I29" s="361" t="s">
        <v>59</v>
      </c>
      <c r="J29" s="362" t="s">
        <v>19</v>
      </c>
      <c r="K29" s="360" t="s">
        <v>55</v>
      </c>
      <c r="L29" s="361" t="s">
        <v>18</v>
      </c>
      <c r="M29" s="361" t="s">
        <v>59</v>
      </c>
      <c r="N29" s="362" t="s">
        <v>19</v>
      </c>
      <c r="O29" s="360" t="s">
        <v>55</v>
      </c>
      <c r="P29" s="361" t="s">
        <v>18</v>
      </c>
      <c r="Q29" s="361" t="s">
        <v>59</v>
      </c>
      <c r="R29" s="361" t="s">
        <v>19</v>
      </c>
      <c r="S29" s="360" t="s">
        <v>55</v>
      </c>
      <c r="T29" s="361" t="s">
        <v>18</v>
      </c>
      <c r="U29" s="361" t="s">
        <v>59</v>
      </c>
      <c r="V29" s="361" t="s">
        <v>19</v>
      </c>
      <c r="W29" s="15"/>
    </row>
    <row r="30" spans="2:24" x14ac:dyDescent="0.35">
      <c r="B30" s="15">
        <v>2019</v>
      </c>
      <c r="C30" t="s">
        <v>255</v>
      </c>
      <c r="D30" s="16" t="str">
        <f>'Mobilité pendulaire - Calcul'!B36</f>
        <v>A pied</v>
      </c>
      <c r="E30" s="115">
        <f>'Mobilité pendulaire - Calcul'!G36</f>
        <v>495472.86604567064</v>
      </c>
      <c r="F30" s="28" t="s">
        <v>546</v>
      </c>
      <c r="G30" s="231">
        <v>0</v>
      </c>
      <c r="H30" s="115">
        <v>0</v>
      </c>
      <c r="I30" s="115">
        <v>0</v>
      </c>
      <c r="J30" s="359">
        <v>0</v>
      </c>
      <c r="K30" s="231">
        <v>0</v>
      </c>
      <c r="L30" s="115">
        <v>0</v>
      </c>
      <c r="M30" s="115">
        <v>0</v>
      </c>
      <c r="N30" s="359">
        <v>0</v>
      </c>
      <c r="O30" s="231">
        <f xml:space="preserve"> $E30* _xlfn.XLOOKUP($W30,'Facteur émissions'!$B:$B,'Facteur émissions'!P:P) /1000</f>
        <v>0</v>
      </c>
      <c r="P30" s="115">
        <f xml:space="preserve"> $E30* _xlfn.XLOOKUP($W30,'Facteur émissions'!$B:$B,'Facteur émissions'!Q:Q) /1000</f>
        <v>0</v>
      </c>
      <c r="Q30" s="115">
        <f xml:space="preserve"> $E30* _xlfn.XLOOKUP($W30,'Facteur émissions'!$B:$B,'Facteur émissions'!R:R) /1000</f>
        <v>0</v>
      </c>
      <c r="R30" s="359">
        <f xml:space="preserve"> $E30* _xlfn.XLOOKUP($W30,'Facteur émissions'!$B:$B,'Facteur émissions'!S:S) /1000</f>
        <v>0</v>
      </c>
      <c r="S30" s="231">
        <f>G30+K30+O30</f>
        <v>0</v>
      </c>
      <c r="T30" s="115">
        <f t="shared" ref="T30:T32" si="9">H30+L30+P30</f>
        <v>0</v>
      </c>
      <c r="U30" s="115">
        <f t="shared" ref="U30:U32" si="10">I30+M30+Q30</f>
        <v>0</v>
      </c>
      <c r="V30" s="359">
        <f t="shared" ref="V30:V32" si="11">J30+N30+R30</f>
        <v>0</v>
      </c>
      <c r="W30" s="356" t="s">
        <v>386</v>
      </c>
      <c r="X30" s="28"/>
    </row>
    <row r="31" spans="2:24" x14ac:dyDescent="0.35">
      <c r="B31" s="15">
        <v>2019</v>
      </c>
      <c r="D31" s="16" t="str">
        <f>'Mobilité pendulaire - Calcul'!B37</f>
        <v>Trottinette, skateboard, patins à roulettes, etc.</v>
      </c>
      <c r="E31" s="231">
        <f>'Mobilité pendulaire - Calcul'!G37</f>
        <v>26914.307671251139</v>
      </c>
      <c r="F31" s="28" t="s">
        <v>546</v>
      </c>
      <c r="G31" s="231">
        <v>0</v>
      </c>
      <c r="H31" s="115">
        <v>0</v>
      </c>
      <c r="I31" s="115">
        <v>0</v>
      </c>
      <c r="J31" s="359">
        <v>0</v>
      </c>
      <c r="K31" s="231">
        <v>0</v>
      </c>
      <c r="L31" s="115">
        <v>0</v>
      </c>
      <c r="M31" s="115">
        <v>0</v>
      </c>
      <c r="N31" s="359">
        <v>0</v>
      </c>
      <c r="O31" s="231">
        <f xml:space="preserve"> $E31* _xlfn.XLOOKUP($W31,'Facteur émissions'!$B:$B,'Facteur émissions'!P:P) /1000</f>
        <v>0</v>
      </c>
      <c r="P31" s="115">
        <f xml:space="preserve"> $E31* _xlfn.XLOOKUP($W31,'Facteur émissions'!$B:$B,'Facteur émissions'!Q:Q) /1000</f>
        <v>0</v>
      </c>
      <c r="Q31" s="115">
        <f xml:space="preserve"> $E31* _xlfn.XLOOKUP($W31,'Facteur émissions'!$B:$B,'Facteur émissions'!R:R) /1000</f>
        <v>0</v>
      </c>
      <c r="R31" s="359">
        <f xml:space="preserve"> $E31* _xlfn.XLOOKUP($W31,'Facteur émissions'!$B:$B,'Facteur émissions'!S:S) /1000</f>
        <v>0</v>
      </c>
      <c r="S31" s="231">
        <f t="shared" ref="S31:S32" si="12">G31+K31+O31</f>
        <v>0</v>
      </c>
      <c r="T31" s="115">
        <f t="shared" si="9"/>
        <v>0</v>
      </c>
      <c r="U31" s="115">
        <f t="shared" si="10"/>
        <v>0</v>
      </c>
      <c r="V31" s="359">
        <f t="shared" si="11"/>
        <v>0</v>
      </c>
      <c r="W31" s="356" t="s">
        <v>386</v>
      </c>
      <c r="X31" s="28"/>
    </row>
    <row r="32" spans="2:24" x14ac:dyDescent="0.35">
      <c r="B32" s="15">
        <v>2019</v>
      </c>
      <c r="D32" s="16" t="str">
        <f>'Mobilité pendulaire - Calcul'!B38</f>
        <v>Vélo, vélo électrique</v>
      </c>
      <c r="E32" s="231">
        <f>'Mobilité pendulaire - Calcul'!G38</f>
        <v>846480.77517606318</v>
      </c>
      <c r="F32" s="28" t="s">
        <v>546</v>
      </c>
      <c r="G32" s="231">
        <v>0</v>
      </c>
      <c r="H32" s="115">
        <v>0</v>
      </c>
      <c r="I32" s="115">
        <v>0</v>
      </c>
      <c r="J32" s="359">
        <v>0</v>
      </c>
      <c r="K32" s="231">
        <v>0</v>
      </c>
      <c r="L32" s="115">
        <v>0</v>
      </c>
      <c r="M32" s="115">
        <v>0</v>
      </c>
      <c r="N32" s="359">
        <v>0</v>
      </c>
      <c r="O32" s="231">
        <f xml:space="preserve"> $E32* _xlfn.XLOOKUP($W32,'Facteur émissions'!$B:$B,'Facteur émissions'!P:P) /1000</f>
        <v>4.7233893070733979</v>
      </c>
      <c r="P32" s="115">
        <f xml:space="preserve"> $E32* _xlfn.XLOOKUP($W32,'Facteur émissions'!$B:$B,'Facteur émissions'!Q:Q) /1000</f>
        <v>0</v>
      </c>
      <c r="Q32" s="115">
        <f xml:space="preserve"> $E32* _xlfn.XLOOKUP($W32,'Facteur émissions'!$B:$B,'Facteur émissions'!R:R) /1000</f>
        <v>0</v>
      </c>
      <c r="R32" s="359">
        <f xml:space="preserve"> $E32* _xlfn.XLOOKUP($W32,'Facteur émissions'!$B:$B,'Facteur émissions'!S:S) /1000</f>
        <v>4.7233893070733979</v>
      </c>
      <c r="S32" s="231">
        <f t="shared" si="12"/>
        <v>4.7233893070733979</v>
      </c>
      <c r="T32" s="115">
        <f t="shared" si="9"/>
        <v>0</v>
      </c>
      <c r="U32" s="115">
        <f t="shared" si="10"/>
        <v>0</v>
      </c>
      <c r="V32" s="359">
        <f t="shared" si="11"/>
        <v>4.7233893070733979</v>
      </c>
      <c r="W32" s="356" t="s">
        <v>385</v>
      </c>
      <c r="X32" s="28"/>
    </row>
    <row r="33" spans="2:24" x14ac:dyDescent="0.35">
      <c r="B33" s="419"/>
      <c r="C33" s="420"/>
      <c r="D33" s="421"/>
      <c r="E33" s="422"/>
      <c r="F33" s="426"/>
      <c r="G33" s="439"/>
      <c r="H33" s="438"/>
      <c r="I33" s="438"/>
      <c r="J33" s="438"/>
      <c r="K33" s="439"/>
      <c r="L33" s="438"/>
      <c r="M33" s="438"/>
      <c r="N33" s="438"/>
      <c r="O33" s="440">
        <f>SUM(O30:O32)</f>
        <v>4.7233893070733979</v>
      </c>
      <c r="P33" s="424">
        <f t="shared" ref="P33" si="13">SUM(P30:P32)</f>
        <v>0</v>
      </c>
      <c r="Q33" s="424">
        <f t="shared" ref="Q33" si="14">SUM(Q30:Q32)</f>
        <v>0</v>
      </c>
      <c r="R33" s="425">
        <f t="shared" ref="R33" si="15">SUM(R30:R32)</f>
        <v>4.7233893070733979</v>
      </c>
      <c r="S33" s="440">
        <f t="shared" ref="S33" si="16">SUM(S30:S32)</f>
        <v>4.7233893070733979</v>
      </c>
      <c r="T33" s="424">
        <f t="shared" ref="T33" si="17">SUM(T30:T32)</f>
        <v>0</v>
      </c>
      <c r="U33" s="424">
        <f t="shared" ref="U33" si="18">SUM(U30:U32)</f>
        <v>0</v>
      </c>
      <c r="V33" s="425">
        <f t="shared" ref="V33" si="19">SUM(V30:V32)</f>
        <v>4.7233893070733979</v>
      </c>
      <c r="W33" s="356"/>
      <c r="X33" s="28"/>
    </row>
    <row r="34" spans="2:24" x14ac:dyDescent="0.35">
      <c r="B34" s="15">
        <v>2019</v>
      </c>
      <c r="C34" t="s">
        <v>545</v>
      </c>
      <c r="D34" s="16" t="str">
        <f>'Mobilité pendulaire - Calcul'!B40</f>
        <v>Vélomoteur, moto, scooter</v>
      </c>
      <c r="E34" s="231">
        <f>'Mobilité pendulaire - Calcul'!G40</f>
        <v>797578.51291838801</v>
      </c>
      <c r="F34" s="28" t="s">
        <v>546</v>
      </c>
      <c r="G34" s="231">
        <v>0</v>
      </c>
      <c r="H34" s="115">
        <v>0</v>
      </c>
      <c r="I34" s="115">
        <v>0</v>
      </c>
      <c r="J34" s="359">
        <v>0</v>
      </c>
      <c r="K34" s="231">
        <v>0</v>
      </c>
      <c r="L34" s="115">
        <v>0</v>
      </c>
      <c r="M34" s="115">
        <v>0</v>
      </c>
      <c r="N34" s="359">
        <v>0</v>
      </c>
      <c r="O34" s="231">
        <f xml:space="preserve"> $E34* _xlfn.XLOOKUP($W34,'Facteur émissions'!$B:$B,'Facteur émissions'!P:P) /1000</f>
        <v>130.51684219273668</v>
      </c>
      <c r="P34" s="115">
        <f xml:space="preserve"> $E34* _xlfn.XLOOKUP($W34,'Facteur émissions'!$B:$B,'Facteur émissions'!Q:Q) /1000</f>
        <v>0</v>
      </c>
      <c r="Q34" s="115">
        <f xml:space="preserve"> $E34* _xlfn.XLOOKUP($W34,'Facteur émissions'!$B:$B,'Facteur émissions'!R:R) /1000</f>
        <v>0</v>
      </c>
      <c r="R34" s="359">
        <f xml:space="preserve"> $E34* _xlfn.XLOOKUP($W34,'Facteur émissions'!$B:$B,'Facteur émissions'!S:S) /1000</f>
        <v>130.51684219273668</v>
      </c>
      <c r="S34" s="231">
        <f t="shared" ref="S34:S36" si="20">G34+K34+O34</f>
        <v>130.51684219273668</v>
      </c>
      <c r="T34" s="115">
        <f t="shared" ref="T34:T36" si="21">H34+L34+P34</f>
        <v>0</v>
      </c>
      <c r="U34" s="115">
        <f t="shared" ref="U34:U36" si="22">I34+M34+Q34</f>
        <v>0</v>
      </c>
      <c r="V34" s="359">
        <f t="shared" ref="V34:V36" si="23">J34+N34+R34</f>
        <v>130.51684219273668</v>
      </c>
      <c r="W34" s="356" t="s">
        <v>378</v>
      </c>
      <c r="X34" s="28"/>
    </row>
    <row r="35" spans="2:24" x14ac:dyDescent="0.35">
      <c r="B35" s="15">
        <v>2019</v>
      </c>
      <c r="D35" s="16" t="str">
        <f>'Mobilité pendulaire - Calcul'!B41</f>
        <v>Voiture (comme conducteur/trice ou passager/ère)</v>
      </c>
      <c r="E35" s="231">
        <f>'Mobilité pendulaire - Calcul'!G41</f>
        <v>61305883.442699909</v>
      </c>
      <c r="F35" s="28" t="s">
        <v>546</v>
      </c>
      <c r="G35" s="231">
        <v>0</v>
      </c>
      <c r="H35" s="115">
        <v>0</v>
      </c>
      <c r="I35" s="115">
        <v>0</v>
      </c>
      <c r="J35" s="359">
        <v>0</v>
      </c>
      <c r="K35" s="231">
        <v>0</v>
      </c>
      <c r="L35" s="115">
        <v>0</v>
      </c>
      <c r="M35" s="115">
        <v>0</v>
      </c>
      <c r="N35" s="359">
        <v>0</v>
      </c>
      <c r="O35" s="231">
        <f xml:space="preserve"> $E35* _xlfn.XLOOKUP($W35,'Facteur émissions'!$B:$B,'Facteur émissions'!P:P) /1000 *eff_voiture_2019_2023</f>
        <v>21022.161327729526</v>
      </c>
      <c r="P35" s="115">
        <f xml:space="preserve"> $E35* _xlfn.XLOOKUP($W35,'Facteur émissions'!$B:$B,'Facteur émissions'!Q:Q) /1000</f>
        <v>0</v>
      </c>
      <c r="Q35" s="115">
        <f xml:space="preserve"> $E35* _xlfn.XLOOKUP($W35,'Facteur émissions'!$B:$B,'Facteur émissions'!R:R) /1000</f>
        <v>0</v>
      </c>
      <c r="R35" s="359">
        <f xml:space="preserve"> $E35* _xlfn.XLOOKUP($W35,'Facteur émissions'!$B:$B,'Facteur émissions'!S:S) /1000*eff_voiture_2019_2023</f>
        <v>21285.343808148482</v>
      </c>
      <c r="S35" s="231">
        <f t="shared" si="20"/>
        <v>21022.161327729526</v>
      </c>
      <c r="T35" s="115">
        <f t="shared" si="21"/>
        <v>0</v>
      </c>
      <c r="U35" s="115">
        <f t="shared" si="22"/>
        <v>0</v>
      </c>
      <c r="V35" s="359">
        <f t="shared" si="23"/>
        <v>21285.343808148482</v>
      </c>
      <c r="W35" s="357" t="s">
        <v>597</v>
      </c>
      <c r="X35" s="28"/>
    </row>
    <row r="36" spans="2:24" x14ac:dyDescent="0.35">
      <c r="B36" s="15">
        <v>2019</v>
      </c>
      <c r="D36" s="16" t="str">
        <f>'Mobilité pendulaire - Calcul'!B42</f>
        <v>Car de l'entreprise</v>
      </c>
      <c r="E36" s="231">
        <f>'Mobilité pendulaire - Calcul'!G42</f>
        <v>81516.750338926024</v>
      </c>
      <c r="F36" s="28" t="s">
        <v>546</v>
      </c>
      <c r="G36" s="231">
        <v>0</v>
      </c>
      <c r="H36" s="115">
        <v>0</v>
      </c>
      <c r="I36" s="115">
        <v>0</v>
      </c>
      <c r="J36" s="359">
        <v>0</v>
      </c>
      <c r="K36" s="231">
        <v>0</v>
      </c>
      <c r="L36" s="115">
        <v>0</v>
      </c>
      <c r="M36" s="115">
        <v>0</v>
      </c>
      <c r="N36" s="359">
        <v>0</v>
      </c>
      <c r="O36" s="231">
        <f xml:space="preserve"> $E36* _xlfn.XLOOKUP($W36,'Facteur émissions'!$B:$B,'Facteur émissions'!P:P) /1000 *eff_voiture_2019_2023</f>
        <v>27.952590849438447</v>
      </c>
      <c r="P36" s="115">
        <f xml:space="preserve"> $E36* _xlfn.XLOOKUP($W36,'Facteur émissions'!$B:$B,'Facteur émissions'!Q:Q) /1000</f>
        <v>0</v>
      </c>
      <c r="Q36" s="115">
        <f xml:space="preserve"> $E36* _xlfn.XLOOKUP($W36,'Facteur émissions'!$B:$B,'Facteur émissions'!R:R) /1000</f>
        <v>0</v>
      </c>
      <c r="R36" s="359">
        <f xml:space="preserve"> $E36* _xlfn.XLOOKUP($W36,'Facteur émissions'!$B:$B,'Facteur émissions'!S:S) /1000</f>
        <v>25.729579426518924</v>
      </c>
      <c r="S36" s="231">
        <f t="shared" si="20"/>
        <v>27.952590849438447</v>
      </c>
      <c r="T36" s="115">
        <f t="shared" si="21"/>
        <v>0</v>
      </c>
      <c r="U36" s="115">
        <f t="shared" si="22"/>
        <v>0</v>
      </c>
      <c r="V36" s="359">
        <f t="shared" si="23"/>
        <v>25.729579426518924</v>
      </c>
      <c r="W36" s="356" t="s">
        <v>597</v>
      </c>
      <c r="X36" s="28"/>
    </row>
    <row r="37" spans="2:24" x14ac:dyDescent="0.35">
      <c r="B37" s="419"/>
      <c r="C37" s="420"/>
      <c r="D37" s="421"/>
      <c r="E37" s="443"/>
      <c r="F37" s="426"/>
      <c r="G37" s="419"/>
      <c r="H37" s="350"/>
      <c r="I37" s="350"/>
      <c r="J37" s="438"/>
      <c r="K37" s="419"/>
      <c r="L37" s="350"/>
      <c r="M37" s="350"/>
      <c r="N37" s="438"/>
      <c r="O37" s="422">
        <f>SUM(O34:O36)</f>
        <v>21180.630760771703</v>
      </c>
      <c r="P37" s="423">
        <f t="shared" ref="P37" si="24">SUM(P34:P36)</f>
        <v>0</v>
      </c>
      <c r="Q37" s="423">
        <f t="shared" ref="Q37" si="25">SUM(Q34:Q36)</f>
        <v>0</v>
      </c>
      <c r="R37" s="425">
        <f t="shared" ref="R37" si="26">SUM(R34:R36)</f>
        <v>21441.590229767738</v>
      </c>
      <c r="S37" s="422">
        <f t="shared" ref="S37" si="27">SUM(S34:S36)</f>
        <v>21180.630760771703</v>
      </c>
      <c r="T37" s="423">
        <f t="shared" ref="T37" si="28">SUM(T34:T36)</f>
        <v>0</v>
      </c>
      <c r="U37" s="423">
        <f t="shared" ref="U37" si="29">SUM(U34:U36)</f>
        <v>0</v>
      </c>
      <c r="V37" s="425">
        <f t="shared" ref="V37" si="30">SUM(V34:V36)</f>
        <v>21441.590229767738</v>
      </c>
      <c r="W37" s="357"/>
      <c r="X37" s="28"/>
    </row>
    <row r="38" spans="2:24" x14ac:dyDescent="0.35">
      <c r="B38" s="15">
        <v>2019</v>
      </c>
      <c r="C38" t="s">
        <v>296</v>
      </c>
      <c r="D38" s="16" t="str">
        <f>'Mobilité pendulaire - Calcul'!B44</f>
        <v>Train</v>
      </c>
      <c r="E38" s="231">
        <f>'Mobilité pendulaire - Calcul'!G44</f>
        <v>37346154.29560972</v>
      </c>
      <c r="F38" s="28" t="s">
        <v>546</v>
      </c>
      <c r="G38" s="231">
        <v>0</v>
      </c>
      <c r="H38" s="115">
        <v>0</v>
      </c>
      <c r="I38" s="115">
        <v>0</v>
      </c>
      <c r="J38" s="359">
        <v>0</v>
      </c>
      <c r="K38" s="231">
        <v>0</v>
      </c>
      <c r="L38" s="115">
        <v>0</v>
      </c>
      <c r="M38" s="115">
        <v>0</v>
      </c>
      <c r="N38" s="359">
        <v>0</v>
      </c>
      <c r="O38" s="231">
        <f xml:space="preserve"> $E38* _xlfn.XLOOKUP($W38,'Facteur émissions'!$B:$B,'Facteur émissions'!P:P) /1000</f>
        <v>262.35392630700539</v>
      </c>
      <c r="P38" s="115">
        <f xml:space="preserve"> $E38* _xlfn.XLOOKUP($W38,'Facteur émissions'!$B:$B,'Facteur émissions'!Q:Q) /1000</f>
        <v>0</v>
      </c>
      <c r="Q38" s="115">
        <f xml:space="preserve"> $E38* _xlfn.XLOOKUP($W38,'Facteur émissions'!$B:$B,'Facteur émissions'!R:R) /1000</f>
        <v>0</v>
      </c>
      <c r="R38" s="359">
        <f xml:space="preserve"> $E38* _xlfn.XLOOKUP($W38,'Facteur émissions'!$B:$B,'Facteur émissions'!S:S) /1000</f>
        <v>262.35392630700539</v>
      </c>
      <c r="S38" s="231">
        <f t="shared" ref="S38:S41" si="31">G38+K38+O38</f>
        <v>262.35392630700539</v>
      </c>
      <c r="T38" s="115">
        <f t="shared" ref="T38:T41" si="32">H38+L38+P38</f>
        <v>0</v>
      </c>
      <c r="U38" s="115">
        <f t="shared" ref="U38:U41" si="33">I38+M38+Q38</f>
        <v>0</v>
      </c>
      <c r="V38" s="359">
        <f t="shared" ref="V38:V41" si="34">J38+N38+R38</f>
        <v>262.35392630700539</v>
      </c>
      <c r="W38" s="357" t="s">
        <v>379</v>
      </c>
      <c r="X38" s="28"/>
    </row>
    <row r="39" spans="2:24" x14ac:dyDescent="0.35">
      <c r="B39" s="15">
        <v>2019</v>
      </c>
      <c r="D39" s="16" t="str">
        <f>'Mobilité pendulaire - Calcul'!B45</f>
        <v>Tram, métro</v>
      </c>
      <c r="E39" s="231">
        <f>'Mobilité pendulaire - Calcul'!G45</f>
        <v>3606782.7500870908</v>
      </c>
      <c r="F39" s="28" t="s">
        <v>546</v>
      </c>
      <c r="G39" s="231">
        <v>0</v>
      </c>
      <c r="H39" s="115">
        <v>0</v>
      </c>
      <c r="I39" s="115">
        <v>0</v>
      </c>
      <c r="J39" s="359">
        <v>0</v>
      </c>
      <c r="K39" s="231">
        <v>0</v>
      </c>
      <c r="L39" s="115">
        <v>0</v>
      </c>
      <c r="M39" s="115">
        <v>0</v>
      </c>
      <c r="N39" s="359">
        <v>0</v>
      </c>
      <c r="O39" s="231">
        <f xml:space="preserve"> $E39* _xlfn.XLOOKUP($W39,'Facteur émissions'!$B:$B,'Facteur émissions'!P:P) /1000</f>
        <v>130.57596827975831</v>
      </c>
      <c r="P39" s="115">
        <f xml:space="preserve"> $E39* _xlfn.XLOOKUP($W39,'Facteur émissions'!$B:$B,'Facteur émissions'!Q:Q) /1000</f>
        <v>0</v>
      </c>
      <c r="Q39" s="115">
        <f xml:space="preserve"> $E39* _xlfn.XLOOKUP($W39,'Facteur émissions'!$B:$B,'Facteur émissions'!R:R) /1000</f>
        <v>0</v>
      </c>
      <c r="R39" s="359">
        <f xml:space="preserve"> $E39* _xlfn.XLOOKUP($W39,'Facteur émissions'!$B:$B,'Facteur émissions'!S:S) /1000</f>
        <v>130.57596827975831</v>
      </c>
      <c r="S39" s="231">
        <f t="shared" si="31"/>
        <v>130.57596827975831</v>
      </c>
      <c r="T39" s="115">
        <f t="shared" si="32"/>
        <v>0</v>
      </c>
      <c r="U39" s="115">
        <f t="shared" si="33"/>
        <v>0</v>
      </c>
      <c r="V39" s="359">
        <f t="shared" si="34"/>
        <v>130.57596827975831</v>
      </c>
      <c r="W39" s="357" t="s">
        <v>384</v>
      </c>
      <c r="X39" s="28"/>
    </row>
    <row r="40" spans="2:24" x14ac:dyDescent="0.35">
      <c r="B40" s="15">
        <v>2019</v>
      </c>
      <c r="D40" s="16" t="str">
        <f>'Mobilité pendulaire - Calcul'!B46</f>
        <v>Trolleybus, autobus, car postal, autocar</v>
      </c>
      <c r="E40" s="231">
        <f>'Mobilité pendulaire - Calcul'!G46</f>
        <v>4116616.0102018425</v>
      </c>
      <c r="F40" s="28" t="s">
        <v>546</v>
      </c>
      <c r="G40" s="231">
        <v>0</v>
      </c>
      <c r="H40" s="115">
        <v>0</v>
      </c>
      <c r="I40" s="115">
        <v>0</v>
      </c>
      <c r="J40" s="359">
        <v>0</v>
      </c>
      <c r="K40" s="231">
        <v>0</v>
      </c>
      <c r="L40" s="115">
        <v>0</v>
      </c>
      <c r="M40" s="115">
        <v>0</v>
      </c>
      <c r="N40" s="359">
        <v>0</v>
      </c>
      <c r="O40" s="231">
        <f xml:space="preserve"> $E40* _xlfn.XLOOKUP($W40,'Facteur émissions'!$B:$B,'Facteur émissions'!P:P) /1000</f>
        <v>372.47480529720934</v>
      </c>
      <c r="P40" s="115">
        <f xml:space="preserve"> $E40* _xlfn.XLOOKUP($W40,'Facteur émissions'!$B:$B,'Facteur émissions'!Q:Q) /1000</f>
        <v>0</v>
      </c>
      <c r="Q40" s="115">
        <f xml:space="preserve"> $E40* _xlfn.XLOOKUP($W40,'Facteur émissions'!$B:$B,'Facteur émissions'!R:R) /1000</f>
        <v>0</v>
      </c>
      <c r="R40" s="359">
        <f xml:space="preserve"> $E40* _xlfn.XLOOKUP($W40,'Facteur émissions'!$B:$B,'Facteur émissions'!S:S) /1000</f>
        <v>372.47480529720934</v>
      </c>
      <c r="S40" s="231">
        <f t="shared" si="31"/>
        <v>372.47480529720934</v>
      </c>
      <c r="T40" s="115">
        <f t="shared" si="32"/>
        <v>0</v>
      </c>
      <c r="U40" s="115">
        <f t="shared" si="33"/>
        <v>0</v>
      </c>
      <c r="V40" s="432">
        <f t="shared" si="34"/>
        <v>372.47480529720934</v>
      </c>
      <c r="W40" s="357" t="s">
        <v>382</v>
      </c>
      <c r="X40" s="28"/>
    </row>
    <row r="41" spans="2:24" x14ac:dyDescent="0.35">
      <c r="B41" s="15">
        <v>2019</v>
      </c>
      <c r="C41" s="28"/>
      <c r="D41" s="16" t="str">
        <f>'Mobilité pendulaire - Calcul'!B47</f>
        <v>Autres (p.ex. bateau, téléphérique)</v>
      </c>
      <c r="E41" s="231">
        <f>'Mobilité pendulaire - Calcul'!G47</f>
        <v>17736.516363774757</v>
      </c>
      <c r="F41" s="28" t="s">
        <v>546</v>
      </c>
      <c r="G41" s="231">
        <v>0</v>
      </c>
      <c r="H41" s="115">
        <v>0</v>
      </c>
      <c r="I41" s="115">
        <v>0</v>
      </c>
      <c r="J41" s="359">
        <v>0</v>
      </c>
      <c r="K41" s="231">
        <v>0</v>
      </c>
      <c r="L41" s="115">
        <v>0</v>
      </c>
      <c r="M41" s="115">
        <v>0</v>
      </c>
      <c r="N41" s="359">
        <v>0</v>
      </c>
      <c r="O41" s="231">
        <f xml:space="preserve"> $E41* _xlfn.XLOOKUP($W41,'Facteur émissions'!$B:$B,'Facteur émissions'!P:P) /1000</f>
        <v>1.6048146008458659</v>
      </c>
      <c r="P41" s="115">
        <f xml:space="preserve"> $E41* _xlfn.XLOOKUP($W41,'Facteur émissions'!$B:$B,'Facteur émissions'!Q:Q) /1000</f>
        <v>0</v>
      </c>
      <c r="Q41" s="115">
        <f xml:space="preserve"> $E41* _xlfn.XLOOKUP($W41,'Facteur émissions'!$B:$B,'Facteur émissions'!R:R) /1000</f>
        <v>0</v>
      </c>
      <c r="R41" s="359">
        <f xml:space="preserve"> $E41* _xlfn.XLOOKUP($W41,'Facteur émissions'!$B:$B,'Facteur émissions'!S:S) /1000</f>
        <v>1.6048146008458659</v>
      </c>
      <c r="S41" s="231">
        <f t="shared" si="31"/>
        <v>1.6048146008458659</v>
      </c>
      <c r="T41" s="115">
        <f t="shared" si="32"/>
        <v>0</v>
      </c>
      <c r="U41" s="115">
        <f t="shared" si="33"/>
        <v>0</v>
      </c>
      <c r="V41" s="432">
        <f t="shared" si="34"/>
        <v>1.6048146008458659</v>
      </c>
      <c r="W41" s="357" t="s">
        <v>382</v>
      </c>
      <c r="X41" s="28"/>
    </row>
    <row r="42" spans="2:24" x14ac:dyDescent="0.35">
      <c r="B42" s="427"/>
      <c r="C42" s="429"/>
      <c r="D42" s="428"/>
      <c r="E42" s="430"/>
      <c r="F42" s="430"/>
      <c r="G42" s="152">
        <v>0</v>
      </c>
      <c r="H42" s="153">
        <v>0</v>
      </c>
      <c r="I42" s="153">
        <v>0</v>
      </c>
      <c r="J42" s="156">
        <v>0</v>
      </c>
      <c r="K42" s="437">
        <f>SUM(K30:K41)</f>
        <v>0</v>
      </c>
      <c r="L42" s="282">
        <v>0</v>
      </c>
      <c r="M42" s="282">
        <v>0</v>
      </c>
      <c r="N42" s="156">
        <v>0</v>
      </c>
      <c r="O42" s="152">
        <f>SUM(O38:O41)</f>
        <v>767.00951448481896</v>
      </c>
      <c r="P42" s="153">
        <f t="shared" ref="P42" si="35">SUM(P38:P41)</f>
        <v>0</v>
      </c>
      <c r="Q42" s="153">
        <f t="shared" ref="Q42" si="36">SUM(Q38:Q41)</f>
        <v>0</v>
      </c>
      <c r="R42" s="156">
        <f t="shared" ref="R42" si="37">SUM(R38:R41)</f>
        <v>767.00951448481896</v>
      </c>
      <c r="S42" s="152">
        <f t="shared" ref="S42" si="38">SUM(S38:S41)</f>
        <v>767.00951448481896</v>
      </c>
      <c r="T42" s="153">
        <f t="shared" ref="T42" si="39">SUM(T38:T41)</f>
        <v>0</v>
      </c>
      <c r="U42" s="153">
        <f t="shared" ref="U42" si="40">SUM(U38:U41)</f>
        <v>0</v>
      </c>
      <c r="V42" s="154">
        <f t="shared" ref="V42" si="41">SUM(V38:V41)</f>
        <v>767.00951448481896</v>
      </c>
      <c r="W42" s="357"/>
    </row>
    <row r="43" spans="2:24" x14ac:dyDescent="0.35">
      <c r="B43" s="435"/>
      <c r="C43" s="433"/>
      <c r="D43" s="435"/>
      <c r="E43" s="435"/>
      <c r="F43" s="433"/>
      <c r="G43" s="436">
        <v>0</v>
      </c>
      <c r="H43" s="434">
        <v>0</v>
      </c>
      <c r="I43" s="434">
        <v>0</v>
      </c>
      <c r="J43" s="442">
        <v>0</v>
      </c>
      <c r="K43" s="436">
        <v>0</v>
      </c>
      <c r="L43" s="434">
        <v>0</v>
      </c>
      <c r="M43" s="434">
        <v>0</v>
      </c>
      <c r="N43" s="441">
        <v>0</v>
      </c>
      <c r="O43" s="444">
        <f t="shared" ref="O43:U43" si="42">O42+O37+O33</f>
        <v>21952.363664563596</v>
      </c>
      <c r="P43" s="444">
        <f t="shared" si="42"/>
        <v>0</v>
      </c>
      <c r="Q43" s="444">
        <f t="shared" si="42"/>
        <v>0</v>
      </c>
      <c r="R43" s="442">
        <f t="shared" si="42"/>
        <v>22213.323133559632</v>
      </c>
      <c r="S43" s="444">
        <f t="shared" si="42"/>
        <v>21952.363664563596</v>
      </c>
      <c r="T43" s="444">
        <f t="shared" si="42"/>
        <v>0</v>
      </c>
      <c r="U43" s="444">
        <f t="shared" si="42"/>
        <v>0</v>
      </c>
      <c r="V43" s="442">
        <f>V42+V37+V33</f>
        <v>22213.323133559632</v>
      </c>
      <c r="W43" s="15"/>
    </row>
    <row r="45" spans="2:24" x14ac:dyDescent="0.35">
      <c r="V45" s="76">
        <f>-1+V23/V43</f>
        <v>-0.10792328211690183</v>
      </c>
    </row>
    <row r="47" spans="2:24" x14ac:dyDescent="0.35">
      <c r="F47" s="28"/>
    </row>
    <row r="50" spans="14:23" x14ac:dyDescent="0.35">
      <c r="W50" s="28"/>
    </row>
    <row r="56" spans="14:23" x14ac:dyDescent="0.35">
      <c r="N56" s="28"/>
    </row>
  </sheetData>
  <sheetProtection algorithmName="SHA-512" hashValue="ZhDBWOkq+NFiJ3PVa3t1e2BtrfN2JoReA5bhxja22Uh7udlzZDo4cI4INtCzcx1rvWchgw/LVOU4wN8SvBEdZA==" saltValue="G6V6N/jhWpH6NLcqp6jC9Q==" spinCount="100000" sheet="1" objects="1" scenarios="1"/>
  <mergeCells count="8">
    <mergeCell ref="G8:J8"/>
    <mergeCell ref="K8:N8"/>
    <mergeCell ref="O8:R8"/>
    <mergeCell ref="S8:V8"/>
    <mergeCell ref="G28:J28"/>
    <mergeCell ref="K28:N28"/>
    <mergeCell ref="O28:R28"/>
    <mergeCell ref="S28:V2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5</vt:i4>
      </vt:variant>
    </vt:vector>
  </HeadingPairs>
  <TitlesOfParts>
    <vt:vector size="32" baseType="lpstr">
      <vt:lpstr>Bilan carbone ACV 2023</vt:lpstr>
      <vt:lpstr>Evolution 2019-2023</vt:lpstr>
      <vt:lpstr>Chaleur du bâtiment - Emission</vt:lpstr>
      <vt:lpstr>Chaleur du bâtiment - Calcul</vt:lpstr>
      <vt:lpstr>Electricité - Emissions </vt:lpstr>
      <vt:lpstr>Electricité - Calcul</vt:lpstr>
      <vt:lpstr>Mobilité pro.- Emissions</vt:lpstr>
      <vt:lpstr>Mobilité pro. - Calcul</vt:lpstr>
      <vt:lpstr>Mobilité pendulaire - Emissions</vt:lpstr>
      <vt:lpstr>Mobilité pendulaire - Calcul</vt:lpstr>
      <vt:lpstr>Agriculture - Emissions</vt:lpstr>
      <vt:lpstr>Agriculture - Calcul</vt:lpstr>
      <vt:lpstr>Construction - Emission</vt:lpstr>
      <vt:lpstr>Construction - Calcul</vt:lpstr>
      <vt:lpstr>Alimentation - Emission</vt:lpstr>
      <vt:lpstr>Alimentation - Calcul</vt:lpstr>
      <vt:lpstr>Achat de véhicule - Emissions</vt:lpstr>
      <vt:lpstr>Achat de véhicule - Calcul</vt:lpstr>
      <vt:lpstr>Matériel infor.- Emission</vt:lpstr>
      <vt:lpstr>Matériel infor. - Calcul</vt:lpstr>
      <vt:lpstr>Achats courants - Emissions </vt:lpstr>
      <vt:lpstr>Achat courant - Calcul</vt:lpstr>
      <vt:lpstr>Déchet - émissions</vt:lpstr>
      <vt:lpstr>Déchets - Calcul</vt:lpstr>
      <vt:lpstr>Facteur émissions</vt:lpstr>
      <vt:lpstr>Constante</vt:lpstr>
      <vt:lpstr>PRG100</vt:lpstr>
      <vt:lpstr>eff_voiture_2019_2023</vt:lpstr>
      <vt:lpstr>EPT_2019</vt:lpstr>
      <vt:lpstr>EPT_2023</vt:lpstr>
      <vt:lpstr>PRG_CH4</vt:lpstr>
      <vt:lpstr>PRG_N2O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Gunten Diane</dc:creator>
  <cp:lastModifiedBy>von Gunten Diane</cp:lastModifiedBy>
  <dcterms:created xsi:type="dcterms:W3CDTF">2015-06-05T18:19:34Z</dcterms:created>
  <dcterms:modified xsi:type="dcterms:W3CDTF">2026-01-20T15:08:35Z</dcterms:modified>
</cp:coreProperties>
</file>