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tables/table1.xml" ContentType="application/vnd.openxmlformats-officedocument.spreadsheetml.table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0.xml" ContentType="application/vnd.openxmlformats-officedocument.spreadsheetml.comments+xml"/>
  <Override PartName="/xl/drawings/drawing3.xml" ContentType="application/vnd.openxmlformats-officedocument.drawing+xml"/>
  <Override PartName="/xl/comments1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P:\2_30_OCDC\12_Cercle_Climat\14_Documentation\Concept et stratégie\organisation_bilan_carbone\livrables_techniques\doc_martin\"/>
    </mc:Choice>
  </mc:AlternateContent>
  <xr:revisionPtr revIDLastSave="0" documentId="13_ncr:1_{E8B6784D-2FA2-47E6-86C2-645B8DB6011A}" xr6:coauthVersionLast="47" xr6:coauthVersionMax="47" xr10:uidLastSave="{00000000-0000-0000-0000-000000000000}"/>
  <workbookProtection workbookAlgorithmName="SHA-512" workbookHashValue="TtB4wKTr/Oz+X7pgh2Svb5Mxv1azpmNjpoDp/E/boj09yd0UtuXnyLywqaS7aJBomQ79YCoggr1LB2Uz6danAQ==" workbookSaltValue="YG3B5WIKcpVvUH0EeyXdxA==" workbookSpinCount="100000" lockStructure="1"/>
  <bookViews>
    <workbookView xWindow="10" yWindow="10" windowWidth="19180" windowHeight="10060" xr2:uid="{30E14640-B321-48B5-B07D-65676A326A66}"/>
  </bookViews>
  <sheets>
    <sheet name="Resultat 2023" sheetId="1" r:id="rId1"/>
    <sheet name="Evolution 1990 - 2023" sheetId="2" r:id="rId2"/>
    <sheet name="Secteur ----&gt;" sheetId="3" r:id="rId3"/>
    <sheet name="Transports - Emissions" sheetId="21" r:id="rId4"/>
    <sheet name="Transports - Calcul 2" sheetId="22" state="hidden" r:id="rId5"/>
    <sheet name="Transports - Calcul" sheetId="29" state="hidden" r:id="rId6"/>
    <sheet name="Chaleur du batiment - Emissions" sheetId="4" r:id="rId7"/>
    <sheet name="Chaleur du bâtiment - Calcul" sheetId="15" state="hidden" r:id="rId8"/>
    <sheet name="Electricite - Emissions" sheetId="5" r:id="rId9"/>
    <sheet name="Electricité - Calcul" sheetId="20" state="hidden" r:id="rId10"/>
    <sheet name="Industrie - Emissions" sheetId="18" r:id="rId11"/>
    <sheet name="Industrie - Calcul" sheetId="19" state="hidden" r:id="rId12"/>
    <sheet name="Déchets - Emissions" sheetId="23" r:id="rId13"/>
    <sheet name="Déchets - Calcul" sheetId="24" state="hidden" r:id="rId14"/>
    <sheet name="Gaz synth. - Emissions" sheetId="25" r:id="rId15"/>
    <sheet name="Gaz synth. - Calcul" sheetId="26" state="hidden" r:id="rId16"/>
    <sheet name="Agriculture - Emissions" sheetId="6" r:id="rId17"/>
    <sheet name="Agriculture - Calcul" sheetId="10" state="hidden" r:id="rId18"/>
    <sheet name="Consommation - Emissions" sheetId="27" r:id="rId19"/>
    <sheet name="Consommation - Calcul" sheetId="28" state="hidden" r:id="rId20"/>
    <sheet name="Forêt et sols - Emissions" sheetId="13" r:id="rId21"/>
    <sheet name="Calcul - Forêt et sols" sheetId="14" state="hidden" r:id="rId22"/>
    <sheet name="Constantes" sheetId="17" r:id="rId23"/>
    <sheet name="Facteurs d'émissions" sheetId="16" r:id="rId24"/>
    <sheet name="PRG100" sheetId="12" r:id="rId25"/>
  </sheets>
  <externalReferences>
    <externalReference r:id="rId26"/>
  </externalReferences>
  <definedNames>
    <definedName name="bouton_6t">#REF!</definedName>
    <definedName name="bouton_eff">#REF!</definedName>
    <definedName name="bouton_TOTAL">#REF!</definedName>
    <definedName name="bouton_TP">#REF!</definedName>
    <definedName name="CH4_PRG">'PRG100'!$D$7</definedName>
    <definedName name="demog">#REF!</definedName>
    <definedName name="N2O_PRG">'PRG100'!$D$8</definedName>
    <definedName name="Pop_CH_1990">Constantes!$C$8</definedName>
    <definedName name="POP_CH_2015">Constantes!$D$8</definedName>
    <definedName name="POP_CH_2019">Constantes!$E$8</definedName>
    <definedName name="POP_VD_1990">Constantes!$C$7</definedName>
    <definedName name="POP_VD_2015">Constantes!$D$7</definedName>
    <definedName name="POP_VD_2019">Constantes!$E$7</definedName>
    <definedName name="POP_VD_2023">Constantes!$F$7</definedName>
    <definedName name="range_feuilles">[1]!feuilles[Feuille]</definedName>
    <definedName name="range_type_modif_mineure">[1]!type_modif_mineure[Type de modification]</definedName>
    <definedName name="TJ_to_kWh">'Transports - Calcul 2'!$H$9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21" l="1"/>
  <c r="C63" i="21"/>
  <c r="C41" i="21"/>
  <c r="L42" i="1"/>
  <c r="L40" i="1"/>
  <c r="E75" i="28"/>
  <c r="H20" i="16"/>
  <c r="G15" i="18"/>
  <c r="K27" i="16"/>
  <c r="K8" i="5" l="1"/>
  <c r="L8" i="5" s="1"/>
  <c r="H10" i="20" l="1"/>
  <c r="H9" i="20"/>
  <c r="H8" i="20"/>
  <c r="T41" i="10"/>
  <c r="U41" i="10"/>
  <c r="V41" i="10"/>
  <c r="S41" i="10"/>
  <c r="T136" i="10"/>
  <c r="I80" i="14" l="1"/>
  <c r="F83" i="14"/>
  <c r="I56" i="14" l="1"/>
  <c r="I57" i="14"/>
  <c r="I58" i="14"/>
  <c r="I59" i="14"/>
  <c r="I60" i="14"/>
  <c r="I61" i="14"/>
  <c r="I62" i="14"/>
  <c r="I63" i="14"/>
  <c r="I64" i="14"/>
  <c r="I65" i="14"/>
  <c r="I66" i="14"/>
  <c r="I55" i="14"/>
  <c r="H64" i="14"/>
  <c r="H61" i="14"/>
  <c r="I41" i="14"/>
  <c r="I42" i="14"/>
  <c r="I43" i="14"/>
  <c r="I44" i="14"/>
  <c r="I45" i="14"/>
  <c r="I46" i="14"/>
  <c r="I47" i="14"/>
  <c r="I48" i="14"/>
  <c r="I49" i="14"/>
  <c r="I50" i="14"/>
  <c r="I51" i="14"/>
  <c r="I40" i="14"/>
  <c r="G80" i="14"/>
  <c r="G83" i="14" s="1"/>
  <c r="E10" i="13" s="1"/>
  <c r="M56" i="15"/>
  <c r="M49" i="15"/>
  <c r="C27" i="15"/>
  <c r="G44" i="14"/>
  <c r="H44" i="14" s="1"/>
  <c r="BF124" i="29"/>
  <c r="K63" i="21"/>
  <c r="R182" i="29"/>
  <c r="F51" i="22"/>
  <c r="L29" i="16"/>
  <c r="O29" i="16" s="1"/>
  <c r="K29" i="16"/>
  <c r="I51" i="22" s="1"/>
  <c r="G29" i="16"/>
  <c r="H51" i="22" s="1"/>
  <c r="J51" i="22" s="1"/>
  <c r="D29" i="16"/>
  <c r="X12" i="10"/>
  <c r="N11" i="10"/>
  <c r="E94" i="10" a="1"/>
  <c r="E94" i="10"/>
  <c r="K42" i="10"/>
  <c r="N41" i="10"/>
  <c r="K41" i="10"/>
  <c r="M41" i="10"/>
  <c r="L41" i="10"/>
  <c r="E136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G65" i="21"/>
  <c r="G66" i="21"/>
  <c r="G67" i="21"/>
  <c r="H65" i="21"/>
  <c r="H66" i="21"/>
  <c r="H67" i="21"/>
  <c r="I65" i="21"/>
  <c r="I66" i="21"/>
  <c r="I67" i="21"/>
  <c r="W149" i="10"/>
  <c r="E13" i="19"/>
  <c r="E14" i="19"/>
  <c r="E15" i="19"/>
  <c r="G32" i="21"/>
  <c r="J32" i="21"/>
  <c r="K32" i="21"/>
  <c r="G33" i="21"/>
  <c r="J33" i="21"/>
  <c r="K33" i="21"/>
  <c r="G34" i="21"/>
  <c r="J34" i="21"/>
  <c r="K34" i="21"/>
  <c r="G35" i="21"/>
  <c r="J35" i="21"/>
  <c r="K35" i="21"/>
  <c r="G36" i="21"/>
  <c r="J36" i="21"/>
  <c r="K36" i="21"/>
  <c r="G37" i="21"/>
  <c r="J37" i="21"/>
  <c r="K37" i="21"/>
  <c r="L37" i="21"/>
  <c r="E32" i="21"/>
  <c r="E33" i="21"/>
  <c r="E34" i="21"/>
  <c r="E35" i="21"/>
  <c r="E36" i="21"/>
  <c r="E37" i="21"/>
  <c r="E66" i="21"/>
  <c r="E15" i="22"/>
  <c r="D15" i="22"/>
  <c r="C15" i="22"/>
  <c r="C16" i="22"/>
  <c r="G63" i="21"/>
  <c r="E63" i="21"/>
  <c r="K61" i="21"/>
  <c r="G61" i="21"/>
  <c r="L61" i="21"/>
  <c r="K59" i="21"/>
  <c r="G59" i="21"/>
  <c r="J59" i="21"/>
  <c r="E59" i="21"/>
  <c r="K58" i="21"/>
  <c r="G58" i="21"/>
  <c r="J58" i="21"/>
  <c r="E58" i="21"/>
  <c r="K57" i="21"/>
  <c r="G57" i="21"/>
  <c r="J57" i="21"/>
  <c r="E57" i="21"/>
  <c r="K56" i="21"/>
  <c r="G56" i="21"/>
  <c r="E56" i="21"/>
  <c r="K55" i="21"/>
  <c r="G55" i="21"/>
  <c r="J55" i="21"/>
  <c r="E55" i="21"/>
  <c r="K54" i="21"/>
  <c r="G54" i="21"/>
  <c r="L54" i="21"/>
  <c r="E54" i="21"/>
  <c r="K41" i="21"/>
  <c r="G41" i="21"/>
  <c r="E41" i="21"/>
  <c r="L33" i="21"/>
  <c r="L35" i="21"/>
  <c r="L34" i="21"/>
  <c r="L36" i="21"/>
  <c r="L32" i="21"/>
  <c r="L58" i="21"/>
  <c r="L63" i="21"/>
  <c r="L56" i="21"/>
  <c r="L57" i="21"/>
  <c r="J61" i="21"/>
  <c r="L41" i="21"/>
  <c r="L55" i="21"/>
  <c r="J63" i="21"/>
  <c r="J56" i="21"/>
  <c r="L59" i="21"/>
  <c r="J54" i="21"/>
  <c r="J41" i="21"/>
  <c r="E19" i="21"/>
  <c r="K39" i="21"/>
  <c r="G39" i="21"/>
  <c r="E13" i="21"/>
  <c r="E14" i="21"/>
  <c r="E15" i="21"/>
  <c r="E12" i="21"/>
  <c r="E10" i="21"/>
  <c r="E11" i="21"/>
  <c r="G10" i="21"/>
  <c r="G11" i="21"/>
  <c r="G12" i="21"/>
  <c r="G13" i="21"/>
  <c r="G14" i="21"/>
  <c r="G15" i="21"/>
  <c r="K19" i="21"/>
  <c r="G19" i="21"/>
  <c r="G17" i="21"/>
  <c r="K17" i="21"/>
  <c r="K15" i="21"/>
  <c r="K14" i="21"/>
  <c r="K13" i="21"/>
  <c r="K12" i="21"/>
  <c r="K10" i="21"/>
  <c r="K11" i="21"/>
  <c r="L39" i="21"/>
  <c r="J39" i="21"/>
  <c r="G16" i="21"/>
  <c r="T11" i="29"/>
  <c r="U11" i="29"/>
  <c r="R11" i="29"/>
  <c r="BR19" i="29"/>
  <c r="BT19" i="29"/>
  <c r="BM19" i="29"/>
  <c r="BN19" i="29"/>
  <c r="BS19" i="29"/>
  <c r="BU19" i="29"/>
  <c r="R20" i="29"/>
  <c r="S20" i="29"/>
  <c r="U20" i="29"/>
  <c r="AN20" i="29"/>
  <c r="AU20" i="29"/>
  <c r="AH20" i="29"/>
  <c r="AP20" i="29"/>
  <c r="BH20" i="29"/>
  <c r="BL20" i="29"/>
  <c r="F21" i="29"/>
  <c r="R21" i="29"/>
  <c r="S21" i="29"/>
  <c r="U21" i="29"/>
  <c r="AN21" i="29"/>
  <c r="AU21" i="29"/>
  <c r="AH21" i="29"/>
  <c r="AO21" i="29"/>
  <c r="AP21" i="29"/>
  <c r="BH21" i="29"/>
  <c r="BL21" i="29"/>
  <c r="BM22" i="29"/>
  <c r="U22" i="29"/>
  <c r="S22" i="29"/>
  <c r="AU22" i="29"/>
  <c r="AH22" i="29"/>
  <c r="AJ22" i="29"/>
  <c r="AN22" i="29"/>
  <c r="BC23" i="29"/>
  <c r="AP22" i="29"/>
  <c r="BU23" i="29"/>
  <c r="Y23" i="29"/>
  <c r="AA23" i="29"/>
  <c r="BM23" i="29"/>
  <c r="BS23" i="29"/>
  <c r="S24" i="29"/>
  <c r="AH24" i="29"/>
  <c r="AP24" i="29"/>
  <c r="AV24" i="29"/>
  <c r="AN24" i="29"/>
  <c r="BM25" i="29"/>
  <c r="AU25" i="29"/>
  <c r="S25" i="29"/>
  <c r="U25" i="29"/>
  <c r="R25" i="29"/>
  <c r="AJ25" i="29"/>
  <c r="AH25" i="29"/>
  <c r="AP25" i="29"/>
  <c r="AN25" i="29"/>
  <c r="AG25" i="29"/>
  <c r="BL25" i="29"/>
  <c r="BU25" i="29"/>
  <c r="R26" i="29"/>
  <c r="BR26" i="29"/>
  <c r="BM27" i="29"/>
  <c r="U27" i="29"/>
  <c r="AG27" i="29"/>
  <c r="AN27" i="29"/>
  <c r="AJ27" i="29"/>
  <c r="R28" i="29"/>
  <c r="Y28" i="29"/>
  <c r="U28" i="29"/>
  <c r="AP28" i="29"/>
  <c r="BR28" i="29"/>
  <c r="R29" i="29"/>
  <c r="Y29" i="29"/>
  <c r="AG29" i="29"/>
  <c r="AN29" i="29"/>
  <c r="AJ29" i="29"/>
  <c r="AU29" i="29"/>
  <c r="AP29" i="29"/>
  <c r="BM29" i="29"/>
  <c r="U30" i="29"/>
  <c r="R30" i="29"/>
  <c r="AG30" i="29"/>
  <c r="AJ30" i="29"/>
  <c r="AU30" i="29"/>
  <c r="AP30" i="29"/>
  <c r="BM30" i="29"/>
  <c r="AP31" i="29"/>
  <c r="AJ31" i="29"/>
  <c r="AG31" i="29"/>
  <c r="AN31" i="29"/>
  <c r="BL31" i="29"/>
  <c r="BM31" i="29"/>
  <c r="BM32" i="29"/>
  <c r="BN32" i="29"/>
  <c r="BL32" i="29"/>
  <c r="BR33" i="29"/>
  <c r="BU33" i="29"/>
  <c r="AU33" i="29"/>
  <c r="AN33" i="29"/>
  <c r="AP33" i="29"/>
  <c r="BH33" i="29"/>
  <c r="BM34" i="29"/>
  <c r="AU34" i="29"/>
  <c r="AN34" i="29"/>
  <c r="AG34" i="29"/>
  <c r="BH34" i="29"/>
  <c r="BR34" i="29"/>
  <c r="BS35" i="29"/>
  <c r="T35" i="29"/>
  <c r="AN35" i="29"/>
  <c r="AU35" i="29"/>
  <c r="BH35" i="29"/>
  <c r="BL35" i="29"/>
  <c r="BM35" i="29"/>
  <c r="BL36" i="29"/>
  <c r="BM24" i="29"/>
  <c r="BN20" i="29"/>
  <c r="BM36" i="29"/>
  <c r="BC37" i="29"/>
  <c r="BH37" i="29"/>
  <c r="BK39" i="29"/>
  <c r="BM39" i="29"/>
  <c r="BN39" i="29"/>
  <c r="BR39" i="29"/>
  <c r="BS39" i="29"/>
  <c r="BT39" i="29"/>
  <c r="BU39" i="29"/>
  <c r="R40" i="29"/>
  <c r="AP40" i="29"/>
  <c r="AN40" i="29"/>
  <c r="BH40" i="29"/>
  <c r="BK40" i="29"/>
  <c r="BR40" i="29"/>
  <c r="BS40" i="29"/>
  <c r="AX41" i="29"/>
  <c r="U41" i="29"/>
  <c r="R41" i="29"/>
  <c r="AH41" i="29"/>
  <c r="AO41" i="29"/>
  <c r="AV41" i="29"/>
  <c r="BH41" i="29"/>
  <c r="BR41" i="29"/>
  <c r="S42" i="29"/>
  <c r="U42" i="29"/>
  <c r="AB42" i="29"/>
  <c r="AN42" i="29"/>
  <c r="AA43" i="29"/>
  <c r="T43" i="29"/>
  <c r="AH42" i="29"/>
  <c r="AO42" i="29"/>
  <c r="AJ42" i="29"/>
  <c r="AU42" i="29"/>
  <c r="AU62" i="29"/>
  <c r="AV42" i="29"/>
  <c r="AP42" i="29"/>
  <c r="BR42" i="29"/>
  <c r="BC43" i="29"/>
  <c r="AV43" i="29"/>
  <c r="BU43" i="29"/>
  <c r="BS44" i="29"/>
  <c r="U44" i="29"/>
  <c r="R44" i="29"/>
  <c r="S44" i="29"/>
  <c r="AH44" i="29"/>
  <c r="AO44" i="29"/>
  <c r="AJ44" i="29"/>
  <c r="AU44" i="29"/>
  <c r="AU64" i="29"/>
  <c r="AN44" i="29"/>
  <c r="AP44" i="29"/>
  <c r="BM44" i="29"/>
  <c r="BU44" i="29"/>
  <c r="BK45" i="29"/>
  <c r="S45" i="29"/>
  <c r="AP45" i="29"/>
  <c r="AH45" i="29"/>
  <c r="AJ45" i="29"/>
  <c r="AN45" i="29"/>
  <c r="BU45" i="29"/>
  <c r="R46" i="29"/>
  <c r="AQ46" i="29"/>
  <c r="BL46" i="29"/>
  <c r="BR46" i="29"/>
  <c r="BS46" i="29"/>
  <c r="R47" i="29"/>
  <c r="Y47" i="29"/>
  <c r="U47" i="29"/>
  <c r="AG47" i="29"/>
  <c r="AN47" i="29"/>
  <c r="AP47" i="29"/>
  <c r="AI47" i="29"/>
  <c r="AU47" i="29"/>
  <c r="AU67" i="29"/>
  <c r="BR47" i="29"/>
  <c r="BS47" i="29"/>
  <c r="BT47" i="29"/>
  <c r="AU48" i="29"/>
  <c r="AU68" i="29"/>
  <c r="X212" i="29"/>
  <c r="X223" i="29"/>
  <c r="R48" i="29"/>
  <c r="Y48" i="29"/>
  <c r="T48" i="29"/>
  <c r="U48" i="29"/>
  <c r="AG48" i="29"/>
  <c r="AN48" i="29"/>
  <c r="AJ48" i="29"/>
  <c r="AQ48" i="29"/>
  <c r="AP48" i="29"/>
  <c r="BK48" i="29"/>
  <c r="BL48" i="29"/>
  <c r="BR48" i="29"/>
  <c r="BS48" i="29"/>
  <c r="BU48" i="29"/>
  <c r="BK49" i="29"/>
  <c r="AG49" i="29"/>
  <c r="AN49" i="29"/>
  <c r="AH49" i="29"/>
  <c r="AO49" i="29"/>
  <c r="AJ49" i="29"/>
  <c r="BR49" i="29"/>
  <c r="BS49" i="29"/>
  <c r="BU49" i="29"/>
  <c r="R50" i="29"/>
  <c r="U50" i="29"/>
  <c r="AB50" i="29"/>
  <c r="AP50" i="29"/>
  <c r="AU50" i="29"/>
  <c r="AU70" i="29"/>
  <c r="X214" i="29"/>
  <c r="X225" i="29"/>
  <c r="BL50" i="29"/>
  <c r="BR50" i="29"/>
  <c r="BU50" i="29"/>
  <c r="BM51" i="29"/>
  <c r="AH51" i="29"/>
  <c r="AG51" i="29"/>
  <c r="AN51" i="29"/>
  <c r="AJ51" i="29"/>
  <c r="AX51" i="29"/>
  <c r="AP51" i="29"/>
  <c r="BR51" i="29"/>
  <c r="BS51" i="29"/>
  <c r="AX52" i="29"/>
  <c r="T52" i="29"/>
  <c r="BK52" i="29"/>
  <c r="BM52" i="29"/>
  <c r="BU52" i="29"/>
  <c r="BK53" i="29"/>
  <c r="T53" i="29"/>
  <c r="R53" i="29"/>
  <c r="S53" i="29"/>
  <c r="AJ53" i="29"/>
  <c r="AP53" i="29"/>
  <c r="AI53" i="29"/>
  <c r="AN53" i="29"/>
  <c r="BH53" i="29"/>
  <c r="BM53" i="29"/>
  <c r="BN53" i="29"/>
  <c r="BR53" i="29"/>
  <c r="R54" i="29"/>
  <c r="U54" i="29"/>
  <c r="T54" i="29"/>
  <c r="AN54" i="29"/>
  <c r="AU54" i="29"/>
  <c r="AU74" i="29"/>
  <c r="AH54" i="29"/>
  <c r="AO54" i="29"/>
  <c r="AJ54" i="29"/>
  <c r="AP54" i="29"/>
  <c r="AI54" i="29"/>
  <c r="BH54" i="29"/>
  <c r="BK54" i="29"/>
  <c r="BN54" i="29"/>
  <c r="BS54" i="29"/>
  <c r="BT54" i="29"/>
  <c r="BU54" i="29"/>
  <c r="AN55" i="29"/>
  <c r="AP55" i="29"/>
  <c r="AU55" i="29"/>
  <c r="AU75" i="29"/>
  <c r="AJ55" i="29"/>
  <c r="AQ55" i="29"/>
  <c r="AX55" i="29"/>
  <c r="BH55" i="29"/>
  <c r="BL55" i="29"/>
  <c r="BM55" i="29"/>
  <c r="BN55" i="29"/>
  <c r="BU55" i="29"/>
  <c r="BK41" i="29"/>
  <c r="BL45" i="29"/>
  <c r="BN41" i="29"/>
  <c r="BK56" i="29"/>
  <c r="BR56" i="29"/>
  <c r="BS56" i="29"/>
  <c r="BT56" i="29"/>
  <c r="BU56" i="29"/>
  <c r="J57" i="29"/>
  <c r="K57" i="29"/>
  <c r="L57" i="29"/>
  <c r="BH57" i="29"/>
  <c r="J59" i="29"/>
  <c r="K59" i="29"/>
  <c r="L59" i="29"/>
  <c r="M59" i="29"/>
  <c r="R59" i="29"/>
  <c r="S59" i="29"/>
  <c r="T59" i="29"/>
  <c r="U59" i="29"/>
  <c r="Y59" i="29"/>
  <c r="Z59" i="29"/>
  <c r="AA59" i="29"/>
  <c r="AB59" i="29"/>
  <c r="AG59" i="29"/>
  <c r="AH59" i="29"/>
  <c r="AI59" i="29"/>
  <c r="AJ59" i="29"/>
  <c r="AN59" i="29"/>
  <c r="AO59" i="29"/>
  <c r="AP59" i="29"/>
  <c r="AQ59" i="29"/>
  <c r="AV59" i="29"/>
  <c r="AW59" i="29"/>
  <c r="AX59" i="29"/>
  <c r="AY59" i="29"/>
  <c r="BC59" i="29"/>
  <c r="BD59" i="29"/>
  <c r="BE59" i="29"/>
  <c r="BF59" i="29"/>
  <c r="BK59" i="29"/>
  <c r="BL59" i="29"/>
  <c r="BM59" i="29"/>
  <c r="BN59" i="29"/>
  <c r="BR59" i="29"/>
  <c r="BS59" i="29"/>
  <c r="BT59" i="29"/>
  <c r="BU59" i="29"/>
  <c r="J60" i="29"/>
  <c r="K60" i="29"/>
  <c r="L60" i="29"/>
  <c r="M60" i="29"/>
  <c r="BU60" i="29"/>
  <c r="Q60" i="29"/>
  <c r="Y60" i="29"/>
  <c r="AA60" i="29"/>
  <c r="AF60" i="29"/>
  <c r="BC60" i="29"/>
  <c r="BE60" i="29"/>
  <c r="BH60" i="29"/>
  <c r="J61" i="29"/>
  <c r="BR61" i="29"/>
  <c r="K61" i="29"/>
  <c r="BS61" i="29"/>
  <c r="L61" i="29"/>
  <c r="M61" i="29"/>
  <c r="BU61" i="29"/>
  <c r="Q61" i="29"/>
  <c r="Y61" i="29"/>
  <c r="AA61" i="29"/>
  <c r="AF61" i="29"/>
  <c r="BC61" i="29"/>
  <c r="BE61" i="29"/>
  <c r="BH61" i="29"/>
  <c r="J62" i="29"/>
  <c r="BR62" i="29"/>
  <c r="K62" i="29"/>
  <c r="L62" i="29"/>
  <c r="BT62" i="29"/>
  <c r="M62" i="29"/>
  <c r="Q62" i="29"/>
  <c r="Y62" i="29"/>
  <c r="AA62" i="29"/>
  <c r="AF62" i="29"/>
  <c r="BC62" i="29"/>
  <c r="BE62" i="29"/>
  <c r="J63" i="29"/>
  <c r="K63" i="29"/>
  <c r="L63" i="29"/>
  <c r="M63" i="29"/>
  <c r="Q63" i="29"/>
  <c r="AF63" i="29"/>
  <c r="AU63" i="29"/>
  <c r="J64" i="29"/>
  <c r="K64" i="29"/>
  <c r="L64" i="29"/>
  <c r="M64" i="29"/>
  <c r="BU64" i="29"/>
  <c r="Q64" i="29"/>
  <c r="Y64" i="29"/>
  <c r="AA64" i="29"/>
  <c r="AF64" i="29"/>
  <c r="BC64" i="29"/>
  <c r="BE64" i="29"/>
  <c r="J65" i="29"/>
  <c r="BR65" i="29"/>
  <c r="K65" i="29"/>
  <c r="BS65" i="29"/>
  <c r="L65" i="29"/>
  <c r="M65" i="29"/>
  <c r="BU65" i="29"/>
  <c r="Q65" i="29"/>
  <c r="Y65" i="29"/>
  <c r="AA65" i="29"/>
  <c r="AF65" i="29"/>
  <c r="BC65" i="29"/>
  <c r="BE65" i="29"/>
  <c r="J66" i="29"/>
  <c r="K66" i="29"/>
  <c r="L66" i="29"/>
  <c r="M66" i="29"/>
  <c r="BU66" i="29"/>
  <c r="Q66" i="29"/>
  <c r="Y66" i="29"/>
  <c r="AA66" i="29"/>
  <c r="AF66" i="29"/>
  <c r="AU66" i="29"/>
  <c r="BC66" i="29"/>
  <c r="BE66" i="29"/>
  <c r="J67" i="29"/>
  <c r="K67" i="29"/>
  <c r="L67" i="29"/>
  <c r="M67" i="29"/>
  <c r="Q67" i="29"/>
  <c r="Q211" i="29"/>
  <c r="Q222" i="29"/>
  <c r="AA67" i="29"/>
  <c r="AF67" i="29"/>
  <c r="BE67" i="29"/>
  <c r="J68" i="29"/>
  <c r="K68" i="29"/>
  <c r="L68" i="29"/>
  <c r="BT68" i="29"/>
  <c r="M68" i="29"/>
  <c r="BU68" i="29"/>
  <c r="Q68" i="29"/>
  <c r="Q212" i="29"/>
  <c r="Q223" i="29"/>
  <c r="AA68" i="29"/>
  <c r="AF68" i="29"/>
  <c r="BE68" i="29"/>
  <c r="J69" i="29"/>
  <c r="BR69" i="29"/>
  <c r="K69" i="29"/>
  <c r="BS69" i="29"/>
  <c r="L69" i="29"/>
  <c r="M69" i="29"/>
  <c r="BU69" i="29"/>
  <c r="Q69" i="29"/>
  <c r="AA69" i="29"/>
  <c r="AF69" i="29"/>
  <c r="J70" i="29"/>
  <c r="BR70" i="29"/>
  <c r="K70" i="29"/>
  <c r="L70" i="29"/>
  <c r="BT70" i="29"/>
  <c r="M70" i="29"/>
  <c r="Q70" i="29"/>
  <c r="Q214" i="29"/>
  <c r="Q225" i="29"/>
  <c r="AA70" i="29"/>
  <c r="AF70" i="29"/>
  <c r="BE70" i="29"/>
  <c r="J71" i="29"/>
  <c r="K71" i="29"/>
  <c r="L71" i="29"/>
  <c r="AA71" i="29"/>
  <c r="AF71" i="29"/>
  <c r="BE71" i="29"/>
  <c r="J72" i="29"/>
  <c r="BR72" i="29"/>
  <c r="BR166" i="29"/>
  <c r="BR172" i="29"/>
  <c r="K72" i="29"/>
  <c r="L72" i="29"/>
  <c r="BT72" i="29"/>
  <c r="BT166" i="29"/>
  <c r="M72" i="29"/>
  <c r="BU72" i="29"/>
  <c r="BU166" i="29"/>
  <c r="AA72" i="29"/>
  <c r="BE72" i="29"/>
  <c r="J73" i="29"/>
  <c r="L73" i="29"/>
  <c r="M73" i="29"/>
  <c r="BU73" i="29"/>
  <c r="Q73" i="29"/>
  <c r="Y73" i="29"/>
  <c r="AA73" i="29"/>
  <c r="AF73" i="29"/>
  <c r="BC73" i="29"/>
  <c r="BE73" i="29"/>
  <c r="BH73" i="29"/>
  <c r="J74" i="29"/>
  <c r="BR74" i="29"/>
  <c r="K74" i="29"/>
  <c r="BS74" i="29"/>
  <c r="L74" i="29"/>
  <c r="M74" i="29"/>
  <c r="Q74" i="29"/>
  <c r="Y74" i="29"/>
  <c r="AA74" i="29"/>
  <c r="AF74" i="29"/>
  <c r="BC74" i="29"/>
  <c r="BE74" i="29"/>
  <c r="BH74" i="29"/>
  <c r="K75" i="29"/>
  <c r="BS75" i="29"/>
  <c r="L75" i="29"/>
  <c r="M75" i="29"/>
  <c r="BU75" i="29"/>
  <c r="Q75" i="29"/>
  <c r="Y75" i="29"/>
  <c r="AA75" i="29"/>
  <c r="AF75" i="29"/>
  <c r="BC75" i="29"/>
  <c r="BE75" i="29"/>
  <c r="BH75" i="29"/>
  <c r="J76" i="29"/>
  <c r="K76" i="29"/>
  <c r="BS76" i="29"/>
  <c r="BS169" i="29"/>
  <c r="L76" i="29"/>
  <c r="BT76" i="29"/>
  <c r="BT169" i="29"/>
  <c r="M76" i="29"/>
  <c r="BH77" i="29"/>
  <c r="AG80" i="29"/>
  <c r="AH80" i="29"/>
  <c r="AI80" i="29"/>
  <c r="AJ80" i="29"/>
  <c r="BK80" i="29"/>
  <c r="BL80" i="29"/>
  <c r="BM80" i="29"/>
  <c r="BN80" i="29"/>
  <c r="BR80" i="29"/>
  <c r="BS80" i="29"/>
  <c r="BT80" i="29"/>
  <c r="BU80" i="29"/>
  <c r="C82" i="29"/>
  <c r="E82" i="29"/>
  <c r="BU87" i="29"/>
  <c r="R81" i="29"/>
  <c r="S81" i="29"/>
  <c r="AN81" i="29"/>
  <c r="AP81" i="29"/>
  <c r="BH81" i="29"/>
  <c r="BK81" i="29"/>
  <c r="BR81" i="29"/>
  <c r="BU82" i="29"/>
  <c r="S82" i="29"/>
  <c r="Z82" i="29"/>
  <c r="T82" i="29"/>
  <c r="AN82" i="29"/>
  <c r="AP82" i="29"/>
  <c r="AU82" i="29"/>
  <c r="AV82" i="29"/>
  <c r="AX82" i="29"/>
  <c r="BH82" i="29"/>
  <c r="S83" i="29"/>
  <c r="Z83" i="29"/>
  <c r="U83" i="29"/>
  <c r="AU83" i="29"/>
  <c r="AH83" i="29"/>
  <c r="AO83" i="29"/>
  <c r="AN83" i="29"/>
  <c r="BL83" i="29"/>
  <c r="BR83" i="29"/>
  <c r="BK84" i="29"/>
  <c r="BU84" i="29"/>
  <c r="R84" i="29"/>
  <c r="BR84" i="29"/>
  <c r="BS84" i="29"/>
  <c r="BT84" i="29"/>
  <c r="BK85" i="29"/>
  <c r="T85" i="29"/>
  <c r="R85" i="29"/>
  <c r="S85" i="29"/>
  <c r="AH85" i="29"/>
  <c r="AJ85" i="29"/>
  <c r="AN85" i="29"/>
  <c r="AG85" i="29"/>
  <c r="AU85" i="29"/>
  <c r="AP85" i="29"/>
  <c r="BS85" i="29"/>
  <c r="BT85" i="29"/>
  <c r="BU85" i="29"/>
  <c r="R86" i="29"/>
  <c r="BL86" i="29"/>
  <c r="BT86" i="29"/>
  <c r="S86" i="29"/>
  <c r="AH86" i="29"/>
  <c r="AN86" i="29"/>
  <c r="AG86" i="29"/>
  <c r="AQ87" i="29"/>
  <c r="AJ87" i="29"/>
  <c r="AV86" i="29"/>
  <c r="AX86" i="29"/>
  <c r="AP86" i="29"/>
  <c r="BM86" i="29"/>
  <c r="BR86" i="29"/>
  <c r="BS86" i="29"/>
  <c r="BK87" i="29"/>
  <c r="BL87" i="29"/>
  <c r="BM87" i="29"/>
  <c r="BN87" i="29"/>
  <c r="R87" i="29"/>
  <c r="T87" i="29"/>
  <c r="AO87" i="29"/>
  <c r="AV87" i="29"/>
  <c r="BR87" i="29"/>
  <c r="BT87" i="29"/>
  <c r="BS88" i="29"/>
  <c r="R88" i="29"/>
  <c r="S88" i="29"/>
  <c r="U88" i="29"/>
  <c r="AB88" i="29"/>
  <c r="AP88" i="29"/>
  <c r="BN88" i="29"/>
  <c r="BR88" i="29"/>
  <c r="BU88" i="29"/>
  <c r="BM89" i="29"/>
  <c r="S89" i="29"/>
  <c r="T89" i="29"/>
  <c r="AG89" i="29"/>
  <c r="AN89" i="29"/>
  <c r="AH89" i="29"/>
  <c r="AO89" i="29"/>
  <c r="AJ89" i="29"/>
  <c r="AQ89" i="29"/>
  <c r="AP89" i="29"/>
  <c r="AI89" i="29"/>
  <c r="BR89" i="29"/>
  <c r="BS89" i="29"/>
  <c r="BT89" i="29"/>
  <c r="BU89" i="29"/>
  <c r="BR90" i="29"/>
  <c r="AX90" i="29"/>
  <c r="R90" i="29"/>
  <c r="U90" i="29"/>
  <c r="AB90" i="29"/>
  <c r="T90" i="29"/>
  <c r="AG90" i="29"/>
  <c r="AU90" i="29"/>
  <c r="BM90" i="29"/>
  <c r="BT90" i="29"/>
  <c r="T91" i="29"/>
  <c r="S91" i="29"/>
  <c r="AJ91" i="29"/>
  <c r="AP91" i="29"/>
  <c r="BK91" i="29"/>
  <c r="BR91" i="29"/>
  <c r="BS91" i="29"/>
  <c r="BT91" i="29"/>
  <c r="BU91" i="29"/>
  <c r="BM92" i="29"/>
  <c r="AU92" i="29"/>
  <c r="S92" i="29"/>
  <c r="T92" i="29"/>
  <c r="U92" i="29"/>
  <c r="AG92" i="29"/>
  <c r="AN92" i="29"/>
  <c r="AH92" i="29"/>
  <c r="AO92" i="29"/>
  <c r="AJ92" i="29"/>
  <c r="AQ92" i="29"/>
  <c r="AP92" i="29"/>
  <c r="AI92" i="29"/>
  <c r="AX92" i="29"/>
  <c r="BK92" i="29"/>
  <c r="BL92" i="29"/>
  <c r="BR92" i="29"/>
  <c r="BS92" i="29"/>
  <c r="BT92" i="29"/>
  <c r="BU92" i="29"/>
  <c r="BU93" i="29"/>
  <c r="AX93" i="29"/>
  <c r="BK93" i="29"/>
  <c r="BR93" i="29"/>
  <c r="BS93" i="29"/>
  <c r="BT93" i="29"/>
  <c r="BK94" i="29"/>
  <c r="BM94" i="29"/>
  <c r="AU94" i="29"/>
  <c r="T94" i="29"/>
  <c r="AH94" i="29"/>
  <c r="AO94" i="29"/>
  <c r="AJ94" i="29"/>
  <c r="AQ94" i="29"/>
  <c r="AP94" i="29"/>
  <c r="AI94" i="29"/>
  <c r="AV94" i="29"/>
  <c r="AX94" i="29"/>
  <c r="BH94" i="29"/>
  <c r="BR94" i="29"/>
  <c r="BS94" i="29"/>
  <c r="BT94" i="29"/>
  <c r="BU94" i="29"/>
  <c r="BR95" i="29"/>
  <c r="BU95" i="29"/>
  <c r="AU95" i="29"/>
  <c r="AH95" i="29"/>
  <c r="AJ95" i="29"/>
  <c r="AQ95" i="29"/>
  <c r="AN95" i="29"/>
  <c r="AV95" i="29"/>
  <c r="AP95" i="29"/>
  <c r="BH95" i="29"/>
  <c r="BK95" i="29"/>
  <c r="BM95" i="29"/>
  <c r="BN95" i="29"/>
  <c r="T96" i="29"/>
  <c r="AU96" i="29"/>
  <c r="R96" i="29"/>
  <c r="AP96" i="29"/>
  <c r="AI96" i="29"/>
  <c r="AH96" i="29"/>
  <c r="AO96" i="29"/>
  <c r="AJ96" i="29"/>
  <c r="AQ96" i="29"/>
  <c r="AX96" i="29"/>
  <c r="AN96" i="29"/>
  <c r="BH96" i="29"/>
  <c r="BK96" i="29"/>
  <c r="BR96" i="29"/>
  <c r="BS96" i="29"/>
  <c r="BT96" i="29"/>
  <c r="BU96" i="29"/>
  <c r="BK82" i="29"/>
  <c r="BL94" i="29"/>
  <c r="AA97" i="29"/>
  <c r="T97" i="29"/>
  <c r="BK97" i="29"/>
  <c r="BL97" i="29"/>
  <c r="BM97" i="29"/>
  <c r="BN97" i="29"/>
  <c r="BR97" i="29"/>
  <c r="BS97" i="29"/>
  <c r="BT97" i="29"/>
  <c r="BU97" i="29"/>
  <c r="J98" i="29"/>
  <c r="L98" i="29"/>
  <c r="M98" i="29"/>
  <c r="BH98" i="29"/>
  <c r="AG101" i="29"/>
  <c r="AH101" i="29"/>
  <c r="AI101" i="29"/>
  <c r="AJ101" i="29"/>
  <c r="BK101" i="29"/>
  <c r="BL101" i="29"/>
  <c r="BM101" i="29"/>
  <c r="BN101" i="29"/>
  <c r="BR101" i="29"/>
  <c r="BS101" i="29"/>
  <c r="BT101" i="29"/>
  <c r="BU101" i="29"/>
  <c r="S102" i="29"/>
  <c r="R102" i="29"/>
  <c r="T102" i="29"/>
  <c r="AA102" i="29"/>
  <c r="U102" i="29"/>
  <c r="AB102" i="29"/>
  <c r="AG102" i="29"/>
  <c r="AH102" i="29"/>
  <c r="AI102" i="29"/>
  <c r="AP102" i="29"/>
  <c r="AJ102" i="29"/>
  <c r="AU102" i="29"/>
  <c r="BH102" i="29"/>
  <c r="BM102" i="29"/>
  <c r="BT102" i="29"/>
  <c r="E103" i="29"/>
  <c r="AN103" i="29"/>
  <c r="S103" i="29"/>
  <c r="R103" i="29"/>
  <c r="T103" i="29"/>
  <c r="U103" i="29"/>
  <c r="AG103" i="29"/>
  <c r="AH103" i="29"/>
  <c r="AI103" i="29"/>
  <c r="AP103" i="29"/>
  <c r="AJ103" i="29"/>
  <c r="AU103" i="29"/>
  <c r="BH103" i="29"/>
  <c r="BR103" i="29"/>
  <c r="BT103" i="29"/>
  <c r="AO104" i="29"/>
  <c r="AQ104" i="29"/>
  <c r="R104" i="29"/>
  <c r="S104" i="29"/>
  <c r="T104" i="29"/>
  <c r="Y104" i="29"/>
  <c r="Y130" i="29"/>
  <c r="AB104" i="29"/>
  <c r="AJ104" i="29"/>
  <c r="AG104" i="29"/>
  <c r="AH104" i="29"/>
  <c r="AI104" i="29"/>
  <c r="AN104" i="29"/>
  <c r="AP104" i="29"/>
  <c r="BR104" i="29"/>
  <c r="BS104" i="29"/>
  <c r="BU104" i="29"/>
  <c r="F106" i="29"/>
  <c r="BS105" i="29"/>
  <c r="BR105" i="29"/>
  <c r="D106" i="29"/>
  <c r="E106" i="29"/>
  <c r="BL106" i="29"/>
  <c r="AG106" i="29"/>
  <c r="BR106" i="29"/>
  <c r="BS106" i="29"/>
  <c r="BT106" i="29"/>
  <c r="BL107" i="29"/>
  <c r="R107" i="29"/>
  <c r="S107" i="29"/>
  <c r="Z107" i="29"/>
  <c r="T107" i="29"/>
  <c r="U107" i="29"/>
  <c r="AB107" i="29"/>
  <c r="AG107" i="29"/>
  <c r="BR107" i="29"/>
  <c r="BU107" i="29"/>
  <c r="BR108" i="29"/>
  <c r="BS108" i="29"/>
  <c r="BT108" i="29"/>
  <c r="BR109" i="29"/>
  <c r="S109" i="29"/>
  <c r="Z109" i="29"/>
  <c r="R109" i="29"/>
  <c r="T109" i="29"/>
  <c r="AA109" i="29"/>
  <c r="AA135" i="29"/>
  <c r="U109" i="29"/>
  <c r="AB109" i="29"/>
  <c r="AG109" i="29"/>
  <c r="AH109" i="29"/>
  <c r="AO109" i="29"/>
  <c r="AI109" i="29"/>
  <c r="AP109" i="29"/>
  <c r="AJ109" i="29"/>
  <c r="AQ109" i="29"/>
  <c r="AU109" i="29"/>
  <c r="BL109" i="29"/>
  <c r="BN109" i="29"/>
  <c r="BS109" i="29"/>
  <c r="BT109" i="29"/>
  <c r="R110" i="29"/>
  <c r="AJ110" i="29"/>
  <c r="AG110" i="29"/>
  <c r="AN110" i="29"/>
  <c r="AH110" i="29"/>
  <c r="AO110" i="29"/>
  <c r="AI110" i="29"/>
  <c r="AP110" i="29"/>
  <c r="BR110" i="29"/>
  <c r="BS110" i="29"/>
  <c r="BT110" i="29"/>
  <c r="BU110" i="29"/>
  <c r="AU111" i="29"/>
  <c r="S111" i="29"/>
  <c r="Z111" i="29"/>
  <c r="T111" i="29"/>
  <c r="AA111" i="29"/>
  <c r="AA137" i="29"/>
  <c r="U111" i="29"/>
  <c r="AB111" i="29"/>
  <c r="AG111" i="29"/>
  <c r="AN111" i="29"/>
  <c r="BL111" i="29"/>
  <c r="BN111" i="29"/>
  <c r="BR111" i="29"/>
  <c r="BS111" i="29"/>
  <c r="BU111" i="29"/>
  <c r="AI112" i="29"/>
  <c r="AG112" i="29"/>
  <c r="AN112" i="29"/>
  <c r="AH112" i="29"/>
  <c r="AO112" i="29"/>
  <c r="AJ112" i="29"/>
  <c r="BR112" i="29"/>
  <c r="BS112" i="29"/>
  <c r="BT112" i="29"/>
  <c r="S113" i="29"/>
  <c r="Z113" i="29"/>
  <c r="R113" i="29"/>
  <c r="U113" i="29"/>
  <c r="AH113" i="29"/>
  <c r="AO113" i="29"/>
  <c r="AG113" i="29"/>
  <c r="AI113" i="29"/>
  <c r="AP113" i="29"/>
  <c r="AP139" i="29"/>
  <c r="AJ113" i="29"/>
  <c r="AU113" i="29"/>
  <c r="BM113" i="29"/>
  <c r="BT113" i="29"/>
  <c r="BU113" i="29"/>
  <c r="E114" i="29"/>
  <c r="BS114" i="29"/>
  <c r="BN114" i="29"/>
  <c r="BR114" i="29"/>
  <c r="BT114" i="29"/>
  <c r="BU114" i="29"/>
  <c r="S115" i="29"/>
  <c r="T115" i="29"/>
  <c r="AA115" i="29"/>
  <c r="AA141" i="29"/>
  <c r="AH115" i="29"/>
  <c r="AO115" i="29"/>
  <c r="AG115" i="29"/>
  <c r="AN115" i="29"/>
  <c r="AJ115" i="29"/>
  <c r="BH115" i="29"/>
  <c r="BR115" i="29"/>
  <c r="BS115" i="29"/>
  <c r="BT115" i="29"/>
  <c r="BU115" i="29"/>
  <c r="S116" i="29"/>
  <c r="Z116" i="29"/>
  <c r="R116" i="29"/>
  <c r="T116" i="29"/>
  <c r="U116" i="29"/>
  <c r="AB116" i="29"/>
  <c r="AU116" i="29"/>
  <c r="BH116" i="29"/>
  <c r="BL116" i="29"/>
  <c r="BN116" i="29"/>
  <c r="BS116" i="29"/>
  <c r="BU116" i="29"/>
  <c r="Y117" i="29"/>
  <c r="Y143" i="29"/>
  <c r="AO117" i="29"/>
  <c r="BT117" i="29"/>
  <c r="AA117" i="29"/>
  <c r="AA143" i="29"/>
  <c r="AI117" i="29"/>
  <c r="AG117" i="29"/>
  <c r="AH117" i="29"/>
  <c r="AJ117" i="29"/>
  <c r="AN117" i="29"/>
  <c r="BH117" i="29"/>
  <c r="BL117" i="29"/>
  <c r="BM117" i="29"/>
  <c r="BR117" i="29"/>
  <c r="BS117" i="29"/>
  <c r="BS143" i="29"/>
  <c r="BL108" i="29"/>
  <c r="BM109" i="29"/>
  <c r="BN113" i="29"/>
  <c r="BK118" i="29"/>
  <c r="BL118" i="29"/>
  <c r="BN118" i="29"/>
  <c r="BS118" i="29"/>
  <c r="BT118" i="29"/>
  <c r="BU118" i="29"/>
  <c r="J119" i="29"/>
  <c r="K119" i="29"/>
  <c r="L119" i="29"/>
  <c r="M119" i="29"/>
  <c r="BH119" i="29"/>
  <c r="J127" i="29"/>
  <c r="K127" i="29"/>
  <c r="L127" i="29"/>
  <c r="M127" i="29"/>
  <c r="R127" i="29"/>
  <c r="S127" i="29"/>
  <c r="T127" i="29"/>
  <c r="U127" i="29"/>
  <c r="Y127" i="29"/>
  <c r="Z127" i="29"/>
  <c r="AA127" i="29"/>
  <c r="AB127" i="29"/>
  <c r="AG127" i="29"/>
  <c r="AH127" i="29"/>
  <c r="AI127" i="29"/>
  <c r="AJ127" i="29"/>
  <c r="AN127" i="29"/>
  <c r="AO127" i="29"/>
  <c r="AP127" i="29"/>
  <c r="AQ127" i="29"/>
  <c r="AV127" i="29"/>
  <c r="AW127" i="29"/>
  <c r="AX127" i="29"/>
  <c r="AY127" i="29"/>
  <c r="BC127" i="29"/>
  <c r="BD127" i="29"/>
  <c r="BE127" i="29"/>
  <c r="BF127" i="29"/>
  <c r="BK127" i="29"/>
  <c r="BL127" i="29"/>
  <c r="BM127" i="29"/>
  <c r="BN127" i="29"/>
  <c r="BR127" i="29"/>
  <c r="BS127" i="29"/>
  <c r="BT127" i="29"/>
  <c r="BU127" i="29"/>
  <c r="J128" i="29"/>
  <c r="K128" i="29"/>
  <c r="L128" i="29"/>
  <c r="M128" i="29"/>
  <c r="BH128" i="29"/>
  <c r="J129" i="29"/>
  <c r="J204" i="29"/>
  <c r="K129" i="29"/>
  <c r="K204" i="29"/>
  <c r="L129" i="29"/>
  <c r="L204" i="29"/>
  <c r="M129" i="29"/>
  <c r="M204" i="29"/>
  <c r="BH129" i="29"/>
  <c r="J130" i="29"/>
  <c r="K130" i="29"/>
  <c r="L130" i="29"/>
  <c r="M130" i="29"/>
  <c r="J131" i="29"/>
  <c r="K131" i="29"/>
  <c r="L131" i="29"/>
  <c r="M131" i="29"/>
  <c r="J132" i="29"/>
  <c r="K132" i="29"/>
  <c r="L132" i="29"/>
  <c r="M132" i="29"/>
  <c r="J133" i="29"/>
  <c r="J205" i="29"/>
  <c r="K133" i="29"/>
  <c r="K205" i="29"/>
  <c r="L133" i="29"/>
  <c r="L205" i="29"/>
  <c r="M133" i="29"/>
  <c r="M205" i="29"/>
  <c r="J134" i="29"/>
  <c r="K134" i="29"/>
  <c r="L134" i="29"/>
  <c r="M134" i="29"/>
  <c r="J135" i="29"/>
  <c r="K135" i="29"/>
  <c r="L135" i="29"/>
  <c r="M135" i="29"/>
  <c r="J136" i="29"/>
  <c r="K136" i="29"/>
  <c r="L136" i="29"/>
  <c r="M136" i="29"/>
  <c r="J137" i="29"/>
  <c r="K137" i="29"/>
  <c r="L137" i="29"/>
  <c r="M137" i="29"/>
  <c r="J138" i="29"/>
  <c r="K138" i="29"/>
  <c r="L138" i="29"/>
  <c r="J139" i="29"/>
  <c r="J206" i="29"/>
  <c r="Q206" i="29"/>
  <c r="K139" i="29"/>
  <c r="L139" i="29"/>
  <c r="L206" i="29"/>
  <c r="M139" i="29"/>
  <c r="M206" i="29"/>
  <c r="J140" i="29"/>
  <c r="K140" i="29"/>
  <c r="M140" i="29"/>
  <c r="J141" i="29"/>
  <c r="K141" i="29"/>
  <c r="L141" i="29"/>
  <c r="M141" i="29"/>
  <c r="BH141" i="29"/>
  <c r="J142" i="29"/>
  <c r="K142" i="29"/>
  <c r="L142" i="29"/>
  <c r="M142" i="29"/>
  <c r="BH142" i="29"/>
  <c r="J143" i="29"/>
  <c r="K143" i="29"/>
  <c r="L143" i="29"/>
  <c r="M143" i="29"/>
  <c r="BH143" i="29"/>
  <c r="J144" i="29"/>
  <c r="K144" i="29"/>
  <c r="L144" i="29"/>
  <c r="M144" i="29"/>
  <c r="BH145" i="29"/>
  <c r="J148" i="29"/>
  <c r="K148" i="29"/>
  <c r="L148" i="29"/>
  <c r="M148" i="29"/>
  <c r="R148" i="29"/>
  <c r="S148" i="29"/>
  <c r="T148" i="29"/>
  <c r="U148" i="29"/>
  <c r="Y148" i="29"/>
  <c r="Z148" i="29"/>
  <c r="AA148" i="29"/>
  <c r="AB148" i="29"/>
  <c r="BR148" i="29"/>
  <c r="BS148" i="29"/>
  <c r="BT148" i="29"/>
  <c r="BU148" i="29"/>
  <c r="R149" i="29"/>
  <c r="T149" i="29"/>
  <c r="R150" i="29"/>
  <c r="T150" i="29"/>
  <c r="R151" i="29"/>
  <c r="T151" i="29"/>
  <c r="R153" i="29"/>
  <c r="T153" i="29"/>
  <c r="R154" i="29"/>
  <c r="T154" i="29"/>
  <c r="R155" i="29"/>
  <c r="T155" i="29"/>
  <c r="T156" i="29"/>
  <c r="T157" i="29"/>
  <c r="T158" i="29"/>
  <c r="T159" i="29"/>
  <c r="T160" i="29"/>
  <c r="T161" i="29"/>
  <c r="R162" i="29"/>
  <c r="T162" i="29"/>
  <c r="R163" i="29"/>
  <c r="T163" i="29"/>
  <c r="R164" i="29"/>
  <c r="T164" i="29"/>
  <c r="R168" i="29"/>
  <c r="Y182" i="29"/>
  <c r="S168" i="29"/>
  <c r="S182" i="29"/>
  <c r="Z182" i="29"/>
  <c r="T168" i="29"/>
  <c r="U168" i="29"/>
  <c r="U182" i="29"/>
  <c r="AB182" i="29"/>
  <c r="Y168" i="29"/>
  <c r="Z168" i="29"/>
  <c r="AA168" i="29"/>
  <c r="AB168" i="29"/>
  <c r="J177" i="29"/>
  <c r="K177" i="29"/>
  <c r="L177" i="29"/>
  <c r="M177" i="29"/>
  <c r="R177" i="29"/>
  <c r="S177" i="29"/>
  <c r="T177" i="29"/>
  <c r="U177" i="29"/>
  <c r="Y177" i="29"/>
  <c r="Z177" i="29"/>
  <c r="AA177" i="29"/>
  <c r="AB177" i="29"/>
  <c r="Y183" i="29"/>
  <c r="AA183" i="29"/>
  <c r="AB183" i="29"/>
  <c r="AA184" i="29"/>
  <c r="AB184" i="29"/>
  <c r="Y184" i="29"/>
  <c r="Z184" i="29"/>
  <c r="AA189" i="29"/>
  <c r="AB189" i="29"/>
  <c r="K190" i="29"/>
  <c r="L190" i="29"/>
  <c r="M190" i="29"/>
  <c r="Y189" i="29"/>
  <c r="Y194" i="29"/>
  <c r="Z194" i="29"/>
  <c r="AA194" i="29"/>
  <c r="AB194" i="29"/>
  <c r="Y196" i="29"/>
  <c r="Z196" i="29"/>
  <c r="AA196" i="29"/>
  <c r="AB196" i="29"/>
  <c r="J203" i="29"/>
  <c r="K203" i="29"/>
  <c r="L203" i="29"/>
  <c r="M203" i="29"/>
  <c r="Q203" i="29"/>
  <c r="R203" i="29"/>
  <c r="S203" i="29"/>
  <c r="T203" i="29"/>
  <c r="U203" i="29"/>
  <c r="R207" i="29"/>
  <c r="S207" i="29"/>
  <c r="T207" i="29"/>
  <c r="U207" i="29"/>
  <c r="Q210" i="29"/>
  <c r="R210" i="29"/>
  <c r="S210" i="29"/>
  <c r="T210" i="29"/>
  <c r="U210" i="29"/>
  <c r="X210" i="29"/>
  <c r="Y210" i="29"/>
  <c r="Z210" i="29"/>
  <c r="AA210" i="29"/>
  <c r="AB210" i="29"/>
  <c r="X211" i="29"/>
  <c r="X222" i="29"/>
  <c r="Q213" i="29"/>
  <c r="Q224" i="29"/>
  <c r="Q216" i="29"/>
  <c r="Q227" i="29"/>
  <c r="X216" i="29"/>
  <c r="X227" i="29"/>
  <c r="Q217" i="29"/>
  <c r="Q228" i="29"/>
  <c r="X217" i="29"/>
  <c r="X228" i="29"/>
  <c r="Q218" i="29"/>
  <c r="Q229" i="29"/>
  <c r="X218" i="29"/>
  <c r="X229" i="29"/>
  <c r="Q221" i="29"/>
  <c r="R221" i="29"/>
  <c r="S221" i="29"/>
  <c r="T221" i="29"/>
  <c r="U221" i="29"/>
  <c r="X221" i="29"/>
  <c r="Y221" i="29"/>
  <c r="Z221" i="29"/>
  <c r="AA221" i="29"/>
  <c r="AB221" i="29"/>
  <c r="G37" i="6"/>
  <c r="E37" i="6"/>
  <c r="F37" i="6"/>
  <c r="M137" i="10"/>
  <c r="G38" i="6"/>
  <c r="H38" i="6" s="1"/>
  <c r="J38" i="6" s="1"/>
  <c r="M94" i="10" a="1"/>
  <c r="M94" i="10"/>
  <c r="E40" i="6"/>
  <c r="H40" i="6" s="1"/>
  <c r="J40" i="6" s="1"/>
  <c r="G24" i="6"/>
  <c r="I137" i="10"/>
  <c r="G25" i="6"/>
  <c r="H25" i="6" s="1"/>
  <c r="J25" i="6" s="1"/>
  <c r="I94" i="10" a="1"/>
  <c r="I94" i="10"/>
  <c r="F24" i="6"/>
  <c r="E24" i="6"/>
  <c r="E26" i="6" s="1"/>
  <c r="E27" i="6"/>
  <c r="H27" i="6" s="1"/>
  <c r="J27" i="6" s="1"/>
  <c r="G11" i="6"/>
  <c r="F28" i="1" s="1"/>
  <c r="E11" i="6"/>
  <c r="E13" i="6" s="1"/>
  <c r="F11" i="6"/>
  <c r="E137" i="10"/>
  <c r="G12" i="6"/>
  <c r="H12" i="6" s="1"/>
  <c r="J12" i="6" s="1"/>
  <c r="E14" i="6"/>
  <c r="H14" i="6" s="1"/>
  <c r="J14" i="6" s="1"/>
  <c r="J30" i="1" s="1"/>
  <c r="M30" i="1" s="1"/>
  <c r="B43" i="2"/>
  <c r="B44" i="2"/>
  <c r="B45" i="2"/>
  <c r="B46" i="2"/>
  <c r="B42" i="2"/>
  <c r="AN62" i="29"/>
  <c r="AG62" i="29"/>
  <c r="AP128" i="29"/>
  <c r="L149" i="29"/>
  <c r="AN75" i="29"/>
  <c r="AP73" i="29"/>
  <c r="BC63" i="29"/>
  <c r="AP70" i="29"/>
  <c r="AI70" i="29"/>
  <c r="BS131" i="29"/>
  <c r="AN73" i="29"/>
  <c r="AG73" i="29"/>
  <c r="AN64" i="29"/>
  <c r="AW85" i="29"/>
  <c r="AN60" i="29"/>
  <c r="BR136" i="29"/>
  <c r="BR141" i="29"/>
  <c r="BK61" i="29"/>
  <c r="BR134" i="29"/>
  <c r="AV62" i="29"/>
  <c r="R62" i="29"/>
  <c r="AW42" i="29"/>
  <c r="AP62" i="29"/>
  <c r="AI62" i="29"/>
  <c r="BK143" i="29"/>
  <c r="BK128" i="29"/>
  <c r="AP64" i="29"/>
  <c r="AI64" i="29"/>
  <c r="BN140" i="29"/>
  <c r="AN87" i="29"/>
  <c r="AG87" i="29"/>
  <c r="AV73" i="29"/>
  <c r="R152" i="29"/>
  <c r="BK138" i="29"/>
  <c r="AP26" i="29"/>
  <c r="T61" i="29"/>
  <c r="AW102" i="29"/>
  <c r="AW44" i="29"/>
  <c r="T143" i="29"/>
  <c r="AP136" i="29"/>
  <c r="L157" i="29"/>
  <c r="AA157" i="29"/>
  <c r="AP60" i="29"/>
  <c r="AI60" i="29"/>
  <c r="T66" i="29"/>
  <c r="T70" i="29"/>
  <c r="T214" i="29"/>
  <c r="AV61" i="29"/>
  <c r="AX68" i="29"/>
  <c r="AA212" i="29"/>
  <c r="BL72" i="29"/>
  <c r="AV74" i="29"/>
  <c r="AV64" i="29"/>
  <c r="AV102" i="29"/>
  <c r="R74" i="29"/>
  <c r="AX73" i="29"/>
  <c r="AY92" i="29"/>
  <c r="AW104" i="29"/>
  <c r="AY113" i="29"/>
  <c r="BF104" i="29"/>
  <c r="BR64" i="29"/>
  <c r="BU168" i="29"/>
  <c r="BS119" i="29"/>
  <c r="R66" i="29"/>
  <c r="AW22" i="29"/>
  <c r="BL67" i="29"/>
  <c r="R60" i="29"/>
  <c r="AX103" i="29"/>
  <c r="BN61" i="29"/>
  <c r="BK67" i="29"/>
  <c r="BK98" i="29"/>
  <c r="BS72" i="29"/>
  <c r="BS166" i="29"/>
  <c r="BS172" i="29"/>
  <c r="AN69" i="29"/>
  <c r="AG69" i="29"/>
  <c r="AN74" i="29"/>
  <c r="AG74" i="29"/>
  <c r="BU141" i="29"/>
  <c r="AO61" i="29"/>
  <c r="AH61" i="29"/>
  <c r="BC104" i="29"/>
  <c r="BC130" i="29"/>
  <c r="AV130" i="29"/>
  <c r="AP129" i="29"/>
  <c r="AI129" i="29"/>
  <c r="AV90" i="29"/>
  <c r="AV30" i="29"/>
  <c r="AN129" i="29"/>
  <c r="J150" i="29"/>
  <c r="Y150" i="29"/>
  <c r="AV113" i="29"/>
  <c r="AN143" i="29"/>
  <c r="AG143" i="29"/>
  <c r="AA103" i="29"/>
  <c r="AA129" i="29"/>
  <c r="T129" i="29"/>
  <c r="AX70" i="29"/>
  <c r="AA214" i="29"/>
  <c r="AP71" i="29"/>
  <c r="AI71" i="29"/>
  <c r="BM130" i="29"/>
  <c r="AY103" i="29"/>
  <c r="BN69" i="29"/>
  <c r="BN74" i="29"/>
  <c r="BL135" i="29"/>
  <c r="BN57" i="29"/>
  <c r="AV109" i="29"/>
  <c r="AA63" i="29"/>
  <c r="T63" i="29"/>
  <c r="AW103" i="29"/>
  <c r="BN70" i="29"/>
  <c r="BR60" i="29"/>
  <c r="BR168" i="29"/>
  <c r="BR174" i="29"/>
  <c r="BU98" i="29"/>
  <c r="AW92" i="29"/>
  <c r="BR66" i="29"/>
  <c r="AA56" i="29"/>
  <c r="T56" i="29"/>
  <c r="AB92" i="29"/>
  <c r="BF92" i="29"/>
  <c r="AW86" i="29"/>
  <c r="R61" i="29"/>
  <c r="AG60" i="29"/>
  <c r="AX72" i="29"/>
  <c r="AA216" i="29"/>
  <c r="Y68" i="29"/>
  <c r="R68" i="29"/>
  <c r="R212" i="29"/>
  <c r="AY44" i="29"/>
  <c r="AN130" i="29"/>
  <c r="J151" i="29"/>
  <c r="Y151" i="29"/>
  <c r="BU76" i="29"/>
  <c r="BU169" i="29"/>
  <c r="J207" i="29"/>
  <c r="AV110" i="29"/>
  <c r="BR68" i="29"/>
  <c r="BE102" i="29"/>
  <c r="BE128" i="29"/>
  <c r="AX128" i="29"/>
  <c r="AA128" i="29"/>
  <c r="T128" i="29"/>
  <c r="AN71" i="29"/>
  <c r="AG71" i="29"/>
  <c r="BM75" i="29"/>
  <c r="BT60" i="29"/>
  <c r="BL139" i="29"/>
  <c r="BT75" i="29"/>
  <c r="Y109" i="29"/>
  <c r="T72" i="29"/>
  <c r="T216" i="29"/>
  <c r="AX71" i="29"/>
  <c r="AA215" i="29"/>
  <c r="AX65" i="29"/>
  <c r="AV48" i="29"/>
  <c r="AY27" i="29"/>
  <c r="M207" i="29"/>
  <c r="AV66" i="29"/>
  <c r="AW25" i="29"/>
  <c r="AY22" i="29"/>
  <c r="AW109" i="29"/>
  <c r="AX60" i="29"/>
  <c r="AY42" i="29"/>
  <c r="BL134" i="29"/>
  <c r="BM138" i="29"/>
  <c r="BK134" i="29"/>
  <c r="R143" i="29"/>
  <c r="AW89" i="29"/>
  <c r="BR76" i="29"/>
  <c r="BR169" i="29"/>
  <c r="BS175" i="29"/>
  <c r="R65" i="29"/>
  <c r="AX62" i="29"/>
  <c r="BL143" i="29"/>
  <c r="AX104" i="29"/>
  <c r="BN76" i="29"/>
  <c r="AX75" i="29"/>
  <c r="BU70" i="29"/>
  <c r="BL128" i="29"/>
  <c r="AY102" i="29"/>
  <c r="BD83" i="29"/>
  <c r="BM133" i="29"/>
  <c r="AV104" i="29"/>
  <c r="AV103" i="29"/>
  <c r="BK72" i="29"/>
  <c r="T69" i="29"/>
  <c r="T213" i="29"/>
  <c r="T67" i="29"/>
  <c r="T211" i="29"/>
  <c r="AG64" i="29"/>
  <c r="AP23" i="29"/>
  <c r="AI23" i="29"/>
  <c r="AX102" i="29"/>
  <c r="AV65" i="29"/>
  <c r="BK73" i="29"/>
  <c r="AN65" i="29"/>
  <c r="AG65" i="29"/>
  <c r="AY30" i="29"/>
  <c r="AN23" i="29"/>
  <c r="AG23" i="29"/>
  <c r="Z92" i="29"/>
  <c r="BD92" i="29"/>
  <c r="AP105" i="29"/>
  <c r="AI105" i="29"/>
  <c r="T75" i="29"/>
  <c r="BT69" i="29"/>
  <c r="BL61" i="29"/>
  <c r="BL130" i="29"/>
  <c r="BM128" i="29"/>
  <c r="BM141" i="29"/>
  <c r="BL132" i="29"/>
  <c r="AA149" i="29"/>
  <c r="BK132" i="29"/>
  <c r="BK141" i="29"/>
  <c r="BD113" i="29"/>
  <c r="T137" i="29"/>
  <c r="T135" i="29"/>
  <c r="AI128" i="29"/>
  <c r="BU172" i="29"/>
  <c r="BR98" i="29"/>
  <c r="S54" i="29"/>
  <c r="AW54" i="29"/>
  <c r="BC48" i="29"/>
  <c r="R157" i="29"/>
  <c r="BF109" i="29"/>
  <c r="K206" i="29"/>
  <c r="K207" i="29"/>
  <c r="BT172" i="29"/>
  <c r="T141" i="29"/>
  <c r="BK135" i="29"/>
  <c r="R94" i="29"/>
  <c r="AN94" i="29"/>
  <c r="AN141" i="29"/>
  <c r="R130" i="29"/>
  <c r="BK130" i="29"/>
  <c r="Z189" i="29"/>
  <c r="T182" i="29"/>
  <c r="AA182" i="29"/>
  <c r="BL140" i="29"/>
  <c r="BM136" i="29"/>
  <c r="BN130" i="29"/>
  <c r="BN132" i="29"/>
  <c r="M145" i="29"/>
  <c r="BN136" i="29"/>
  <c r="BN144" i="29"/>
  <c r="BN137" i="29"/>
  <c r="BN142" i="29"/>
  <c r="BM142" i="29"/>
  <c r="L160" i="29"/>
  <c r="AA160" i="29"/>
  <c r="AI139" i="29"/>
  <c r="BN135" i="29"/>
  <c r="BN143" i="29"/>
  <c r="L207" i="29"/>
  <c r="BD109" i="29"/>
  <c r="BK137" i="29"/>
  <c r="R117" i="29"/>
  <c r="AV117" i="29"/>
  <c r="S117" i="29"/>
  <c r="AW117" i="29"/>
  <c r="U117" i="29"/>
  <c r="AY117" i="29"/>
  <c r="AU117" i="29"/>
  <c r="T117" i="29"/>
  <c r="AX117" i="29"/>
  <c r="Z183" i="29"/>
  <c r="BN129" i="29"/>
  <c r="AQ117" i="29"/>
  <c r="BN117" i="29"/>
  <c r="BM116" i="29"/>
  <c r="BT116" i="29"/>
  <c r="BT119" i="29"/>
  <c r="BM114" i="29"/>
  <c r="R112" i="29"/>
  <c r="AV112" i="29"/>
  <c r="S112" i="29"/>
  <c r="AW112" i="29"/>
  <c r="T112" i="29"/>
  <c r="U112" i="29"/>
  <c r="AY112" i="29"/>
  <c r="AU112" i="29"/>
  <c r="BL138" i="29"/>
  <c r="BL133" i="29"/>
  <c r="BN131" i="29"/>
  <c r="M138" i="29"/>
  <c r="BU112" i="29"/>
  <c r="AQ112" i="29"/>
  <c r="BN112" i="29"/>
  <c r="AV96" i="29"/>
  <c r="BR113" i="29"/>
  <c r="AN113" i="29"/>
  <c r="AN139" i="29"/>
  <c r="Y116" i="29"/>
  <c r="AP112" i="29"/>
  <c r="AP138" i="29"/>
  <c r="T110" i="29"/>
  <c r="AX110" i="29"/>
  <c r="S110" i="29"/>
  <c r="AW110" i="29"/>
  <c r="U110" i="29"/>
  <c r="AY110" i="29"/>
  <c r="AU110" i="29"/>
  <c r="BE109" i="29"/>
  <c r="BK140" i="29"/>
  <c r="BM137" i="29"/>
  <c r="BM134" i="29"/>
  <c r="BM131" i="29"/>
  <c r="BM129" i="29"/>
  <c r="BL129" i="29"/>
  <c r="AG116" i="29"/>
  <c r="AV116" i="29"/>
  <c r="AH116" i="29"/>
  <c r="AO116" i="29"/>
  <c r="BD116" i="29"/>
  <c r="AI116" i="29"/>
  <c r="AX116" i="29"/>
  <c r="AJ116" i="29"/>
  <c r="AQ116" i="29"/>
  <c r="BF116" i="29"/>
  <c r="AQ110" i="29"/>
  <c r="BL142" i="29"/>
  <c r="BK133" i="29"/>
  <c r="BK129" i="29"/>
  <c r="BC117" i="29"/>
  <c r="BC143" i="29"/>
  <c r="AV143" i="29"/>
  <c r="AA116" i="29"/>
  <c r="BM144" i="29"/>
  <c r="BK142" i="29"/>
  <c r="BL131" i="29"/>
  <c r="BK115" i="29"/>
  <c r="BK106" i="29"/>
  <c r="BK103" i="29"/>
  <c r="BK104" i="29"/>
  <c r="BK105" i="29"/>
  <c r="BK114" i="29"/>
  <c r="BK111" i="29"/>
  <c r="BN139" i="29"/>
  <c r="BK131" i="29"/>
  <c r="BU117" i="29"/>
  <c r="BU119" i="29"/>
  <c r="Y113" i="29"/>
  <c r="BL144" i="29"/>
  <c r="BN141" i="29"/>
  <c r="BL136" i="29"/>
  <c r="Z115" i="29"/>
  <c r="BD115" i="29"/>
  <c r="AW115" i="29"/>
  <c r="AN107" i="29"/>
  <c r="AN133" i="29"/>
  <c r="J154" i="29"/>
  <c r="Y154" i="29"/>
  <c r="AV107" i="29"/>
  <c r="BK144" i="29"/>
  <c r="BM139" i="29"/>
  <c r="BK136" i="29"/>
  <c r="BR116" i="29"/>
  <c r="L145" i="29"/>
  <c r="BM135" i="29"/>
  <c r="BN128" i="29"/>
  <c r="AQ115" i="29"/>
  <c r="BK113" i="29"/>
  <c r="AA104" i="29"/>
  <c r="BM104" i="29"/>
  <c r="BT104" i="29"/>
  <c r="BS102" i="29"/>
  <c r="AO102" i="29"/>
  <c r="BL102" i="29"/>
  <c r="Z102" i="29"/>
  <c r="BN134" i="29"/>
  <c r="BR118" i="29"/>
  <c r="AB117" i="29"/>
  <c r="BR102" i="29"/>
  <c r="AN102" i="29"/>
  <c r="Y102" i="29"/>
  <c r="BK102" i="29"/>
  <c r="K145" i="29"/>
  <c r="BM143" i="29"/>
  <c r="BL141" i="29"/>
  <c r="BK139" i="29"/>
  <c r="BM132" i="29"/>
  <c r="AW113" i="29"/>
  <c r="J145" i="29"/>
  <c r="L140" i="29"/>
  <c r="BL137" i="29"/>
  <c r="BN133" i="29"/>
  <c r="BK116" i="29"/>
  <c r="BK109" i="29"/>
  <c r="BN105" i="29"/>
  <c r="BU106" i="29"/>
  <c r="BU102" i="29"/>
  <c r="BU103" i="29"/>
  <c r="AQ102" i="29"/>
  <c r="BF102" i="29"/>
  <c r="F103" i="29"/>
  <c r="AQ103" i="29"/>
  <c r="AX88" i="29"/>
  <c r="BT88" i="29"/>
  <c r="AI88" i="29"/>
  <c r="T88" i="29"/>
  <c r="BM88" i="29"/>
  <c r="C85" i="29"/>
  <c r="E85" i="29"/>
  <c r="AI48" i="29"/>
  <c r="AP68" i="29"/>
  <c r="AI68" i="29"/>
  <c r="AI115" i="29"/>
  <c r="AP115" i="29"/>
  <c r="AP141" i="29"/>
  <c r="L162" i="29"/>
  <c r="AA162" i="29"/>
  <c r="R115" i="29"/>
  <c r="T113" i="29"/>
  <c r="BS107" i="29"/>
  <c r="AU107" i="29"/>
  <c r="AU106" i="29"/>
  <c r="BS90" i="29"/>
  <c r="BL90" i="29"/>
  <c r="BT83" i="29"/>
  <c r="T83" i="29"/>
  <c r="AX83" i="29"/>
  <c r="BM83" i="29"/>
  <c r="AN109" i="29"/>
  <c r="R106" i="29"/>
  <c r="S106" i="29"/>
  <c r="T106" i="29"/>
  <c r="AA106" i="29"/>
  <c r="U106" i="29"/>
  <c r="BM105" i="29"/>
  <c r="BT105" i="29"/>
  <c r="U91" i="29"/>
  <c r="AY91" i="29"/>
  <c r="AU91" i="29"/>
  <c r="R91" i="29"/>
  <c r="BL114" i="29"/>
  <c r="BN107" i="29"/>
  <c r="AQ91" i="29"/>
  <c r="BM112" i="29"/>
  <c r="AJ111" i="29"/>
  <c r="AQ111" i="29"/>
  <c r="BF111" i="29"/>
  <c r="BN110" i="29"/>
  <c r="BN106" i="29"/>
  <c r="BL105" i="29"/>
  <c r="BN103" i="29"/>
  <c r="BN115" i="29"/>
  <c r="BM107" i="29"/>
  <c r="AG105" i="29"/>
  <c r="R105" i="29"/>
  <c r="BN104" i="29"/>
  <c r="AG88" i="29"/>
  <c r="AV88" i="29"/>
  <c r="AH88" i="29"/>
  <c r="AW88" i="29"/>
  <c r="AJ88" i="29"/>
  <c r="AQ88" i="29"/>
  <c r="BF88" i="29"/>
  <c r="AU88" i="29"/>
  <c r="Z53" i="29"/>
  <c r="BL53" i="29"/>
  <c r="BS53" i="29"/>
  <c r="K73" i="29"/>
  <c r="BK117" i="29"/>
  <c r="Z117" i="29"/>
  <c r="BD117" i="29"/>
  <c r="BL112" i="29"/>
  <c r="AI111" i="29"/>
  <c r="AP111" i="29"/>
  <c r="R111" i="29"/>
  <c r="BM110" i="29"/>
  <c r="BU109" i="29"/>
  <c r="BM106" i="29"/>
  <c r="AJ106" i="29"/>
  <c r="AQ106" i="29"/>
  <c r="BM103" i="29"/>
  <c r="AP117" i="29"/>
  <c r="BE117" i="29"/>
  <c r="BE143" i="29"/>
  <c r="AX143" i="29"/>
  <c r="BM115" i="29"/>
  <c r="BS113" i="29"/>
  <c r="BK112" i="29"/>
  <c r="BT111" i="29"/>
  <c r="AY109" i="29"/>
  <c r="AI107" i="29"/>
  <c r="AX107" i="29"/>
  <c r="D103" i="29"/>
  <c r="AU115" i="29"/>
  <c r="AH111" i="29"/>
  <c r="BL110" i="29"/>
  <c r="BN108" i="29"/>
  <c r="AH107" i="29"/>
  <c r="AW107" i="29"/>
  <c r="AN106" i="29"/>
  <c r="BS103" i="29"/>
  <c r="AO103" i="29"/>
  <c r="BL103" i="29"/>
  <c r="U96" i="29"/>
  <c r="AY96" i="29"/>
  <c r="S96" i="29"/>
  <c r="F85" i="29"/>
  <c r="BL115" i="29"/>
  <c r="BL119" i="29"/>
  <c r="AB113" i="29"/>
  <c r="BK110" i="29"/>
  <c r="Y110" i="29"/>
  <c r="BC110" i="29"/>
  <c r="AX109" i="29"/>
  <c r="BT107" i="29"/>
  <c r="AH106" i="29"/>
  <c r="AO106" i="29"/>
  <c r="AI106" i="29"/>
  <c r="AP106" i="29"/>
  <c r="AB103" i="29"/>
  <c r="AB105" i="29"/>
  <c r="U105" i="29"/>
  <c r="C103" i="29"/>
  <c r="AX95" i="29"/>
  <c r="AI95" i="29"/>
  <c r="BT95" i="29"/>
  <c r="BT98" i="29"/>
  <c r="T95" i="29"/>
  <c r="BM108" i="29"/>
  <c r="AJ107" i="29"/>
  <c r="AQ107" i="29"/>
  <c r="BF107" i="29"/>
  <c r="BN102" i="29"/>
  <c r="BS95" i="29"/>
  <c r="BS98" i="29"/>
  <c r="AO95" i="29"/>
  <c r="BL95" i="29"/>
  <c r="U115" i="29"/>
  <c r="AY115" i="29"/>
  <c r="AQ113" i="29"/>
  <c r="Y107" i="29"/>
  <c r="BK107" i="29"/>
  <c r="AV105" i="29"/>
  <c r="U104" i="29"/>
  <c r="AY104" i="29"/>
  <c r="AU104" i="29"/>
  <c r="Z103" i="29"/>
  <c r="BM118" i="29"/>
  <c r="BL113" i="29"/>
  <c r="BM111" i="29"/>
  <c r="BU108" i="29"/>
  <c r="BK108" i="29"/>
  <c r="AA107" i="29"/>
  <c r="BU105" i="29"/>
  <c r="BU131" i="29"/>
  <c r="C106" i="29"/>
  <c r="E107" i="29"/>
  <c r="Y103" i="29"/>
  <c r="AP87" i="29"/>
  <c r="AI85" i="29"/>
  <c r="AI91" i="29"/>
  <c r="BN81" i="29"/>
  <c r="AI81" i="29"/>
  <c r="BT81" i="29"/>
  <c r="BL60" i="29"/>
  <c r="AN84" i="29"/>
  <c r="AB54" i="29"/>
  <c r="AY54" i="29"/>
  <c r="U51" i="29"/>
  <c r="AY51" i="29"/>
  <c r="AU51" i="29"/>
  <c r="AU71" i="29"/>
  <c r="X215" i="29"/>
  <c r="X226" i="29"/>
  <c r="R51" i="29"/>
  <c r="AV51" i="29"/>
  <c r="S51" i="29"/>
  <c r="Q71" i="29"/>
  <c r="Q215" i="29"/>
  <c r="Q226" i="29"/>
  <c r="AH91" i="29"/>
  <c r="AO91" i="29"/>
  <c r="R89" i="29"/>
  <c r="AV89" i="29"/>
  <c r="BN86" i="29"/>
  <c r="BK83" i="29"/>
  <c r="AV83" i="29"/>
  <c r="BM81" i="29"/>
  <c r="BS81" i="29"/>
  <c r="BL81" i="29"/>
  <c r="BM66" i="29"/>
  <c r="BM67" i="29"/>
  <c r="BM73" i="29"/>
  <c r="L77" i="29"/>
  <c r="BM64" i="29"/>
  <c r="BM60" i="29"/>
  <c r="BM76" i="29"/>
  <c r="BN63" i="29"/>
  <c r="BU63" i="29"/>
  <c r="AQ51" i="29"/>
  <c r="BN51" i="29"/>
  <c r="M71" i="29"/>
  <c r="BU51" i="29"/>
  <c r="BN93" i="29"/>
  <c r="AX91" i="29"/>
  <c r="AG91" i="29"/>
  <c r="AN91" i="29"/>
  <c r="BK90" i="29"/>
  <c r="AP90" i="29"/>
  <c r="Y90" i="29"/>
  <c r="BN84" i="29"/>
  <c r="AP83" i="29"/>
  <c r="AP130" i="29"/>
  <c r="L151" i="29"/>
  <c r="AA151" i="29"/>
  <c r="U82" i="29"/>
  <c r="AP49" i="29"/>
  <c r="AP69" i="29"/>
  <c r="AI69" i="29"/>
  <c r="AX49" i="29"/>
  <c r="BE69" i="29"/>
  <c r="AX69" i="29"/>
  <c r="AA213" i="29"/>
  <c r="BL88" i="29"/>
  <c r="Z88" i="29"/>
  <c r="AU86" i="29"/>
  <c r="AH81" i="29"/>
  <c r="AO81" i="29"/>
  <c r="AJ81" i="29"/>
  <c r="AQ81" i="29"/>
  <c r="F82" i="29"/>
  <c r="BL62" i="29"/>
  <c r="BL70" i="29"/>
  <c r="BL75" i="29"/>
  <c r="K77" i="29"/>
  <c r="BL68" i="29"/>
  <c r="BL65" i="29"/>
  <c r="BL74" i="29"/>
  <c r="BL76" i="29"/>
  <c r="BL69" i="29"/>
  <c r="BM71" i="29"/>
  <c r="BS71" i="29"/>
  <c r="BN96" i="29"/>
  <c r="BM93" i="29"/>
  <c r="BN91" i="29"/>
  <c r="AX89" i="29"/>
  <c r="BK88" i="29"/>
  <c r="Y88" i="29"/>
  <c r="Z86" i="29"/>
  <c r="BD86" i="29"/>
  <c r="BR82" i="29"/>
  <c r="BK70" i="29"/>
  <c r="J77" i="29"/>
  <c r="BK68" i="29"/>
  <c r="BK76" i="29"/>
  <c r="M77" i="29"/>
  <c r="BK66" i="29"/>
  <c r="BR71" i="29"/>
  <c r="BK71" i="29"/>
  <c r="AN67" i="29"/>
  <c r="AG67" i="29"/>
  <c r="R55" i="29"/>
  <c r="BR55" i="29"/>
  <c r="AV55" i="29"/>
  <c r="J75" i="29"/>
  <c r="BK55" i="29"/>
  <c r="BK57" i="29"/>
  <c r="AN90" i="29"/>
  <c r="AN137" i="29"/>
  <c r="J158" i="29"/>
  <c r="AH87" i="29"/>
  <c r="AX85" i="29"/>
  <c r="BL84" i="29"/>
  <c r="BN82" i="29"/>
  <c r="AI82" i="29"/>
  <c r="BT82" i="29"/>
  <c r="BE84" i="29"/>
  <c r="BE97" i="29"/>
  <c r="BL71" i="29"/>
  <c r="BM61" i="29"/>
  <c r="K98" i="29"/>
  <c r="BM96" i="29"/>
  <c r="BM98" i="29"/>
  <c r="BL93" i="29"/>
  <c r="R92" i="29"/>
  <c r="BM91" i="29"/>
  <c r="AJ90" i="29"/>
  <c r="AQ90" i="29"/>
  <c r="BF90" i="29"/>
  <c r="BN89" i="29"/>
  <c r="BS87" i="29"/>
  <c r="AX87" i="29"/>
  <c r="BK86" i="29"/>
  <c r="U86" i="29"/>
  <c r="Z85" i="29"/>
  <c r="D85" i="29"/>
  <c r="BU74" i="29"/>
  <c r="BU77" i="29"/>
  <c r="BU165" i="29"/>
  <c r="BL66" i="29"/>
  <c r="BS64" i="29"/>
  <c r="BL64" i="29"/>
  <c r="BU90" i="29"/>
  <c r="S90" i="29"/>
  <c r="Z90" i="29"/>
  <c r="BM82" i="29"/>
  <c r="BS82" i="29"/>
  <c r="BL82" i="29"/>
  <c r="BL104" i="29"/>
  <c r="Z104" i="29"/>
  <c r="BD104" i="29"/>
  <c r="BL96" i="29"/>
  <c r="BN94" i="29"/>
  <c r="BL91" i="29"/>
  <c r="Z91" i="29"/>
  <c r="AU89" i="29"/>
  <c r="T86" i="29"/>
  <c r="BR85" i="29"/>
  <c r="AV85" i="29"/>
  <c r="R82" i="29"/>
  <c r="Z81" i="29"/>
  <c r="D82" i="29"/>
  <c r="BT74" i="29"/>
  <c r="T74" i="29"/>
  <c r="BM74" i="29"/>
  <c r="BM69" i="29"/>
  <c r="BK69" i="29"/>
  <c r="BN85" i="29"/>
  <c r="AW83" i="29"/>
  <c r="AH82" i="29"/>
  <c r="AO82" i="29"/>
  <c r="AJ82" i="29"/>
  <c r="AQ82" i="29"/>
  <c r="AX81" i="29"/>
  <c r="BN68" i="29"/>
  <c r="R95" i="29"/>
  <c r="T93" i="29"/>
  <c r="AH90" i="29"/>
  <c r="AO90" i="29"/>
  <c r="BL89" i="29"/>
  <c r="Z89" i="29"/>
  <c r="BD89" i="29"/>
  <c r="AJ86" i="29"/>
  <c r="BC84" i="29"/>
  <c r="BU83" i="29"/>
  <c r="R83" i="29"/>
  <c r="T81" i="29"/>
  <c r="AX74" i="29"/>
  <c r="AH55" i="29"/>
  <c r="AO55" i="29"/>
  <c r="BN92" i="29"/>
  <c r="BK89" i="29"/>
  <c r="BU86" i="29"/>
  <c r="BU133" i="29"/>
  <c r="BM85" i="29"/>
  <c r="T84" i="29"/>
  <c r="BM84" i="29"/>
  <c r="BK74" i="29"/>
  <c r="BN72" i="29"/>
  <c r="BN67" i="29"/>
  <c r="BU67" i="29"/>
  <c r="U89" i="29"/>
  <c r="AY89" i="29"/>
  <c r="AI86" i="29"/>
  <c r="U85" i="29"/>
  <c r="AY85" i="29"/>
  <c r="AV81" i="29"/>
  <c r="U81" i="29"/>
  <c r="BM70" i="29"/>
  <c r="BN90" i="29"/>
  <c r="BS83" i="29"/>
  <c r="AJ83" i="29"/>
  <c r="AY83" i="29"/>
  <c r="AU81" i="29"/>
  <c r="BU81" i="29"/>
  <c r="BM72" i="29"/>
  <c r="BK62" i="29"/>
  <c r="BS60" i="29"/>
  <c r="BS168" i="29"/>
  <c r="AJ40" i="29"/>
  <c r="AQ40" i="29"/>
  <c r="AH40" i="29"/>
  <c r="AO40" i="29"/>
  <c r="AO43" i="29"/>
  <c r="BM68" i="29"/>
  <c r="BN65" i="29"/>
  <c r="BU62" i="29"/>
  <c r="AH53" i="29"/>
  <c r="AW53" i="29"/>
  <c r="BN60" i="29"/>
  <c r="BS52" i="29"/>
  <c r="BN46" i="29"/>
  <c r="BU46" i="29"/>
  <c r="BM65" i="29"/>
  <c r="BN64" i="29"/>
  <c r="AV60" i="29"/>
  <c r="BR52" i="29"/>
  <c r="BT30" i="29"/>
  <c r="BT138" i="29"/>
  <c r="AX32" i="29"/>
  <c r="AA217" i="29"/>
  <c r="BT35" i="29"/>
  <c r="BT143" i="29"/>
  <c r="BT44" i="29"/>
  <c r="AX25" i="29"/>
  <c r="BT32" i="29"/>
  <c r="E21" i="29"/>
  <c r="BT25" i="29"/>
  <c r="BT36" i="29"/>
  <c r="BT144" i="29"/>
  <c r="BT154" i="29"/>
  <c r="BT29" i="29"/>
  <c r="AX31" i="29"/>
  <c r="AX45" i="29"/>
  <c r="AX24" i="29"/>
  <c r="T22" i="29"/>
  <c r="BT24" i="29"/>
  <c r="BT132" i="29"/>
  <c r="AI40" i="29"/>
  <c r="AX47" i="29"/>
  <c r="T49" i="29"/>
  <c r="BT40" i="29"/>
  <c r="BT31" i="29"/>
  <c r="BT139" i="29"/>
  <c r="BT27" i="29"/>
  <c r="BT48" i="29"/>
  <c r="T29" i="29"/>
  <c r="T34" i="29"/>
  <c r="AX40" i="29"/>
  <c r="BT45" i="29"/>
  <c r="BT52" i="29"/>
  <c r="AX33" i="29"/>
  <c r="T27" i="29"/>
  <c r="AI24" i="29"/>
  <c r="BT23" i="29"/>
  <c r="T41" i="29"/>
  <c r="BT49" i="29"/>
  <c r="AI44" i="29"/>
  <c r="AH30" i="29"/>
  <c r="AO30" i="29"/>
  <c r="S28" i="29"/>
  <c r="S30" i="29"/>
  <c r="Z30" i="29"/>
  <c r="AH31" i="29"/>
  <c r="AO31" i="29"/>
  <c r="S29" i="29"/>
  <c r="Z29" i="29"/>
  <c r="S31" i="29"/>
  <c r="Z31" i="29"/>
  <c r="AH48" i="29"/>
  <c r="AO48" i="29"/>
  <c r="S50" i="29"/>
  <c r="Z50" i="29"/>
  <c r="S48" i="29"/>
  <c r="T73" i="29"/>
  <c r="BS68" i="29"/>
  <c r="T65" i="29"/>
  <c r="BT63" i="29"/>
  <c r="BK63" i="29"/>
  <c r="BN48" i="29"/>
  <c r="M57" i="29"/>
  <c r="BN42" i="29"/>
  <c r="BN43" i="29"/>
  <c r="AO51" i="29"/>
  <c r="AX50" i="29"/>
  <c r="BT50" i="29"/>
  <c r="AI50" i="29"/>
  <c r="T50" i="29"/>
  <c r="BM46" i="29"/>
  <c r="T46" i="29"/>
  <c r="BT46" i="29"/>
  <c r="AX46" i="29"/>
  <c r="AH27" i="29"/>
  <c r="AO27" i="29"/>
  <c r="BS70" i="29"/>
  <c r="BN66" i="29"/>
  <c r="AQ54" i="29"/>
  <c r="AI51" i="29"/>
  <c r="AI45" i="29"/>
  <c r="AP65" i="29"/>
  <c r="AI65" i="29"/>
  <c r="T71" i="29"/>
  <c r="T215" i="29"/>
  <c r="BS63" i="29"/>
  <c r="BM45" i="29"/>
  <c r="BM43" i="29"/>
  <c r="BM56" i="29"/>
  <c r="BM47" i="29"/>
  <c r="BT51" i="29"/>
  <c r="BS50" i="29"/>
  <c r="BE43" i="29"/>
  <c r="AP41" i="29"/>
  <c r="AP61" i="29"/>
  <c r="AI61" i="29"/>
  <c r="BL85" i="29"/>
  <c r="BN83" i="29"/>
  <c r="AB83" i="29"/>
  <c r="BN75" i="29"/>
  <c r="BT73" i="29"/>
  <c r="AI73" i="29"/>
  <c r="R73" i="29"/>
  <c r="BT67" i="29"/>
  <c r="AX67" i="29"/>
  <c r="AA211" i="29"/>
  <c r="AX66" i="29"/>
  <c r="T64" i="29"/>
  <c r="BR63" i="29"/>
  <c r="AV63" i="29"/>
  <c r="BS62" i="29"/>
  <c r="BK60" i="29"/>
  <c r="BM54" i="29"/>
  <c r="BM57" i="29"/>
  <c r="AX54" i="29"/>
  <c r="BL52" i="29"/>
  <c r="AG50" i="29"/>
  <c r="AV50" i="29"/>
  <c r="AH50" i="29"/>
  <c r="AO50" i="29"/>
  <c r="AJ50" i="29"/>
  <c r="AQ50" i="29"/>
  <c r="BF50" i="29"/>
  <c r="U159" i="29"/>
  <c r="Y50" i="29"/>
  <c r="BK50" i="29"/>
  <c r="AW45" i="29"/>
  <c r="Z45" i="29"/>
  <c r="BK64" i="29"/>
  <c r="BC47" i="29"/>
  <c r="BN45" i="29"/>
  <c r="BM40" i="29"/>
  <c r="BS67" i="29"/>
  <c r="BS66" i="29"/>
  <c r="BN62" i="29"/>
  <c r="BT61" i="29"/>
  <c r="BN56" i="29"/>
  <c r="AX53" i="29"/>
  <c r="U53" i="29"/>
  <c r="BN50" i="29"/>
  <c r="S49" i="29"/>
  <c r="AW49" i="29"/>
  <c r="AP34" i="29"/>
  <c r="AI34" i="29"/>
  <c r="AX34" i="29"/>
  <c r="BR73" i="29"/>
  <c r="BT71" i="29"/>
  <c r="T68" i="29"/>
  <c r="T212" i="29"/>
  <c r="BR67" i="29"/>
  <c r="BT66" i="29"/>
  <c r="R64" i="29"/>
  <c r="BM63" i="29"/>
  <c r="AX61" i="29"/>
  <c r="AV54" i="29"/>
  <c r="AU53" i="29"/>
  <c r="AU73" i="29"/>
  <c r="R49" i="29"/>
  <c r="AV49" i="29"/>
  <c r="U49" i="29"/>
  <c r="AY49" i="29"/>
  <c r="AU49" i="29"/>
  <c r="AU69" i="29"/>
  <c r="X213" i="29"/>
  <c r="X224" i="29"/>
  <c r="T47" i="29"/>
  <c r="BN73" i="29"/>
  <c r="BL63" i="29"/>
  <c r="BM62" i="29"/>
  <c r="BU53" i="29"/>
  <c r="BU57" i="29"/>
  <c r="AQ53" i="29"/>
  <c r="T51" i="29"/>
  <c r="BM50" i="29"/>
  <c r="AQ49" i="29"/>
  <c r="AB48" i="29"/>
  <c r="BF48" i="29"/>
  <c r="U157" i="29"/>
  <c r="AY48" i="29"/>
  <c r="AV47" i="29"/>
  <c r="AP46" i="29"/>
  <c r="AP66" i="29"/>
  <c r="AI66" i="29"/>
  <c r="AI29" i="29"/>
  <c r="AI55" i="29"/>
  <c r="BT55" i="29"/>
  <c r="T55" i="29"/>
  <c r="BT53" i="29"/>
  <c r="AV53" i="29"/>
  <c r="BN47" i="29"/>
  <c r="AJ46" i="29"/>
  <c r="AH34" i="29"/>
  <c r="AO34" i="29"/>
  <c r="AJ34" i="29"/>
  <c r="AQ34" i="29"/>
  <c r="AX29" i="29"/>
  <c r="BC29" i="29"/>
  <c r="C24" i="29"/>
  <c r="BT65" i="29"/>
  <c r="T62" i="29"/>
  <c r="AV45" i="29"/>
  <c r="BR45" i="29"/>
  <c r="AG45" i="29"/>
  <c r="R45" i="29"/>
  <c r="BK65" i="29"/>
  <c r="AX64" i="29"/>
  <c r="BT64" i="29"/>
  <c r="T60" i="29"/>
  <c r="BS55" i="29"/>
  <c r="BN52" i="29"/>
  <c r="BU21" i="29"/>
  <c r="AB21" i="29"/>
  <c r="AB44" i="29"/>
  <c r="L37" i="29"/>
  <c r="BK36" i="29"/>
  <c r="BK24" i="29"/>
  <c r="AV36" i="29"/>
  <c r="BK26" i="29"/>
  <c r="BK20" i="29"/>
  <c r="BK21" i="29"/>
  <c r="BK25" i="29"/>
  <c r="BK34" i="29"/>
  <c r="T30" i="29"/>
  <c r="BT26" i="29"/>
  <c r="BT134" i="29"/>
  <c r="AI26" i="29"/>
  <c r="T26" i="29"/>
  <c r="BM26" i="29"/>
  <c r="AX26" i="29"/>
  <c r="T24" i="29"/>
  <c r="AA36" i="29"/>
  <c r="BU28" i="29"/>
  <c r="BU136" i="29"/>
  <c r="AQ29" i="29"/>
  <c r="BU42" i="29"/>
  <c r="AB27" i="29"/>
  <c r="BU30" i="29"/>
  <c r="BU35" i="29"/>
  <c r="BU27" i="29"/>
  <c r="AQ42" i="29"/>
  <c r="AQ62" i="29"/>
  <c r="AJ62" i="29"/>
  <c r="BU34" i="29"/>
  <c r="BU142" i="29"/>
  <c r="AB28" i="29"/>
  <c r="AN26" i="29"/>
  <c r="AG24" i="29"/>
  <c r="AI21" i="29"/>
  <c r="BT21" i="29"/>
  <c r="T21" i="29"/>
  <c r="BM21" i="29"/>
  <c r="AX21" i="29"/>
  <c r="S11" i="29"/>
  <c r="BL19" i="29"/>
  <c r="AX44" i="29"/>
  <c r="T42" i="29"/>
  <c r="BL40" i="29"/>
  <c r="AI33" i="29"/>
  <c r="Z25" i="29"/>
  <c r="AO24" i="29"/>
  <c r="Z24" i="29"/>
  <c r="BL24" i="29"/>
  <c r="BS24" i="29"/>
  <c r="BS132" i="29"/>
  <c r="BK46" i="29"/>
  <c r="BT43" i="29"/>
  <c r="AY25" i="29"/>
  <c r="S47" i="29"/>
  <c r="BL44" i="29"/>
  <c r="BR44" i="29"/>
  <c r="AG44" i="29"/>
  <c r="BK44" i="29"/>
  <c r="K37" i="29"/>
  <c r="R33" i="29"/>
  <c r="BK33" i="29"/>
  <c r="AV33" i="29"/>
  <c r="AB22" i="29"/>
  <c r="BN22" i="29"/>
  <c r="BU22" i="29"/>
  <c r="BS32" i="29"/>
  <c r="D21" i="29"/>
  <c r="BS25" i="29"/>
  <c r="BS27" i="29"/>
  <c r="BS135" i="29"/>
  <c r="Z20" i="29"/>
  <c r="Z21" i="29"/>
  <c r="BS22" i="29"/>
  <c r="BS36" i="29"/>
  <c r="BS144" i="29"/>
  <c r="BS154" i="29"/>
  <c r="BS31" i="29"/>
  <c r="AO25" i="29"/>
  <c r="BS26" i="29"/>
  <c r="BS33" i="29"/>
  <c r="BL47" i="29"/>
  <c r="BU47" i="29"/>
  <c r="AB47" i="29"/>
  <c r="AV46" i="29"/>
  <c r="BL43" i="29"/>
  <c r="AU41" i="29"/>
  <c r="AU61" i="29"/>
  <c r="J37" i="29"/>
  <c r="AI30" i="29"/>
  <c r="AB30" i="29"/>
  <c r="BK28" i="29"/>
  <c r="AX28" i="29"/>
  <c r="BT28" i="29"/>
  <c r="BT136" i="29"/>
  <c r="AI28" i="29"/>
  <c r="T28" i="29"/>
  <c r="BM28" i="29"/>
  <c r="BS20" i="29"/>
  <c r="BR32" i="29"/>
  <c r="C21" i="29"/>
  <c r="BR25" i="29"/>
  <c r="BR133" i="29"/>
  <c r="AV34" i="29"/>
  <c r="BR27" i="29"/>
  <c r="BR135" i="29"/>
  <c r="BR22" i="29"/>
  <c r="BR130" i="29"/>
  <c r="AV20" i="29"/>
  <c r="AV21" i="29"/>
  <c r="BR24" i="29"/>
  <c r="AV26" i="29"/>
  <c r="BR20" i="29"/>
  <c r="BR21" i="29"/>
  <c r="BK47" i="29"/>
  <c r="AU45" i="29"/>
  <c r="AU65" i="29"/>
  <c r="T44" i="29"/>
  <c r="BK43" i="29"/>
  <c r="BR43" i="29"/>
  <c r="AB41" i="29"/>
  <c r="BU41" i="29"/>
  <c r="Y43" i="29"/>
  <c r="BU36" i="29"/>
  <c r="BU144" i="29"/>
  <c r="BU154" i="29"/>
  <c r="AP35" i="29"/>
  <c r="AX35" i="29"/>
  <c r="AH29" i="29"/>
  <c r="AO29" i="29"/>
  <c r="AU27" i="29"/>
  <c r="R27" i="29"/>
  <c r="AV27" i="29"/>
  <c r="S27" i="29"/>
  <c r="AQ25" i="29"/>
  <c r="BR54" i="29"/>
  <c r="BN49" i="29"/>
  <c r="BS43" i="29"/>
  <c r="AX42" i="29"/>
  <c r="BT42" i="29"/>
  <c r="AI42" i="29"/>
  <c r="BK32" i="29"/>
  <c r="AX30" i="29"/>
  <c r="BS28" i="29"/>
  <c r="BS136" i="29"/>
  <c r="BL28" i="29"/>
  <c r="AQ27" i="29"/>
  <c r="R23" i="29"/>
  <c r="BK23" i="29"/>
  <c r="AV23" i="29"/>
  <c r="BR23" i="29"/>
  <c r="BR131" i="29"/>
  <c r="AO22" i="29"/>
  <c r="U45" i="29"/>
  <c r="Z44" i="29"/>
  <c r="BM41" i="29"/>
  <c r="S40" i="29"/>
  <c r="U40" i="29"/>
  <c r="AU40" i="29"/>
  <c r="AU60" i="29"/>
  <c r="BR36" i="29"/>
  <c r="AI31" i="29"/>
  <c r="AQ30" i="29"/>
  <c r="F24" i="29"/>
  <c r="Z22" i="29"/>
  <c r="AW20" i="29"/>
  <c r="BL51" i="29"/>
  <c r="BM49" i="29"/>
  <c r="BM48" i="29"/>
  <c r="AH47" i="29"/>
  <c r="AO47" i="29"/>
  <c r="AN46" i="29"/>
  <c r="AG46" i="29"/>
  <c r="BS42" i="29"/>
  <c r="Z42" i="29"/>
  <c r="BD42" i="29"/>
  <c r="S151" i="29"/>
  <c r="BL42" i="29"/>
  <c r="AV40" i="29"/>
  <c r="BU40" i="29"/>
  <c r="BN40" i="29"/>
  <c r="BL39" i="29"/>
  <c r="AG35" i="29"/>
  <c r="BR35" i="29"/>
  <c r="BR143" i="29"/>
  <c r="R35" i="29"/>
  <c r="BK35" i="29"/>
  <c r="AV35" i="29"/>
  <c r="BS30" i="29"/>
  <c r="BS138" i="29"/>
  <c r="BL30" i="29"/>
  <c r="BK22" i="29"/>
  <c r="BU20" i="29"/>
  <c r="AB20" i="29"/>
  <c r="BK51" i="29"/>
  <c r="AX48" i="29"/>
  <c r="AV44" i="29"/>
  <c r="BM42" i="29"/>
  <c r="R42" i="29"/>
  <c r="AN41" i="29"/>
  <c r="BN35" i="29"/>
  <c r="M37" i="29"/>
  <c r="BN27" i="29"/>
  <c r="BN34" i="29"/>
  <c r="BN36" i="29"/>
  <c r="BN29" i="29"/>
  <c r="BN33" i="29"/>
  <c r="BN28" i="29"/>
  <c r="AG33" i="29"/>
  <c r="BU31" i="29"/>
  <c r="BU139" i="29"/>
  <c r="U31" i="29"/>
  <c r="AY31" i="29"/>
  <c r="AU31" i="29"/>
  <c r="R31" i="29"/>
  <c r="AV31" i="29"/>
  <c r="BR30" i="29"/>
  <c r="BR138" i="29"/>
  <c r="AG28" i="29"/>
  <c r="AV28" i="29"/>
  <c r="AH28" i="29"/>
  <c r="AO28" i="29"/>
  <c r="AJ28" i="29"/>
  <c r="AY28" i="29"/>
  <c r="AU28" i="29"/>
  <c r="BS21" i="29"/>
  <c r="BL49" i="29"/>
  <c r="AJ47" i="29"/>
  <c r="AQ47" i="29"/>
  <c r="T45" i="29"/>
  <c r="BK42" i="29"/>
  <c r="BT41" i="29"/>
  <c r="T40" i="29"/>
  <c r="AQ31" i="29"/>
  <c r="BU29" i="29"/>
  <c r="AV29" i="29"/>
  <c r="AP27" i="29"/>
  <c r="AI27" i="29"/>
  <c r="AX27" i="29"/>
  <c r="AV25" i="29"/>
  <c r="R24" i="29"/>
  <c r="E24" i="29"/>
  <c r="BN21" i="29"/>
  <c r="AI20" i="29"/>
  <c r="BT20" i="29"/>
  <c r="BT128" i="29"/>
  <c r="T20" i="29"/>
  <c r="BM20" i="29"/>
  <c r="AX20" i="29"/>
  <c r="BL56" i="29"/>
  <c r="BL54" i="29"/>
  <c r="BS41" i="29"/>
  <c r="BN31" i="29"/>
  <c r="BS29" i="29"/>
  <c r="AW24" i="29"/>
  <c r="AO45" i="29"/>
  <c r="AO46" i="29"/>
  <c r="AH46" i="29"/>
  <c r="AJ41" i="29"/>
  <c r="AY41" i="29"/>
  <c r="T31" i="29"/>
  <c r="BU26" i="29"/>
  <c r="BN26" i="29"/>
  <c r="BU24" i="29"/>
  <c r="BN24" i="29"/>
  <c r="D24" i="29"/>
  <c r="AW21" i="29"/>
  <c r="AQ23" i="29"/>
  <c r="AO20" i="29"/>
  <c r="BS45" i="29"/>
  <c r="BK30" i="29"/>
  <c r="Y30" i="29"/>
  <c r="T25" i="29"/>
  <c r="BN23" i="29"/>
  <c r="AI22" i="29"/>
  <c r="R22" i="29"/>
  <c r="S41" i="29"/>
  <c r="AW41" i="29"/>
  <c r="BT34" i="29"/>
  <c r="R34" i="29"/>
  <c r="BM33" i="29"/>
  <c r="BM37" i="29"/>
  <c r="T32" i="29"/>
  <c r="T217" i="29"/>
  <c r="BR31" i="29"/>
  <c r="BT22" i="29"/>
  <c r="BS34" i="29"/>
  <c r="BL33" i="29"/>
  <c r="BU32" i="29"/>
  <c r="AN30" i="29"/>
  <c r="BR29" i="29"/>
  <c r="BR137" i="29"/>
  <c r="BL26" i="29"/>
  <c r="AI25" i="29"/>
  <c r="AU24" i="29"/>
  <c r="AX22" i="29"/>
  <c r="BL23" i="29"/>
  <c r="AV22" i="29"/>
  <c r="BK31" i="29"/>
  <c r="U24" i="29"/>
  <c r="AB24" i="29"/>
  <c r="T33" i="29"/>
  <c r="BL29" i="29"/>
  <c r="BN25" i="29"/>
  <c r="AB25" i="29"/>
  <c r="BE23" i="29"/>
  <c r="T23" i="29"/>
  <c r="AJ21" i="29"/>
  <c r="AY21" i="29"/>
  <c r="AJ20" i="29"/>
  <c r="AY20" i="29"/>
  <c r="BL34" i="29"/>
  <c r="BK29" i="29"/>
  <c r="BL22" i="29"/>
  <c r="BK19" i="29"/>
  <c r="BL41" i="29"/>
  <c r="U29" i="29"/>
  <c r="AY29" i="29"/>
  <c r="BL27" i="29"/>
  <c r="AJ24" i="29"/>
  <c r="AQ24" i="29"/>
  <c r="BN44" i="29"/>
  <c r="BT33" i="29"/>
  <c r="BN30" i="29"/>
  <c r="BK27" i="29"/>
  <c r="AQ129" i="29"/>
  <c r="M150" i="29"/>
  <c r="BT137" i="29"/>
  <c r="AB49" i="29"/>
  <c r="BS129" i="29"/>
  <c r="BE103" i="29"/>
  <c r="BE129" i="29"/>
  <c r="AX129" i="29"/>
  <c r="BR144" i="29"/>
  <c r="BR154" i="29"/>
  <c r="BR162" i="29"/>
  <c r="BS137" i="29"/>
  <c r="BU135" i="29"/>
  <c r="BR175" i="29"/>
  <c r="BK145" i="29"/>
  <c r="AW27" i="29"/>
  <c r="BR139" i="29"/>
  <c r="Z54" i="29"/>
  <c r="BD54" i="29"/>
  <c r="S163" i="29"/>
  <c r="BU143" i="29"/>
  <c r="BU145" i="29"/>
  <c r="BU149" i="29"/>
  <c r="BS174" i="29"/>
  <c r="L150" i="29"/>
  <c r="AA150" i="29"/>
  <c r="AI136" i="29"/>
  <c r="Z112" i="29"/>
  <c r="BD112" i="29"/>
  <c r="AG130" i="29"/>
  <c r="BU174" i="29"/>
  <c r="BU134" i="29"/>
  <c r="BS133" i="29"/>
  <c r="AO107" i="29"/>
  <c r="BD107" i="29"/>
  <c r="BU130" i="29"/>
  <c r="BF42" i="29"/>
  <c r="U151" i="29"/>
  <c r="BS134" i="29"/>
  <c r="AP43" i="29"/>
  <c r="AP63" i="29"/>
  <c r="AI63" i="29"/>
  <c r="AA105" i="29"/>
  <c r="T105" i="29"/>
  <c r="Z27" i="29"/>
  <c r="Z135" i="29"/>
  <c r="S135" i="29"/>
  <c r="AW31" i="29"/>
  <c r="AP114" i="29"/>
  <c r="AI114" i="29"/>
  <c r="AO88" i="29"/>
  <c r="BD88" i="29"/>
  <c r="BM119" i="29"/>
  <c r="BN98" i="29"/>
  <c r="Y27" i="29"/>
  <c r="BC27" i="29"/>
  <c r="BT133" i="29"/>
  <c r="BS128" i="29"/>
  <c r="AX115" i="29"/>
  <c r="Z41" i="29"/>
  <c r="BD41" i="29"/>
  <c r="S150" i="29"/>
  <c r="J164" i="29"/>
  <c r="Y164" i="29"/>
  <c r="AY88" i="29"/>
  <c r="Y89" i="29"/>
  <c r="BC89" i="29"/>
  <c r="BD103" i="29"/>
  <c r="AG129" i="29"/>
  <c r="AB89" i="29"/>
  <c r="BF89" i="29"/>
  <c r="AQ108" i="29"/>
  <c r="AJ108" i="29"/>
  <c r="AW28" i="29"/>
  <c r="BT142" i="29"/>
  <c r="AN116" i="29"/>
  <c r="AN142" i="29"/>
  <c r="J163" i="29"/>
  <c r="Y163" i="29"/>
  <c r="AY50" i="29"/>
  <c r="AY82" i="29"/>
  <c r="AI83" i="29"/>
  <c r="BT57" i="29"/>
  <c r="BT131" i="29"/>
  <c r="BT168" i="29"/>
  <c r="BT174" i="29"/>
  <c r="AQ41" i="29"/>
  <c r="AQ61" i="29"/>
  <c r="AJ61" i="29"/>
  <c r="AW81" i="29"/>
  <c r="BL145" i="29"/>
  <c r="BL98" i="29"/>
  <c r="AW116" i="29"/>
  <c r="AB110" i="29"/>
  <c r="BF110" i="29"/>
  <c r="AB31" i="29"/>
  <c r="BF31" i="29"/>
  <c r="AB91" i="29"/>
  <c r="BF91" i="29"/>
  <c r="BM145" i="29"/>
  <c r="Y31" i="29"/>
  <c r="BC31" i="29"/>
  <c r="BT129" i="29"/>
  <c r="BT153" i="29"/>
  <c r="AB82" i="29"/>
  <c r="BF82" i="29"/>
  <c r="AN88" i="29"/>
  <c r="AN93" i="29"/>
  <c r="AG93" i="29"/>
  <c r="BN37" i="29"/>
  <c r="AX84" i="29"/>
  <c r="AY86" i="29"/>
  <c r="BL57" i="29"/>
  <c r="BF117" i="29"/>
  <c r="BN77" i="29"/>
  <c r="BT130" i="29"/>
  <c r="BS130" i="29"/>
  <c r="BU129" i="29"/>
  <c r="AA110" i="29"/>
  <c r="BE110" i="29"/>
  <c r="BE136" i="29"/>
  <c r="AX136" i="29"/>
  <c r="BN119" i="29"/>
  <c r="BU175" i="29"/>
  <c r="AI41" i="29"/>
  <c r="BR129" i="29"/>
  <c r="BU137" i="29"/>
  <c r="BT77" i="29"/>
  <c r="BT165" i="29"/>
  <c r="BT135" i="29"/>
  <c r="AY81" i="29"/>
  <c r="BC109" i="29"/>
  <c r="Z110" i="29"/>
  <c r="BD110" i="29"/>
  <c r="Y112" i="29"/>
  <c r="BC112" i="29"/>
  <c r="BT175" i="29"/>
  <c r="BE111" i="29"/>
  <c r="BE137" i="29"/>
  <c r="AX137" i="29"/>
  <c r="AI141" i="29"/>
  <c r="BS139" i="29"/>
  <c r="F107" i="29"/>
  <c r="BR57" i="29"/>
  <c r="BD90" i="29"/>
  <c r="BC113" i="29"/>
  <c r="AQ26" i="29"/>
  <c r="AQ64" i="29"/>
  <c r="AJ64" i="29"/>
  <c r="AQ132" i="29"/>
  <c r="AQ60" i="29"/>
  <c r="AJ60" i="29"/>
  <c r="AO70" i="29"/>
  <c r="AH70" i="29"/>
  <c r="AO138" i="29"/>
  <c r="AO68" i="29"/>
  <c r="AH68" i="29"/>
  <c r="AO136" i="29"/>
  <c r="AO74" i="29"/>
  <c r="AH74" i="29"/>
  <c r="AO142" i="29"/>
  <c r="AO129" i="29"/>
  <c r="BD82" i="29"/>
  <c r="AH43" i="29"/>
  <c r="AO84" i="29"/>
  <c r="BF27" i="29"/>
  <c r="AB67" i="29"/>
  <c r="U67" i="29"/>
  <c r="U211" i="29"/>
  <c r="AB135" i="29"/>
  <c r="U135" i="29"/>
  <c r="AQ65" i="29"/>
  <c r="AJ65" i="29"/>
  <c r="AQ133" i="29"/>
  <c r="S33" i="29"/>
  <c r="U33" i="29"/>
  <c r="AQ69" i="29"/>
  <c r="AJ69" i="29"/>
  <c r="AQ137" i="29"/>
  <c r="BR37" i="29"/>
  <c r="Z87" i="29"/>
  <c r="S87" i="29"/>
  <c r="BD85" i="29"/>
  <c r="BD87" i="29"/>
  <c r="AW87" i="29"/>
  <c r="AP137" i="29"/>
  <c r="AO53" i="29"/>
  <c r="BD53" i="29"/>
  <c r="S162" i="29"/>
  <c r="AA108" i="29"/>
  <c r="BE106" i="29"/>
  <c r="AA132" i="29"/>
  <c r="T132" i="29"/>
  <c r="AX111" i="29"/>
  <c r="AA112" i="29"/>
  <c r="AX112" i="29"/>
  <c r="Y91" i="29"/>
  <c r="BC91" i="29"/>
  <c r="AV91" i="29"/>
  <c r="BK75" i="29"/>
  <c r="BK77" i="29"/>
  <c r="AV75" i="29"/>
  <c r="AG75" i="29"/>
  <c r="BR75" i="29"/>
  <c r="BR77" i="29"/>
  <c r="BR165" i="29"/>
  <c r="R75" i="29"/>
  <c r="AY40" i="29"/>
  <c r="AO52" i="29"/>
  <c r="AH52" i="29"/>
  <c r="BD21" i="29"/>
  <c r="Z129" i="29"/>
  <c r="S129" i="29"/>
  <c r="BC103" i="29"/>
  <c r="BC129" i="29"/>
  <c r="AV129" i="29"/>
  <c r="Y129" i="29"/>
  <c r="R129" i="29"/>
  <c r="BF113" i="29"/>
  <c r="AW82" i="29"/>
  <c r="BR159" i="29"/>
  <c r="BR160" i="29"/>
  <c r="BR140" i="29"/>
  <c r="BR150" i="29"/>
  <c r="BR158" i="29"/>
  <c r="BD20" i="29"/>
  <c r="Z23" i="29"/>
  <c r="Z128" i="29"/>
  <c r="S128" i="29"/>
  <c r="T36" i="29"/>
  <c r="AA76" i="29"/>
  <c r="S55" i="29"/>
  <c r="U55" i="29"/>
  <c r="C107" i="29"/>
  <c r="BD30" i="29"/>
  <c r="Z70" i="29"/>
  <c r="S70" i="29"/>
  <c r="S214" i="29"/>
  <c r="BC90" i="29"/>
  <c r="Y49" i="29"/>
  <c r="S35" i="29"/>
  <c r="U35" i="29"/>
  <c r="AW40" i="29"/>
  <c r="AG26" i="29"/>
  <c r="AN66" i="29"/>
  <c r="AG66" i="29"/>
  <c r="AI90" i="29"/>
  <c r="BF54" i="29"/>
  <c r="U163" i="29"/>
  <c r="AQ93" i="29"/>
  <c r="AJ93" i="29"/>
  <c r="AB85" i="29"/>
  <c r="AG139" i="29"/>
  <c r="J160" i="29"/>
  <c r="AO62" i="29"/>
  <c r="AH62" i="29"/>
  <c r="AO130" i="29"/>
  <c r="AO23" i="29"/>
  <c r="AO60" i="29"/>
  <c r="AH60" i="29"/>
  <c r="AO128" i="29"/>
  <c r="BE36" i="29"/>
  <c r="AX23" i="29"/>
  <c r="BE63" i="29"/>
  <c r="AX63" i="29"/>
  <c r="AP74" i="29"/>
  <c r="AI74" i="29"/>
  <c r="BD91" i="29"/>
  <c r="AQ128" i="29"/>
  <c r="AP84" i="29"/>
  <c r="AN108" i="29"/>
  <c r="AG108" i="29"/>
  <c r="AN132" i="29"/>
  <c r="BD102" i="29"/>
  <c r="Z105" i="29"/>
  <c r="AJ23" i="29"/>
  <c r="AN138" i="29"/>
  <c r="AH35" i="29"/>
  <c r="AO35" i="29"/>
  <c r="AJ35" i="29"/>
  <c r="AQ35" i="29"/>
  <c r="BF47" i="29"/>
  <c r="BD31" i="29"/>
  <c r="Z139" i="29"/>
  <c r="S139" i="29"/>
  <c r="AB68" i="29"/>
  <c r="U68" i="29"/>
  <c r="U212" i="29"/>
  <c r="BD50" i="29"/>
  <c r="S159" i="29"/>
  <c r="AY47" i="29"/>
  <c r="Y51" i="29"/>
  <c r="BC51" i="29"/>
  <c r="R160" i="29"/>
  <c r="AV84" i="29"/>
  <c r="AB115" i="29"/>
  <c r="BF115" i="29"/>
  <c r="BR119" i="29"/>
  <c r="BR142" i="29"/>
  <c r="BR145" i="29"/>
  <c r="BR149" i="29"/>
  <c r="BR157" i="29"/>
  <c r="AY116" i="29"/>
  <c r="BF20" i="29"/>
  <c r="AB23" i="29"/>
  <c r="BD22" i="29"/>
  <c r="Z62" i="29"/>
  <c r="S62" i="29"/>
  <c r="Z130" i="29"/>
  <c r="S130" i="29"/>
  <c r="AQ67" i="29"/>
  <c r="AJ67" i="29"/>
  <c r="AQ135" i="29"/>
  <c r="AI49" i="29"/>
  <c r="BD45" i="29"/>
  <c r="S154" i="29"/>
  <c r="AQ83" i="29"/>
  <c r="AQ130" i="29"/>
  <c r="AA133" i="29"/>
  <c r="T133" i="29"/>
  <c r="AO105" i="29"/>
  <c r="AJ129" i="29"/>
  <c r="BE135" i="29"/>
  <c r="AX135" i="29"/>
  <c r="AQ52" i="29"/>
  <c r="AJ52" i="29"/>
  <c r="BU128" i="29"/>
  <c r="BF44" i="29"/>
  <c r="AW48" i="29"/>
  <c r="Z48" i="29"/>
  <c r="BD48" i="29"/>
  <c r="S157" i="29"/>
  <c r="BM77" i="29"/>
  <c r="AG84" i="29"/>
  <c r="AG141" i="29"/>
  <c r="J162" i="29"/>
  <c r="Y162" i="29"/>
  <c r="AQ114" i="29"/>
  <c r="AJ114" i="29"/>
  <c r="AF114" i="29"/>
  <c r="BN138" i="29"/>
  <c r="S34" i="29"/>
  <c r="U34" i="29"/>
  <c r="BC30" i="29"/>
  <c r="Y70" i="29"/>
  <c r="R70" i="29"/>
  <c r="R214" i="29"/>
  <c r="BF24" i="29"/>
  <c r="AB26" i="29"/>
  <c r="AB64" i="29"/>
  <c r="U64" i="29"/>
  <c r="Z28" i="29"/>
  <c r="BR128" i="29"/>
  <c r="BF49" i="29"/>
  <c r="U158" i="29"/>
  <c r="AQ28" i="29"/>
  <c r="AQ32" i="29"/>
  <c r="BF21" i="29"/>
  <c r="AB61" i="29"/>
  <c r="U61" i="29"/>
  <c r="AW50" i="29"/>
  <c r="BN71" i="29"/>
  <c r="BU71" i="29"/>
  <c r="D107" i="29"/>
  <c r="BF103" i="29"/>
  <c r="BF105" i="29"/>
  <c r="AO111" i="29"/>
  <c r="AO137" i="29"/>
  <c r="AW111" i="29"/>
  <c r="AY107" i="29"/>
  <c r="AP116" i="29"/>
  <c r="AP142" i="29"/>
  <c r="S94" i="29"/>
  <c r="U94" i="29"/>
  <c r="AP52" i="29"/>
  <c r="AI52" i="29"/>
  <c r="BU160" i="29"/>
  <c r="BU140" i="29"/>
  <c r="BU150" i="29"/>
  <c r="BU159" i="29"/>
  <c r="BT37" i="29"/>
  <c r="BT141" i="29"/>
  <c r="BD29" i="29"/>
  <c r="Z137" i="29"/>
  <c r="S137" i="29"/>
  <c r="AP32" i="29"/>
  <c r="AP67" i="29"/>
  <c r="AI67" i="29"/>
  <c r="AP135" i="29"/>
  <c r="AJ33" i="29"/>
  <c r="AQ33" i="29"/>
  <c r="AH33" i="29"/>
  <c r="AO33" i="29"/>
  <c r="AB40" i="29"/>
  <c r="AB60" i="29"/>
  <c r="U60" i="29"/>
  <c r="Z46" i="29"/>
  <c r="S46" i="29"/>
  <c r="BD44" i="29"/>
  <c r="AI35" i="29"/>
  <c r="AP75" i="29"/>
  <c r="AI75" i="29"/>
  <c r="AP143" i="29"/>
  <c r="BS140" i="29"/>
  <c r="BS150" i="29"/>
  <c r="BS159" i="29"/>
  <c r="BS160" i="29"/>
  <c r="AX43" i="29"/>
  <c r="BE56" i="29"/>
  <c r="T152" i="29"/>
  <c r="AI46" i="29"/>
  <c r="BT162" i="29"/>
  <c r="Z93" i="29"/>
  <c r="S93" i="29"/>
  <c r="AY90" i="29"/>
  <c r="AY106" i="29"/>
  <c r="AB106" i="29"/>
  <c r="AG133" i="29"/>
  <c r="BU132" i="29"/>
  <c r="AN28" i="29"/>
  <c r="AY45" i="29"/>
  <c r="AB45" i="29"/>
  <c r="BF45" i="29"/>
  <c r="U154" i="29"/>
  <c r="BR132" i="29"/>
  <c r="BS37" i="29"/>
  <c r="BS141" i="29"/>
  <c r="BD24" i="29"/>
  <c r="Z26" i="29"/>
  <c r="Z64" i="29"/>
  <c r="S64" i="29"/>
  <c r="AB29" i="29"/>
  <c r="Z40" i="29"/>
  <c r="Z60" i="29"/>
  <c r="S60" i="29"/>
  <c r="AY53" i="29"/>
  <c r="AB53" i="29"/>
  <c r="BF53" i="29"/>
  <c r="U162" i="29"/>
  <c r="AN50" i="29"/>
  <c r="AN52" i="29"/>
  <c r="AG52" i="29"/>
  <c r="BD81" i="29"/>
  <c r="Z84" i="29"/>
  <c r="AB51" i="29"/>
  <c r="BF51" i="29"/>
  <c r="U160" i="29"/>
  <c r="Z49" i="29"/>
  <c r="BD49" i="29"/>
  <c r="S158" i="29"/>
  <c r="BC107" i="29"/>
  <c r="BC133" i="29"/>
  <c r="AV133" i="29"/>
  <c r="Y133" i="29"/>
  <c r="R133" i="29"/>
  <c r="AP132" i="29"/>
  <c r="AX106" i="29"/>
  <c r="BM140" i="29"/>
  <c r="AI130" i="29"/>
  <c r="BE104" i="29"/>
  <c r="BE130" i="29"/>
  <c r="AX130" i="29"/>
  <c r="AA130" i="29"/>
  <c r="T130" i="29"/>
  <c r="AG137" i="29"/>
  <c r="R156" i="29"/>
  <c r="Y142" i="29"/>
  <c r="R142" i="29"/>
  <c r="AN43" i="29"/>
  <c r="AN61" i="29"/>
  <c r="AG61" i="29"/>
  <c r="AQ70" i="29"/>
  <c r="AJ70" i="29"/>
  <c r="AQ138" i="29"/>
  <c r="M159" i="29"/>
  <c r="AB159" i="29"/>
  <c r="AO32" i="29"/>
  <c r="AO67" i="29"/>
  <c r="AH67" i="29"/>
  <c r="AO26" i="29"/>
  <c r="AO64" i="29"/>
  <c r="AH64" i="29"/>
  <c r="AO132" i="29"/>
  <c r="AW29" i="29"/>
  <c r="AB81" i="29"/>
  <c r="AB128" i="29"/>
  <c r="U128" i="29"/>
  <c r="AB96" i="29"/>
  <c r="BF96" i="29"/>
  <c r="AI87" i="29"/>
  <c r="Z106" i="29"/>
  <c r="AW106" i="29"/>
  <c r="AX113" i="29"/>
  <c r="AA113" i="29"/>
  <c r="AW91" i="29"/>
  <c r="BL37" i="29"/>
  <c r="Y63" i="29"/>
  <c r="R63" i="29"/>
  <c r="R43" i="29"/>
  <c r="BF30" i="29"/>
  <c r="AB70" i="29"/>
  <c r="U70" i="29"/>
  <c r="U214" i="29"/>
  <c r="BF22" i="29"/>
  <c r="AB62" i="29"/>
  <c r="U62" i="29"/>
  <c r="AB130" i="29"/>
  <c r="U130" i="29"/>
  <c r="Z47" i="29"/>
  <c r="AW47" i="29"/>
  <c r="BD25" i="29"/>
  <c r="Z65" i="29"/>
  <c r="S65" i="29"/>
  <c r="Z133" i="29"/>
  <c r="S133" i="29"/>
  <c r="BU138" i="29"/>
  <c r="AO71" i="29"/>
  <c r="AH71" i="29"/>
  <c r="AO139" i="29"/>
  <c r="BT140" i="29"/>
  <c r="BT150" i="29"/>
  <c r="BT159" i="29"/>
  <c r="BT160" i="29"/>
  <c r="AW90" i="29"/>
  <c r="AV92" i="29"/>
  <c r="Y92" i="29"/>
  <c r="BC92" i="29"/>
  <c r="AX97" i="29"/>
  <c r="AP107" i="29"/>
  <c r="AP133" i="29"/>
  <c r="BS73" i="29"/>
  <c r="BS77" i="29"/>
  <c r="BS165" i="29"/>
  <c r="BL73" i="29"/>
  <c r="BL77" i="29"/>
  <c r="AV106" i="29"/>
  <c r="Y106" i="29"/>
  <c r="AV115" i="29"/>
  <c r="Y115" i="29"/>
  <c r="AQ105" i="29"/>
  <c r="BC102" i="29"/>
  <c r="Y105" i="29"/>
  <c r="Y128" i="29"/>
  <c r="R128" i="29"/>
  <c r="BK119" i="29"/>
  <c r="AB112" i="29"/>
  <c r="AO69" i="29"/>
  <c r="AH69" i="29"/>
  <c r="BK37" i="29"/>
  <c r="BF25" i="29"/>
  <c r="AQ74" i="29"/>
  <c r="AJ74" i="29"/>
  <c r="AQ142" i="29"/>
  <c r="BS142" i="29"/>
  <c r="AY24" i="29"/>
  <c r="AQ71" i="29"/>
  <c r="AJ71" i="29"/>
  <c r="AQ139" i="29"/>
  <c r="AO65" i="29"/>
  <c r="AH65" i="29"/>
  <c r="BU37" i="29"/>
  <c r="AW30" i="29"/>
  <c r="AB86" i="29"/>
  <c r="BF86" i="29"/>
  <c r="S95" i="29"/>
  <c r="U95" i="29"/>
  <c r="Z51" i="29"/>
  <c r="BD51" i="29"/>
  <c r="S160" i="29"/>
  <c r="AW51" i="29"/>
  <c r="Z96" i="29"/>
  <c r="BD96" i="29"/>
  <c r="AW96" i="29"/>
  <c r="AV111" i="29"/>
  <c r="Y111" i="29"/>
  <c r="BC111" i="29"/>
  <c r="BS57" i="29"/>
  <c r="AP93" i="29"/>
  <c r="AI93" i="29"/>
  <c r="AN114" i="29"/>
  <c r="AG114" i="29"/>
  <c r="AN128" i="29"/>
  <c r="AN105" i="29"/>
  <c r="BN145" i="29"/>
  <c r="AA142" i="29"/>
  <c r="AY111" i="29"/>
  <c r="AI138" i="29"/>
  <c r="L159" i="29"/>
  <c r="AA159" i="29"/>
  <c r="BE115" i="29"/>
  <c r="BE141" i="29"/>
  <c r="AX141" i="29"/>
  <c r="F20" i="17"/>
  <c r="F19" i="17"/>
  <c r="F21" i="17" s="1"/>
  <c r="D20" i="17"/>
  <c r="D21" i="17" s="1"/>
  <c r="D19" i="17"/>
  <c r="E20" i="17"/>
  <c r="E19" i="17"/>
  <c r="F22" i="26"/>
  <c r="D22" i="26"/>
  <c r="J18" i="26"/>
  <c r="AO135" i="29"/>
  <c r="K156" i="29"/>
  <c r="AO93" i="29"/>
  <c r="AH93" i="29"/>
  <c r="BD27" i="29"/>
  <c r="BD135" i="29"/>
  <c r="AW135" i="29"/>
  <c r="BC88" i="29"/>
  <c r="BC135" i="29"/>
  <c r="AV135" i="29"/>
  <c r="BD105" i="29"/>
  <c r="AW105" i="29"/>
  <c r="Y136" i="29"/>
  <c r="R136" i="29"/>
  <c r="Z138" i="29"/>
  <c r="S138" i="29"/>
  <c r="Z114" i="29"/>
  <c r="S114" i="29"/>
  <c r="BS162" i="29"/>
  <c r="BS153" i="29"/>
  <c r="BU162" i="29"/>
  <c r="BS158" i="29"/>
  <c r="Y135" i="29"/>
  <c r="R135" i="29"/>
  <c r="Y67" i="29"/>
  <c r="R67" i="29"/>
  <c r="R211" i="29"/>
  <c r="AQ43" i="29"/>
  <c r="AQ63" i="29"/>
  <c r="AJ63" i="29"/>
  <c r="BT158" i="29"/>
  <c r="BC116" i="29"/>
  <c r="BC142" i="29"/>
  <c r="AV142" i="29"/>
  <c r="BU153" i="29"/>
  <c r="AI43" i="29"/>
  <c r="AA131" i="29"/>
  <c r="T131" i="29"/>
  <c r="AO133" i="29"/>
  <c r="AH133" i="29"/>
  <c r="AO108" i="29"/>
  <c r="AH108" i="29"/>
  <c r="AN135" i="29"/>
  <c r="AG135" i="29"/>
  <c r="BT145" i="29"/>
  <c r="BT149" i="29"/>
  <c r="BT157" i="29"/>
  <c r="AA136" i="29"/>
  <c r="T136" i="29"/>
  <c r="Z61" i="29"/>
  <c r="S61" i="29"/>
  <c r="AG142" i="29"/>
  <c r="R180" i="29"/>
  <c r="BC114" i="29"/>
  <c r="AV114" i="29"/>
  <c r="AB129" i="29"/>
  <c r="U129" i="29"/>
  <c r="BR153" i="29"/>
  <c r="BR161" i="29"/>
  <c r="AB139" i="29"/>
  <c r="U139" i="29"/>
  <c r="AB65" i="29"/>
  <c r="U65" i="29"/>
  <c r="AN97" i="29"/>
  <c r="AN98" i="29"/>
  <c r="BE116" i="29"/>
  <c r="BE142" i="29"/>
  <c r="AX142" i="29"/>
  <c r="BD84" i="29"/>
  <c r="AW84" i="29"/>
  <c r="BD93" i="29"/>
  <c r="AW93" i="29"/>
  <c r="AB136" i="29"/>
  <c r="U136" i="29"/>
  <c r="AB132" i="29"/>
  <c r="U132" i="29"/>
  <c r="BF41" i="29"/>
  <c r="U150" i="29"/>
  <c r="AB150" i="29"/>
  <c r="Y32" i="29"/>
  <c r="Y36" i="29"/>
  <c r="AB93" i="29"/>
  <c r="U93" i="29"/>
  <c r="BF93" i="29"/>
  <c r="AY93" i="29"/>
  <c r="AB52" i="29"/>
  <c r="U52" i="29"/>
  <c r="AB71" i="29"/>
  <c r="U71" i="29"/>
  <c r="U215" i="29"/>
  <c r="AB46" i="29"/>
  <c r="U46" i="29"/>
  <c r="AN118" i="29"/>
  <c r="AG118" i="29"/>
  <c r="Y71" i="29"/>
  <c r="R71" i="29"/>
  <c r="R215" i="29"/>
  <c r="AN134" i="29"/>
  <c r="J155" i="29"/>
  <c r="Y155" i="29"/>
  <c r="AJ32" i="29"/>
  <c r="AQ72" i="29"/>
  <c r="AJ72" i="29"/>
  <c r="AQ140" i="29"/>
  <c r="AQ36" i="29"/>
  <c r="BR171" i="29"/>
  <c r="BT171" i="29"/>
  <c r="BU171" i="29"/>
  <c r="AY34" i="29"/>
  <c r="AB34" i="29"/>
  <c r="S105" i="29"/>
  <c r="AO73" i="29"/>
  <c r="AH73" i="29"/>
  <c r="AO141" i="29"/>
  <c r="AQ75" i="29"/>
  <c r="AJ75" i="29"/>
  <c r="AQ143" i="29"/>
  <c r="K151" i="29"/>
  <c r="Z151" i="29"/>
  <c r="AH130" i="29"/>
  <c r="BC49" i="29"/>
  <c r="Y69" i="29"/>
  <c r="R69" i="29"/>
  <c r="R213" i="29"/>
  <c r="Y52" i="29"/>
  <c r="BE112" i="29"/>
  <c r="BE138" i="29"/>
  <c r="AX138" i="29"/>
  <c r="AA138" i="29"/>
  <c r="T138" i="29"/>
  <c r="AJ133" i="29"/>
  <c r="M154" i="29"/>
  <c r="AB154" i="29"/>
  <c r="L153" i="29"/>
  <c r="AA153" i="29"/>
  <c r="AI132" i="29"/>
  <c r="BC137" i="29"/>
  <c r="AV137" i="29"/>
  <c r="AQ73" i="29"/>
  <c r="AJ73" i="29"/>
  <c r="AQ141" i="29"/>
  <c r="BD28" i="29"/>
  <c r="Z68" i="29"/>
  <c r="S68" i="29"/>
  <c r="S212" i="29"/>
  <c r="Z136" i="29"/>
  <c r="S136" i="29"/>
  <c r="AW34" i="29"/>
  <c r="Z34" i="29"/>
  <c r="U23" i="29"/>
  <c r="BD61" i="29"/>
  <c r="AW61" i="29"/>
  <c r="BD129" i="29"/>
  <c r="AW129" i="29"/>
  <c r="BD106" i="29"/>
  <c r="BD108" i="29"/>
  <c r="AW108" i="29"/>
  <c r="Z108" i="29"/>
  <c r="S108" i="29"/>
  <c r="AH135" i="29"/>
  <c r="BF71" i="29"/>
  <c r="AY71" i="29"/>
  <c r="AB215" i="29"/>
  <c r="BF139" i="29"/>
  <c r="AY139" i="29"/>
  <c r="AH32" i="29"/>
  <c r="AO72" i="29"/>
  <c r="AH72" i="29"/>
  <c r="AP108" i="29"/>
  <c r="BC67" i="29"/>
  <c r="AV67" i="29"/>
  <c r="Y211" i="29"/>
  <c r="AJ130" i="29"/>
  <c r="M151" i="29"/>
  <c r="AB151" i="29"/>
  <c r="BF23" i="29"/>
  <c r="AP56" i="29"/>
  <c r="BD62" i="29"/>
  <c r="AW62" i="29"/>
  <c r="BD130" i="29"/>
  <c r="AW130" i="29"/>
  <c r="AW33" i="29"/>
  <c r="Z33" i="29"/>
  <c r="AN68" i="29"/>
  <c r="AG68" i="29"/>
  <c r="AN136" i="29"/>
  <c r="BC28" i="29"/>
  <c r="AN32" i="29"/>
  <c r="M163" i="29"/>
  <c r="AB163" i="29"/>
  <c r="AJ142" i="29"/>
  <c r="AJ138" i="29"/>
  <c r="AO75" i="29"/>
  <c r="AH75" i="29"/>
  <c r="AO143" i="29"/>
  <c r="Y160" i="29"/>
  <c r="Y137" i="29"/>
  <c r="R137" i="29"/>
  <c r="BF112" i="29"/>
  <c r="BF114" i="29"/>
  <c r="AY114" i="29"/>
  <c r="AU114" i="29"/>
  <c r="AB114" i="29"/>
  <c r="U114" i="29"/>
  <c r="Q114" i="29"/>
  <c r="BC105" i="29"/>
  <c r="BC128" i="29"/>
  <c r="AV128" i="29"/>
  <c r="BF29" i="29"/>
  <c r="AB69" i="29"/>
  <c r="U69" i="29"/>
  <c r="U213" i="29"/>
  <c r="AB137" i="29"/>
  <c r="U137" i="29"/>
  <c r="L156" i="29"/>
  <c r="AA156" i="29"/>
  <c r="AI135" i="29"/>
  <c r="BF46" i="29"/>
  <c r="U153" i="29"/>
  <c r="BF83" i="29"/>
  <c r="BF130" i="29"/>
  <c r="AY130" i="29"/>
  <c r="J153" i="29"/>
  <c r="Y153" i="29"/>
  <c r="AG132" i="29"/>
  <c r="Z131" i="29"/>
  <c r="S23" i="29"/>
  <c r="Y131" i="29"/>
  <c r="BD65" i="29"/>
  <c r="AW65" i="29"/>
  <c r="BD133" i="29"/>
  <c r="AW133" i="29"/>
  <c r="AQ118" i="29"/>
  <c r="AJ105" i="29"/>
  <c r="Z132" i="29"/>
  <c r="S132" i="29"/>
  <c r="AB94" i="29"/>
  <c r="BF94" i="29"/>
  <c r="AY94" i="29"/>
  <c r="BD23" i="29"/>
  <c r="BD128" i="29"/>
  <c r="AW128" i="29"/>
  <c r="BE132" i="29"/>
  <c r="AX132" i="29"/>
  <c r="BD47" i="29"/>
  <c r="Z52" i="29"/>
  <c r="S52" i="29"/>
  <c r="AI32" i="29"/>
  <c r="AP72" i="29"/>
  <c r="AI72" i="29"/>
  <c r="AP140" i="29"/>
  <c r="AP36" i="29"/>
  <c r="AH105" i="29"/>
  <c r="AI84" i="29"/>
  <c r="AP97" i="29"/>
  <c r="AP131" i="29"/>
  <c r="AB87" i="29"/>
  <c r="U87" i="29"/>
  <c r="BF85" i="29"/>
  <c r="BF87" i="29"/>
  <c r="AY87" i="29"/>
  <c r="AY55" i="29"/>
  <c r="AB55" i="29"/>
  <c r="BF55" i="29"/>
  <c r="U164" i="29"/>
  <c r="AA134" i="29"/>
  <c r="T108" i="29"/>
  <c r="BF67" i="29"/>
  <c r="AY67" i="29"/>
  <c r="AB211" i="29"/>
  <c r="BF135" i="29"/>
  <c r="AY135" i="29"/>
  <c r="K150" i="29"/>
  <c r="Z150" i="29"/>
  <c r="AH129" i="29"/>
  <c r="AW95" i="29"/>
  <c r="Z95" i="29"/>
  <c r="BD95" i="29"/>
  <c r="BF81" i="29"/>
  <c r="AB84" i="29"/>
  <c r="Y93" i="29"/>
  <c r="AI143" i="29"/>
  <c r="L164" i="29"/>
  <c r="AA164" i="29"/>
  <c r="AW94" i="29"/>
  <c r="Z94" i="29"/>
  <c r="BD94" i="29"/>
  <c r="M149" i="29"/>
  <c r="AJ128" i="29"/>
  <c r="BD70" i="29"/>
  <c r="AW70" i="29"/>
  <c r="Z214" i="29"/>
  <c r="BD138" i="29"/>
  <c r="AW138" i="29"/>
  <c r="AJ137" i="29"/>
  <c r="M158" i="29"/>
  <c r="AB158" i="29"/>
  <c r="AB32" i="29"/>
  <c r="AJ132" i="29"/>
  <c r="M153" i="29"/>
  <c r="BD40" i="29"/>
  <c r="Z43" i="29"/>
  <c r="L180" i="29"/>
  <c r="T142" i="29"/>
  <c r="BC115" i="29"/>
  <c r="BC141" i="29"/>
  <c r="AV141" i="29"/>
  <c r="Y141" i="29"/>
  <c r="Z66" i="29"/>
  <c r="S66" i="29"/>
  <c r="S26" i="29"/>
  <c r="AJ139" i="29"/>
  <c r="M160" i="29"/>
  <c r="AB160" i="29"/>
  <c r="AB133" i="29"/>
  <c r="U133" i="29"/>
  <c r="Y108" i="29"/>
  <c r="BC106" i="29"/>
  <c r="Y132" i="29"/>
  <c r="R132" i="29"/>
  <c r="BD26" i="29"/>
  <c r="BD64" i="29"/>
  <c r="AW64" i="29"/>
  <c r="AB108" i="29"/>
  <c r="BF106" i="29"/>
  <c r="BF108" i="29"/>
  <c r="AY108" i="29"/>
  <c r="Z69" i="29"/>
  <c r="S69" i="29"/>
  <c r="S213" i="29"/>
  <c r="BE105" i="29"/>
  <c r="M156" i="29"/>
  <c r="AJ135" i="29"/>
  <c r="AQ84" i="29"/>
  <c r="AW55" i="29"/>
  <c r="Z55" i="29"/>
  <c r="BD55" i="29"/>
  <c r="S164" i="29"/>
  <c r="K163" i="29"/>
  <c r="Z163" i="29"/>
  <c r="AH142" i="29"/>
  <c r="BF40" i="29"/>
  <c r="BF60" i="29"/>
  <c r="AY60" i="29"/>
  <c r="AB43" i="29"/>
  <c r="AB63" i="29"/>
  <c r="U63" i="29"/>
  <c r="T76" i="29"/>
  <c r="BC71" i="29"/>
  <c r="AV71" i="29"/>
  <c r="Y215" i="29"/>
  <c r="BC139" i="29"/>
  <c r="AV139" i="29"/>
  <c r="BF62" i="29"/>
  <c r="AY62" i="29"/>
  <c r="Y114" i="29"/>
  <c r="R114" i="29"/>
  <c r="AG43" i="29"/>
  <c r="AN63" i="29"/>
  <c r="AG63" i="29"/>
  <c r="AN56" i="29"/>
  <c r="S84" i="29"/>
  <c r="BD69" i="29"/>
  <c r="AW69" i="29"/>
  <c r="Z213" i="29"/>
  <c r="U26" i="29"/>
  <c r="BF28" i="29"/>
  <c r="J159" i="29"/>
  <c r="AG138" i="29"/>
  <c r="BE37" i="29"/>
  <c r="AX36" i="29"/>
  <c r="BE76" i="29"/>
  <c r="AQ66" i="29"/>
  <c r="AJ66" i="29"/>
  <c r="AQ134" i="29"/>
  <c r="AJ26" i="29"/>
  <c r="BF65" i="29"/>
  <c r="AY65" i="29"/>
  <c r="BF133" i="29"/>
  <c r="AY133" i="29"/>
  <c r="BS145" i="29"/>
  <c r="BS149" i="29"/>
  <c r="BS157" i="29"/>
  <c r="T165" i="29"/>
  <c r="AX56" i="29"/>
  <c r="BF129" i="29"/>
  <c r="AY129" i="29"/>
  <c r="BF26" i="29"/>
  <c r="BF64" i="29"/>
  <c r="AY64" i="29"/>
  <c r="AN131" i="29"/>
  <c r="AN70" i="29"/>
  <c r="AG70" i="29"/>
  <c r="K149" i="29"/>
  <c r="AH128" i="29"/>
  <c r="AH84" i="29"/>
  <c r="AO97" i="29"/>
  <c r="K157" i="29"/>
  <c r="Z157" i="29"/>
  <c r="AH136" i="29"/>
  <c r="K160" i="29"/>
  <c r="Z160" i="29"/>
  <c r="AH139" i="29"/>
  <c r="J149" i="29"/>
  <c r="Y149" i="29"/>
  <c r="AG128" i="29"/>
  <c r="K153" i="29"/>
  <c r="AH132" i="29"/>
  <c r="Z71" i="29"/>
  <c r="S71" i="29"/>
  <c r="S215" i="29"/>
  <c r="L163" i="29"/>
  <c r="AA163" i="29"/>
  <c r="AI142" i="29"/>
  <c r="L158" i="29"/>
  <c r="AA158" i="29"/>
  <c r="AI137" i="29"/>
  <c r="AY33" i="29"/>
  <c r="AB33" i="29"/>
  <c r="AA114" i="29"/>
  <c r="AI133" i="29"/>
  <c r="L154" i="29"/>
  <c r="AA154" i="29"/>
  <c r="Y138" i="29"/>
  <c r="R138" i="29"/>
  <c r="Z67" i="29"/>
  <c r="S67" i="29"/>
  <c r="S211" i="29"/>
  <c r="AY95" i="29"/>
  <c r="AB95" i="29"/>
  <c r="BF95" i="29"/>
  <c r="AH137" i="29"/>
  <c r="K158" i="29"/>
  <c r="Z158" i="29"/>
  <c r="BE113" i="29"/>
  <c r="BE139" i="29"/>
  <c r="AX139" i="29"/>
  <c r="AA139" i="29"/>
  <c r="T139" i="29"/>
  <c r="BC50" i="29"/>
  <c r="R159" i="29"/>
  <c r="BD46" i="29"/>
  <c r="S153" i="29"/>
  <c r="BD111" i="29"/>
  <c r="BD114" i="29"/>
  <c r="AW114" i="29"/>
  <c r="AO114" i="29"/>
  <c r="AH114" i="29"/>
  <c r="Z32" i="29"/>
  <c r="BD71" i="29"/>
  <c r="AW71" i="29"/>
  <c r="Z215" i="29"/>
  <c r="BD139" i="29"/>
  <c r="AW139" i="29"/>
  <c r="AO36" i="29"/>
  <c r="AH23" i="29"/>
  <c r="AO63" i="29"/>
  <c r="AH63" i="29"/>
  <c r="AO131" i="29"/>
  <c r="AY35" i="29"/>
  <c r="AB35" i="29"/>
  <c r="AO56" i="29"/>
  <c r="AW35" i="29"/>
  <c r="Z35" i="29"/>
  <c r="AB138" i="29"/>
  <c r="U138" i="29"/>
  <c r="AY105" i="29"/>
  <c r="AQ68" i="29"/>
  <c r="AJ68" i="29"/>
  <c r="AQ136" i="29"/>
  <c r="BE107" i="29"/>
  <c r="BE133" i="29"/>
  <c r="AX133" i="29"/>
  <c r="BS171" i="29"/>
  <c r="BF70" i="29"/>
  <c r="AY70" i="29"/>
  <c r="AB214" i="29"/>
  <c r="AH26" i="29"/>
  <c r="AO66" i="29"/>
  <c r="AH66" i="29"/>
  <c r="AO134" i="29"/>
  <c r="BU158" i="29"/>
  <c r="BC138" i="29"/>
  <c r="AV138" i="29"/>
  <c r="BF52" i="29"/>
  <c r="U156" i="29"/>
  <c r="Y139" i="29"/>
  <c r="R139" i="29"/>
  <c r="BU157" i="29"/>
  <c r="K159" i="29"/>
  <c r="Z159" i="29"/>
  <c r="AH138" i="29"/>
  <c r="E21" i="17"/>
  <c r="E29" i="24"/>
  <c r="E30" i="24"/>
  <c r="C29" i="24"/>
  <c r="E39" i="23" s="1"/>
  <c r="C30" i="24"/>
  <c r="L10" i="16"/>
  <c r="L9" i="16"/>
  <c r="O10" i="16"/>
  <c r="O9" i="16"/>
  <c r="K9" i="16"/>
  <c r="K10" i="16"/>
  <c r="D10" i="16"/>
  <c r="G10" i="16"/>
  <c r="D9" i="16"/>
  <c r="G9" i="16"/>
  <c r="T137" i="10"/>
  <c r="G51" i="6"/>
  <c r="G50" i="6"/>
  <c r="E50" i="6"/>
  <c r="F50" i="6"/>
  <c r="J156" i="29"/>
  <c r="Y156" i="29"/>
  <c r="BU161" i="29"/>
  <c r="BS161" i="29"/>
  <c r="BC93" i="29"/>
  <c r="BC97" i="29"/>
  <c r="BD32" i="29"/>
  <c r="BD140" i="29"/>
  <c r="AW140" i="29"/>
  <c r="Z218" i="29"/>
  <c r="BD67" i="29"/>
  <c r="AW67" i="29"/>
  <c r="Z211" i="29"/>
  <c r="AG97" i="29"/>
  <c r="AJ43" i="29"/>
  <c r="L181" i="29"/>
  <c r="BF32" i="29"/>
  <c r="AY32" i="29"/>
  <c r="AB217" i="29"/>
  <c r="AQ56" i="29"/>
  <c r="AJ56" i="29"/>
  <c r="K154" i="29"/>
  <c r="Z154" i="29"/>
  <c r="AG134" i="29"/>
  <c r="Z134" i="29"/>
  <c r="S134" i="29"/>
  <c r="Y72" i="29"/>
  <c r="R72" i="29"/>
  <c r="R216" i="29"/>
  <c r="BT161" i="29"/>
  <c r="R32" i="29"/>
  <c r="R217" i="29"/>
  <c r="T180" i="29"/>
  <c r="AA180" i="29"/>
  <c r="BF61" i="29"/>
  <c r="AY61" i="29"/>
  <c r="BF84" i="29"/>
  <c r="BF97" i="29"/>
  <c r="BD97" i="29"/>
  <c r="AW97" i="29"/>
  <c r="Y159" i="29"/>
  <c r="BC70" i="29"/>
  <c r="AV70" i="29"/>
  <c r="Y214" i="29"/>
  <c r="AN119" i="29"/>
  <c r="AB66" i="29"/>
  <c r="U66" i="29"/>
  <c r="Z118" i="29"/>
  <c r="S118" i="29"/>
  <c r="BD118" i="29"/>
  <c r="AW118" i="29"/>
  <c r="AB156" i="29"/>
  <c r="Z97" i="29"/>
  <c r="S97" i="29"/>
  <c r="AB36" i="29"/>
  <c r="AB37" i="29"/>
  <c r="U108" i="29"/>
  <c r="AB118" i="29"/>
  <c r="AB97" i="29"/>
  <c r="U84" i="29"/>
  <c r="AG32" i="29"/>
  <c r="AN72" i="29"/>
  <c r="AG72" i="29"/>
  <c r="AN140" i="29"/>
  <c r="AN146" i="29"/>
  <c r="AN36" i="29"/>
  <c r="AP37" i="29"/>
  <c r="M164" i="29"/>
  <c r="AB164" i="29"/>
  <c r="AJ143" i="29"/>
  <c r="AP57" i="29"/>
  <c r="AI56" i="29"/>
  <c r="AO76" i="29"/>
  <c r="AH36" i="29"/>
  <c r="BF132" i="29"/>
  <c r="AY132" i="29"/>
  <c r="BD132" i="29"/>
  <c r="AW132" i="29"/>
  <c r="T134" i="29"/>
  <c r="BC68" i="29"/>
  <c r="AV68" i="29"/>
  <c r="Y212" i="29"/>
  <c r="BC136" i="29"/>
  <c r="AV136" i="29"/>
  <c r="BF68" i="29"/>
  <c r="AY68" i="29"/>
  <c r="AB212" i="29"/>
  <c r="BF136" i="29"/>
  <c r="AY136" i="29"/>
  <c r="Z56" i="29"/>
  <c r="S43" i="29"/>
  <c r="J157" i="29"/>
  <c r="Y157" i="29"/>
  <c r="AG136" i="29"/>
  <c r="AP118" i="29"/>
  <c r="AP144" i="29"/>
  <c r="AI108" i="29"/>
  <c r="AP134" i="29"/>
  <c r="AP146" i="29"/>
  <c r="BD34" i="29"/>
  <c r="Z74" i="29"/>
  <c r="S74" i="29"/>
  <c r="Z142" i="29"/>
  <c r="S142" i="29"/>
  <c r="U155" i="29"/>
  <c r="AY46" i="29"/>
  <c r="BD35" i="29"/>
  <c r="Z75" i="29"/>
  <c r="S75" i="29"/>
  <c r="Z143" i="29"/>
  <c r="S143" i="29"/>
  <c r="AA140" i="29"/>
  <c r="T140" i="29"/>
  <c r="T218" i="29"/>
  <c r="T114" i="29"/>
  <c r="AA118" i="29"/>
  <c r="AO98" i="29"/>
  <c r="AH97" i="29"/>
  <c r="BF66" i="29"/>
  <c r="AY66" i="29"/>
  <c r="BF134" i="29"/>
  <c r="AY134" i="29"/>
  <c r="AY26" i="29"/>
  <c r="AW26" i="29"/>
  <c r="BD66" i="29"/>
  <c r="AW66" i="29"/>
  <c r="BD134" i="29"/>
  <c r="AW134" i="29"/>
  <c r="BD43" i="29"/>
  <c r="BD63" i="29"/>
  <c r="AW63" i="29"/>
  <c r="S149" i="29"/>
  <c r="Z149" i="29"/>
  <c r="BE108" i="29"/>
  <c r="BF33" i="29"/>
  <c r="AB73" i="29"/>
  <c r="U73" i="29"/>
  <c r="AB141" i="29"/>
  <c r="AV93" i="29"/>
  <c r="AI36" i="29"/>
  <c r="AP76" i="29"/>
  <c r="AJ118" i="29"/>
  <c r="AQ119" i="29"/>
  <c r="BD33" i="29"/>
  <c r="Z73" i="29"/>
  <c r="S73" i="29"/>
  <c r="Z141" i="29"/>
  <c r="BF128" i="29"/>
  <c r="AY128" i="29"/>
  <c r="AO140" i="29"/>
  <c r="AO146" i="29"/>
  <c r="AH141" i="29"/>
  <c r="K162" i="29"/>
  <c r="Z162" i="29"/>
  <c r="Z153" i="29"/>
  <c r="M155" i="29"/>
  <c r="AJ134" i="29"/>
  <c r="L161" i="29"/>
  <c r="AA161" i="29"/>
  <c r="AI140" i="29"/>
  <c r="BD60" i="29"/>
  <c r="AW60" i="29"/>
  <c r="S131" i="29"/>
  <c r="K181" i="29"/>
  <c r="BF118" i="29"/>
  <c r="S32" i="29"/>
  <c r="S217" i="29"/>
  <c r="Z72" i="29"/>
  <c r="S72" i="29"/>
  <c r="S216" i="29"/>
  <c r="Z140" i="29"/>
  <c r="S140" i="29"/>
  <c r="S218" i="29"/>
  <c r="AQ97" i="29"/>
  <c r="AQ144" i="29"/>
  <c r="AJ84" i="29"/>
  <c r="AQ131" i="29"/>
  <c r="BC108" i="29"/>
  <c r="BC132" i="29"/>
  <c r="AV132" i="29"/>
  <c r="AW23" i="29"/>
  <c r="BD131" i="29"/>
  <c r="Z63" i="29"/>
  <c r="S63" i="29"/>
  <c r="BF69" i="29"/>
  <c r="AY69" i="29"/>
  <c r="AB213" i="29"/>
  <c r="BF137" i="29"/>
  <c r="AY137" i="29"/>
  <c r="AH143" i="29"/>
  <c r="K164" i="29"/>
  <c r="Z164" i="29"/>
  <c r="AY23" i="29"/>
  <c r="BD68" i="29"/>
  <c r="AW68" i="29"/>
  <c r="Z212" i="29"/>
  <c r="BD136" i="29"/>
  <c r="AW136" i="29"/>
  <c r="AB134" i="29"/>
  <c r="R108" i="29"/>
  <c r="Y134" i="29"/>
  <c r="Z36" i="29"/>
  <c r="Y37" i="29"/>
  <c r="R36" i="29"/>
  <c r="AA37" i="29"/>
  <c r="Y97" i="29"/>
  <c r="R93" i="29"/>
  <c r="AG131" i="29"/>
  <c r="J152" i="29"/>
  <c r="Y152" i="29"/>
  <c r="AH56" i="29"/>
  <c r="AO57" i="29"/>
  <c r="AI131" i="29"/>
  <c r="L152" i="29"/>
  <c r="AA152" i="29"/>
  <c r="BC131" i="29"/>
  <c r="BE114" i="29"/>
  <c r="Y140" i="29"/>
  <c r="R140" i="29"/>
  <c r="R218" i="29"/>
  <c r="BF138" i="29"/>
  <c r="AY138" i="29"/>
  <c r="T169" i="29"/>
  <c r="BD137" i="29"/>
  <c r="AW137" i="29"/>
  <c r="AI97" i="29"/>
  <c r="AP98" i="29"/>
  <c r="R52" i="29"/>
  <c r="Y56" i="29"/>
  <c r="Y76" i="29"/>
  <c r="U32" i="29"/>
  <c r="U217" i="29"/>
  <c r="AB72" i="29"/>
  <c r="U72" i="29"/>
  <c r="U216" i="29"/>
  <c r="AB140" i="29"/>
  <c r="AB56" i="29"/>
  <c r="U43" i="29"/>
  <c r="AJ36" i="29"/>
  <c r="BF35" i="29"/>
  <c r="AB75" i="29"/>
  <c r="U75" i="29"/>
  <c r="AB143" i="29"/>
  <c r="U143" i="29"/>
  <c r="BF43" i="29"/>
  <c r="BF63" i="29"/>
  <c r="AY63" i="29"/>
  <c r="U149" i="29"/>
  <c r="AB149" i="29"/>
  <c r="AO118" i="29"/>
  <c r="AO144" i="29"/>
  <c r="J181" i="29"/>
  <c r="R131" i="29"/>
  <c r="AJ141" i="29"/>
  <c r="M162" i="29"/>
  <c r="AB162" i="29"/>
  <c r="R158" i="29"/>
  <c r="Y158" i="29"/>
  <c r="BC52" i="29"/>
  <c r="BC69" i="29"/>
  <c r="AV69" i="29"/>
  <c r="Y213" i="29"/>
  <c r="AJ140" i="29"/>
  <c r="M161" i="29"/>
  <c r="J180" i="29"/>
  <c r="Y180" i="29"/>
  <c r="R141" i="29"/>
  <c r="M157" i="29"/>
  <c r="AB157" i="29"/>
  <c r="AJ136" i="29"/>
  <c r="Y118" i="29"/>
  <c r="BF34" i="29"/>
  <c r="AB74" i="29"/>
  <c r="U74" i="29"/>
  <c r="AB142" i="29"/>
  <c r="U142" i="29"/>
  <c r="K152" i="29"/>
  <c r="AH131" i="29"/>
  <c r="AH134" i="29"/>
  <c r="K155" i="29"/>
  <c r="S155" i="29"/>
  <c r="AW46" i="29"/>
  <c r="AB153" i="29"/>
  <c r="BD52" i="29"/>
  <c r="S156" i="29"/>
  <c r="Z156" i="29"/>
  <c r="AY52" i="29"/>
  <c r="U161" i="29"/>
  <c r="AA195" i="29"/>
  <c r="AA197" i="29"/>
  <c r="AX76" i="29"/>
  <c r="AG56" i="29"/>
  <c r="AN57" i="29"/>
  <c r="AX105" i="29"/>
  <c r="BE131" i="29"/>
  <c r="BC32" i="29"/>
  <c r="AB131" i="29"/>
  <c r="E29" i="1"/>
  <c r="D29" i="1"/>
  <c r="E28" i="1"/>
  <c r="S94" i="10" a="1"/>
  <c r="S94" i="10"/>
  <c r="F30" i="6"/>
  <c r="E39" i="6"/>
  <c r="AW32" i="29"/>
  <c r="Z217" i="29"/>
  <c r="BD72" i="29"/>
  <c r="AW72" i="29"/>
  <c r="Z216" i="29"/>
  <c r="AQ57" i="29"/>
  <c r="AQ76" i="29"/>
  <c r="BF140" i="29"/>
  <c r="AY140" i="29"/>
  <c r="AB218" i="29"/>
  <c r="BF72" i="29"/>
  <c r="AY72" i="29"/>
  <c r="BE118" i="29"/>
  <c r="AX118" i="29"/>
  <c r="AB155" i="29"/>
  <c r="Z200" i="29"/>
  <c r="BF131" i="29"/>
  <c r="AY131" i="29"/>
  <c r="AY84" i="29"/>
  <c r="BD36" i="29"/>
  <c r="BD37" i="29"/>
  <c r="S180" i="29"/>
  <c r="L179" i="29"/>
  <c r="U36" i="29"/>
  <c r="Z98" i="29"/>
  <c r="BF36" i="29"/>
  <c r="BF37" i="29"/>
  <c r="AQ37" i="29"/>
  <c r="Y144" i="29"/>
  <c r="R144" i="29"/>
  <c r="K179" i="29"/>
  <c r="AB144" i="29"/>
  <c r="M178" i="29"/>
  <c r="Y77" i="29"/>
  <c r="R76" i="29"/>
  <c r="AA77" i="29"/>
  <c r="Z57" i="29"/>
  <c r="S56" i="29"/>
  <c r="AV108" i="29"/>
  <c r="BC134" i="29"/>
  <c r="AV134" i="29"/>
  <c r="M180" i="29"/>
  <c r="U141" i="29"/>
  <c r="AB216" i="29"/>
  <c r="AQ146" i="29"/>
  <c r="M152" i="29"/>
  <c r="AJ131" i="29"/>
  <c r="K161" i="29"/>
  <c r="AH140" i="29"/>
  <c r="Y57" i="29"/>
  <c r="R56" i="29"/>
  <c r="AA57" i="29"/>
  <c r="AB119" i="29"/>
  <c r="U118" i="29"/>
  <c r="BF73" i="29"/>
  <c r="AY73" i="29"/>
  <c r="BF141" i="29"/>
  <c r="AY141" i="29"/>
  <c r="BF98" i="29"/>
  <c r="AB200" i="29"/>
  <c r="AY97" i="29"/>
  <c r="BF75" i="29"/>
  <c r="AY75" i="29"/>
  <c r="BF143" i="29"/>
  <c r="AY143" i="29"/>
  <c r="Z37" i="29"/>
  <c r="S36" i="29"/>
  <c r="Z76" i="29"/>
  <c r="Z144" i="29"/>
  <c r="BE140" i="29"/>
  <c r="AX140" i="29"/>
  <c r="AA218" i="29"/>
  <c r="AX114" i="29"/>
  <c r="R134" i="29"/>
  <c r="J179" i="29"/>
  <c r="AQ98" i="29"/>
  <c r="AJ97" i="29"/>
  <c r="K180" i="29"/>
  <c r="S141" i="29"/>
  <c r="T118" i="29"/>
  <c r="AA119" i="29"/>
  <c r="AA144" i="29"/>
  <c r="BD74" i="29"/>
  <c r="AW74" i="29"/>
  <c r="BD142" i="29"/>
  <c r="AW142" i="29"/>
  <c r="AN37" i="29"/>
  <c r="AN76" i="29"/>
  <c r="AN144" i="29"/>
  <c r="AP145" i="29"/>
  <c r="AG36" i="29"/>
  <c r="AB98" i="29"/>
  <c r="U97" i="29"/>
  <c r="AB161" i="29"/>
  <c r="AB57" i="29"/>
  <c r="U56" i="29"/>
  <c r="U180" i="29"/>
  <c r="AV131" i="29"/>
  <c r="L155" i="29"/>
  <c r="AA155" i="29"/>
  <c r="T179" i="29"/>
  <c r="AI134" i="29"/>
  <c r="J161" i="29"/>
  <c r="AG140" i="29"/>
  <c r="AB76" i="29"/>
  <c r="BC118" i="29"/>
  <c r="BF119" i="29"/>
  <c r="BD73" i="29"/>
  <c r="AW73" i="29"/>
  <c r="BD141" i="29"/>
  <c r="AW141" i="29"/>
  <c r="BC98" i="29"/>
  <c r="AV97" i="29"/>
  <c r="BE98" i="29"/>
  <c r="T181" i="29"/>
  <c r="AA181" i="29"/>
  <c r="AI118" i="29"/>
  <c r="AP119" i="29"/>
  <c r="M181" i="29"/>
  <c r="U131" i="29"/>
  <c r="BD98" i="29"/>
  <c r="AY43" i="29"/>
  <c r="BF56" i="29"/>
  <c r="U152" i="29"/>
  <c r="Z155" i="29"/>
  <c r="M165" i="29"/>
  <c r="AJ144" i="29"/>
  <c r="AJ76" i="29"/>
  <c r="R181" i="29"/>
  <c r="Y181" i="29"/>
  <c r="Y119" i="29"/>
  <c r="R118" i="29"/>
  <c r="U140" i="29"/>
  <c r="U218" i="29"/>
  <c r="M179" i="29"/>
  <c r="U134" i="29"/>
  <c r="AY118" i="29"/>
  <c r="S161" i="29"/>
  <c r="AW52" i="29"/>
  <c r="BF74" i="29"/>
  <c r="AY74" i="29"/>
  <c r="BF142" i="29"/>
  <c r="AY142" i="29"/>
  <c r="BC56" i="29"/>
  <c r="R161" i="29"/>
  <c r="AV52" i="29"/>
  <c r="L165" i="29"/>
  <c r="AI144" i="29"/>
  <c r="AX108" i="29"/>
  <c r="BE134" i="29"/>
  <c r="AX134" i="29"/>
  <c r="BD75" i="29"/>
  <c r="AW75" i="29"/>
  <c r="BD143" i="29"/>
  <c r="AW143" i="29"/>
  <c r="AX131" i="29"/>
  <c r="K165" i="29"/>
  <c r="AH144" i="29"/>
  <c r="AV32" i="29"/>
  <c r="Y217" i="29"/>
  <c r="BC72" i="29"/>
  <c r="AV72" i="29"/>
  <c r="Y216" i="29"/>
  <c r="BC140" i="29"/>
  <c r="AV140" i="29"/>
  <c r="Y218" i="29"/>
  <c r="AI76" i="29"/>
  <c r="AW43" i="29"/>
  <c r="BD56" i="29"/>
  <c r="S152" i="29"/>
  <c r="Z152" i="29"/>
  <c r="AH76" i="29"/>
  <c r="R97" i="29"/>
  <c r="Y98" i="29"/>
  <c r="AA98" i="29"/>
  <c r="AH118" i="29"/>
  <c r="AO119" i="29"/>
  <c r="Z119" i="29"/>
  <c r="AW131" i="29"/>
  <c r="AO37" i="29"/>
  <c r="G39" i="6"/>
  <c r="G43" i="6" s="1"/>
  <c r="AA179" i="29"/>
  <c r="AQ77" i="29"/>
  <c r="AA200" i="29"/>
  <c r="BE144" i="29"/>
  <c r="AX144" i="29"/>
  <c r="BF76" i="29"/>
  <c r="AY76" i="29"/>
  <c r="AB146" i="29"/>
  <c r="Y145" i="29"/>
  <c r="J178" i="29"/>
  <c r="J185" i="29"/>
  <c r="Y146" i="29"/>
  <c r="AY36" i="29"/>
  <c r="BE146" i="29"/>
  <c r="BD144" i="29"/>
  <c r="AW144" i="29"/>
  <c r="AW36" i="29"/>
  <c r="AB145" i="29"/>
  <c r="Z180" i="29"/>
  <c r="AB152" i="29"/>
  <c r="U181" i="29"/>
  <c r="AB181" i="29"/>
  <c r="Y200" i="29"/>
  <c r="Y201" i="29"/>
  <c r="BE119" i="29"/>
  <c r="BC144" i="29"/>
  <c r="BC145" i="29"/>
  <c r="BF144" i="29"/>
  <c r="U144" i="29"/>
  <c r="BF146" i="29"/>
  <c r="Z77" i="29"/>
  <c r="S76" i="29"/>
  <c r="AQ145" i="29"/>
  <c r="AA145" i="29"/>
  <c r="L178" i="29"/>
  <c r="T144" i="29"/>
  <c r="AA146" i="29"/>
  <c r="AV56" i="29"/>
  <c r="BC76" i="29"/>
  <c r="BC57" i="29"/>
  <c r="R165" i="29"/>
  <c r="BE57" i="29"/>
  <c r="AN77" i="29"/>
  <c r="AG76" i="29"/>
  <c r="BC146" i="29"/>
  <c r="S181" i="29"/>
  <c r="Z181" i="29"/>
  <c r="BD57" i="29"/>
  <c r="AW56" i="29"/>
  <c r="S165" i="29"/>
  <c r="Z165" i="29"/>
  <c r="AP77" i="29"/>
  <c r="AO145" i="29"/>
  <c r="BD76" i="29"/>
  <c r="BF57" i="29"/>
  <c r="AY56" i="29"/>
  <c r="U165" i="29"/>
  <c r="Y161" i="29"/>
  <c r="U76" i="29"/>
  <c r="AB77" i="29"/>
  <c r="Z145" i="29"/>
  <c r="K178" i="29"/>
  <c r="S144" i="29"/>
  <c r="Z146" i="29"/>
  <c r="AO77" i="29"/>
  <c r="M185" i="29"/>
  <c r="U179" i="29"/>
  <c r="AB179" i="29"/>
  <c r="J165" i="29"/>
  <c r="AN145" i="29"/>
  <c r="AG144" i="29"/>
  <c r="AA165" i="29"/>
  <c r="T178" i="29"/>
  <c r="T185" i="29"/>
  <c r="BD146" i="29"/>
  <c r="BC119" i="29"/>
  <c r="AV118" i="29"/>
  <c r="BD119" i="29"/>
  <c r="Z161" i="29"/>
  <c r="S179" i="29"/>
  <c r="Z179" i="29"/>
  <c r="AB180" i="29"/>
  <c r="E134" i="10"/>
  <c r="T24" i="10" a="1"/>
  <c r="T24" i="10"/>
  <c r="S31" i="10" a="1"/>
  <c r="S31" i="10"/>
  <c r="S21" i="10" a="1"/>
  <c r="S21" i="10"/>
  <c r="K34" i="10"/>
  <c r="P111" i="10" a="1"/>
  <c r="P111" i="10"/>
  <c r="F111" i="10" a="1"/>
  <c r="F111" i="10"/>
  <c r="F109" i="10" a="1"/>
  <c r="F109" i="10"/>
  <c r="G124" i="10" a="1"/>
  <c r="G124" i="10"/>
  <c r="Q67" i="10" a="1"/>
  <c r="Q67" i="10"/>
  <c r="O67" i="10" a="1"/>
  <c r="O67" i="10"/>
  <c r="M67" i="10" a="1"/>
  <c r="M67" i="10"/>
  <c r="K67" i="10" a="1"/>
  <c r="K67" i="10"/>
  <c r="K25" i="10"/>
  <c r="S25" i="10" a="1"/>
  <c r="S25" i="10"/>
  <c r="H19" i="16"/>
  <c r="K19" i="16"/>
  <c r="D19" i="16"/>
  <c r="D34" i="16"/>
  <c r="C108" i="19"/>
  <c r="C137" i="15"/>
  <c r="BF77" i="29"/>
  <c r="AB195" i="29"/>
  <c r="AB197" i="29"/>
  <c r="Z167" i="29"/>
  <c r="BE145" i="29"/>
  <c r="BD145" i="29"/>
  <c r="AV144" i="29"/>
  <c r="BF145" i="29"/>
  <c r="Z201" i="29"/>
  <c r="AB201" i="29"/>
  <c r="AA201" i="29"/>
  <c r="AY144" i="29"/>
  <c r="K166" i="29"/>
  <c r="Y165" i="29"/>
  <c r="AA166" i="29"/>
  <c r="J166" i="29"/>
  <c r="Z166" i="29"/>
  <c r="Z169" i="29"/>
  <c r="Z173" i="29"/>
  <c r="M186" i="29"/>
  <c r="M187" i="29"/>
  <c r="M188" i="29"/>
  <c r="U178" i="29"/>
  <c r="U166" i="29"/>
  <c r="U169" i="29"/>
  <c r="S178" i="29"/>
  <c r="S185" i="29"/>
  <c r="S166" i="29"/>
  <c r="S169" i="29"/>
  <c r="L185" i="29"/>
  <c r="AA178" i="29"/>
  <c r="AA185" i="29"/>
  <c r="J186" i="29"/>
  <c r="J187" i="29"/>
  <c r="J188" i="29"/>
  <c r="BC77" i="29"/>
  <c r="Y195" i="29"/>
  <c r="Y197" i="29"/>
  <c r="AV76" i="29"/>
  <c r="BE77" i="29"/>
  <c r="BD77" i="29"/>
  <c r="Z195" i="29"/>
  <c r="Z197" i="29"/>
  <c r="AW76" i="29"/>
  <c r="AB165" i="29"/>
  <c r="R166" i="29"/>
  <c r="R169" i="29"/>
  <c r="R178" i="29"/>
  <c r="T166" i="29"/>
  <c r="R179" i="29"/>
  <c r="Y179" i="29"/>
  <c r="M166" i="29"/>
  <c r="AA173" i="29"/>
  <c r="AA169" i="29"/>
  <c r="AA167" i="29"/>
  <c r="L166" i="29"/>
  <c r="K185" i="29"/>
  <c r="L19" i="16"/>
  <c r="O19" i="16"/>
  <c r="D28" i="17"/>
  <c r="C28" i="17"/>
  <c r="C26" i="17"/>
  <c r="C31" i="17"/>
  <c r="C25" i="17"/>
  <c r="S170" i="29"/>
  <c r="Z178" i="29"/>
  <c r="Z185" i="29"/>
  <c r="R170" i="29"/>
  <c r="T170" i="29"/>
  <c r="Y199" i="29"/>
  <c r="Y198" i="29"/>
  <c r="AA199" i="29"/>
  <c r="AA198" i="29"/>
  <c r="U170" i="29"/>
  <c r="AB169" i="29"/>
  <c r="AB173" i="29"/>
  <c r="AB166" i="29"/>
  <c r="AB167" i="29"/>
  <c r="R185" i="29"/>
  <c r="S187" i="29"/>
  <c r="Y178" i="29"/>
  <c r="Y185" i="29"/>
  <c r="AA174" i="29"/>
  <c r="Z174" i="29"/>
  <c r="L186" i="29"/>
  <c r="L187" i="29"/>
  <c r="L188" i="29"/>
  <c r="K186" i="29"/>
  <c r="K187" i="29"/>
  <c r="K188" i="29"/>
  <c r="U185" i="29"/>
  <c r="AB178" i="29"/>
  <c r="AB185" i="29"/>
  <c r="Z199" i="29"/>
  <c r="Z198" i="29"/>
  <c r="Y166" i="29"/>
  <c r="Y173" i="29"/>
  <c r="Y169" i="29"/>
  <c r="AB199" i="29"/>
  <c r="AB198" i="29"/>
  <c r="Y167" i="29"/>
  <c r="D93" i="28"/>
  <c r="S186" i="29"/>
  <c r="AA187" i="29"/>
  <c r="Z170" i="29"/>
  <c r="AA170" i="29"/>
  <c r="AA186" i="29"/>
  <c r="AB170" i="29"/>
  <c r="AB174" i="29"/>
  <c r="Y186" i="29"/>
  <c r="Y187" i="29"/>
  <c r="Z187" i="29"/>
  <c r="AB186" i="29"/>
  <c r="AB187" i="29"/>
  <c r="Y170" i="29"/>
  <c r="Y174" i="29"/>
  <c r="Y175" i="29"/>
  <c r="R186" i="29"/>
  <c r="R187" i="29"/>
  <c r="T186" i="29"/>
  <c r="T187" i="29"/>
  <c r="Z186" i="29"/>
  <c r="U186" i="29"/>
  <c r="U187" i="29"/>
  <c r="F164" i="10"/>
  <c r="D164" i="10"/>
  <c r="E164" i="10"/>
  <c r="C164" i="10"/>
  <c r="X148" i="10"/>
  <c r="F158" i="10"/>
  <c r="E150" i="10"/>
  <c r="F150" i="10"/>
  <c r="F154" i="10"/>
  <c r="D149" i="10"/>
  <c r="C149" i="10"/>
  <c r="C150" i="10"/>
  <c r="AA175" i="29"/>
  <c r="Z175" i="29"/>
  <c r="AB175" i="29"/>
  <c r="F155" i="10"/>
  <c r="E15" i="6" s="1"/>
  <c r="C165" i="10"/>
  <c r="D165" i="10"/>
  <c r="F165" i="10"/>
  <c r="E165" i="10"/>
  <c r="D150" i="10"/>
  <c r="E155" i="10"/>
  <c r="E28" i="6" s="1"/>
  <c r="F51" i="14"/>
  <c r="B144" i="14"/>
  <c r="G38" i="1"/>
  <c r="G40" i="1" s="1"/>
  <c r="W157" i="10"/>
  <c r="X157" i="10"/>
  <c r="Y157" i="10"/>
  <c r="V156" i="10"/>
  <c r="V157" i="10"/>
  <c r="J52" i="13"/>
  <c r="G52" i="13"/>
  <c r="F52" i="13"/>
  <c r="J35" i="13"/>
  <c r="G35" i="13"/>
  <c r="F35" i="13"/>
  <c r="J49" i="13"/>
  <c r="G49" i="13"/>
  <c r="F49" i="13"/>
  <c r="J32" i="13"/>
  <c r="G32" i="13"/>
  <c r="F32" i="13"/>
  <c r="F36" i="13" s="1"/>
  <c r="C30" i="13"/>
  <c r="C47" i="13" s="1"/>
  <c r="J16" i="13"/>
  <c r="I38" i="1" s="1"/>
  <c r="I40" i="1" s="1"/>
  <c r="F16" i="13"/>
  <c r="E38" i="1" s="1"/>
  <c r="G16" i="13"/>
  <c r="F38" i="1" s="1"/>
  <c r="C118" i="14"/>
  <c r="C119" i="14"/>
  <c r="D119" i="14"/>
  <c r="E118" i="14"/>
  <c r="E119" i="14"/>
  <c r="E48" i="13"/>
  <c r="C143" i="14" s="1"/>
  <c r="F118" i="14"/>
  <c r="F119" i="14"/>
  <c r="E31" i="13" s="1"/>
  <c r="E124" i="14"/>
  <c r="G118" i="14"/>
  <c r="G119" i="14"/>
  <c r="E15" i="13" s="1"/>
  <c r="E110" i="14"/>
  <c r="F110" i="14"/>
  <c r="G110" i="14"/>
  <c r="C110" i="14"/>
  <c r="E109" i="14"/>
  <c r="F109" i="14"/>
  <c r="G109" i="14"/>
  <c r="C109" i="14"/>
  <c r="F80" i="14"/>
  <c r="E26" i="13" s="1"/>
  <c r="C80" i="14"/>
  <c r="E80" i="14"/>
  <c r="E83" i="14" s="1"/>
  <c r="E43" i="13" s="1"/>
  <c r="G24" i="14"/>
  <c r="F27" i="14"/>
  <c r="C35" i="28"/>
  <c r="H36" i="25"/>
  <c r="G36" i="25"/>
  <c r="F36" i="25"/>
  <c r="E36" i="25"/>
  <c r="H25" i="25"/>
  <c r="G25" i="25"/>
  <c r="F25" i="25"/>
  <c r="E25" i="25"/>
  <c r="H14" i="25"/>
  <c r="G14" i="25"/>
  <c r="F14" i="25"/>
  <c r="E14" i="25"/>
  <c r="H35" i="25"/>
  <c r="H34" i="25"/>
  <c r="H33" i="25"/>
  <c r="H32" i="25"/>
  <c r="H24" i="25"/>
  <c r="H23" i="25"/>
  <c r="H22" i="25"/>
  <c r="H21" i="25"/>
  <c r="K34" i="25"/>
  <c r="H11" i="25"/>
  <c r="H12" i="25"/>
  <c r="H13" i="25"/>
  <c r="H10" i="25"/>
  <c r="G8" i="20"/>
  <c r="G10" i="20"/>
  <c r="G9" i="20"/>
  <c r="F119" i="15"/>
  <c r="D121" i="15"/>
  <c r="D124" i="15"/>
  <c r="E89" i="15"/>
  <c r="C126" i="15"/>
  <c r="D117" i="15"/>
  <c r="C110" i="15"/>
  <c r="E80" i="15"/>
  <c r="F65" i="15"/>
  <c r="D155" i="10"/>
  <c r="E41" i="6" s="1"/>
  <c r="E53" i="6"/>
  <c r="H53" i="6" s="1"/>
  <c r="J53" i="6" s="1"/>
  <c r="C111" i="14"/>
  <c r="C112" i="14" s="1"/>
  <c r="G111" i="14"/>
  <c r="G112" i="14" s="1"/>
  <c r="E14" i="13" s="1"/>
  <c r="F111" i="14"/>
  <c r="F112" i="14"/>
  <c r="E30" i="13"/>
  <c r="D142" i="14" s="1"/>
  <c r="E111" i="14"/>
  <c r="E112" i="14" s="1"/>
  <c r="E47" i="13" s="1"/>
  <c r="D123" i="15"/>
  <c r="D80" i="15"/>
  <c r="E90" i="15"/>
  <c r="D90" i="15"/>
  <c r="D122" i="15"/>
  <c r="D120" i="15"/>
  <c r="D119" i="15"/>
  <c r="D118" i="15"/>
  <c r="I30" i="13"/>
  <c r="K30" i="13" s="1"/>
  <c r="J24" i="5"/>
  <c r="J16" i="5"/>
  <c r="J8" i="5"/>
  <c r="B67" i="21"/>
  <c r="G36" i="1"/>
  <c r="G32" i="1"/>
  <c r="G26" i="1"/>
  <c r="G13" i="1"/>
  <c r="G10" i="1"/>
  <c r="C31" i="22"/>
  <c r="D8" i="28"/>
  <c r="D13" i="28"/>
  <c r="D17" i="28"/>
  <c r="D19" i="28"/>
  <c r="C34" i="28"/>
  <c r="D18" i="28"/>
  <c r="D9" i="28"/>
  <c r="F9" i="28"/>
  <c r="D10" i="28"/>
  <c r="F10" i="28"/>
  <c r="D11" i="28"/>
  <c r="F11" i="28"/>
  <c r="D12" i="28"/>
  <c r="F12" i="28"/>
  <c r="F13" i="28"/>
  <c r="F8" i="28"/>
  <c r="C17" i="22"/>
  <c r="E22" i="21"/>
  <c r="E17" i="22"/>
  <c r="D28" i="16"/>
  <c r="G28" i="16"/>
  <c r="D17" i="22"/>
  <c r="E23" i="21"/>
  <c r="I23" i="21"/>
  <c r="E21" i="21"/>
  <c r="E16" i="22"/>
  <c r="E67" i="21"/>
  <c r="E65" i="21"/>
  <c r="D90" i="19"/>
  <c r="D16" i="22"/>
  <c r="E45" i="21"/>
  <c r="I45" i="21"/>
  <c r="E43" i="21"/>
  <c r="G43" i="21"/>
  <c r="E31" i="1"/>
  <c r="F31" i="1"/>
  <c r="I31" i="1"/>
  <c r="E30" i="1"/>
  <c r="F30" i="1"/>
  <c r="I30" i="1"/>
  <c r="I29" i="1"/>
  <c r="F27" i="1"/>
  <c r="I27" i="1"/>
  <c r="D27" i="1"/>
  <c r="L48" i="10"/>
  <c r="M48" i="10"/>
  <c r="N48" i="10"/>
  <c r="K48" i="10"/>
  <c r="K47" i="10"/>
  <c r="T139" i="10"/>
  <c r="N47" i="10"/>
  <c r="E139" i="10"/>
  <c r="E92" i="10"/>
  <c r="B63" i="10"/>
  <c r="N12" i="10"/>
  <c r="N13" i="10"/>
  <c r="F86" i="10"/>
  <c r="E87" i="10"/>
  <c r="F16" i="10"/>
  <c r="N46" i="10"/>
  <c r="N45" i="10"/>
  <c r="V45" i="10"/>
  <c r="N21" i="10"/>
  <c r="E107" i="10" a="1"/>
  <c r="E107" i="10"/>
  <c r="N23" i="10"/>
  <c r="V23" i="10" a="1"/>
  <c r="V23" i="10"/>
  <c r="F26" i="10"/>
  <c r="N31" i="10"/>
  <c r="E120" i="10" a="1"/>
  <c r="E120" i="10"/>
  <c r="N33" i="10"/>
  <c r="E122" i="10" a="1"/>
  <c r="E122" i="10"/>
  <c r="F87" i="10"/>
  <c r="F36" i="10"/>
  <c r="N42" i="10"/>
  <c r="F175" i="10"/>
  <c r="F174" i="10"/>
  <c r="E55" i="15"/>
  <c r="C175" i="10"/>
  <c r="C174" i="10"/>
  <c r="K11" i="10"/>
  <c r="K13" i="10"/>
  <c r="S96" i="10" a="1"/>
  <c r="S96" i="10"/>
  <c r="AG86" i="10"/>
  <c r="AG87" i="10"/>
  <c r="C16" i="10"/>
  <c r="K46" i="10"/>
  <c r="K45" i="10"/>
  <c r="K21" i="10"/>
  <c r="S107" i="10" a="1"/>
  <c r="S107" i="10"/>
  <c r="K23" i="10"/>
  <c r="S109" i="10" a="1"/>
  <c r="S109" i="10"/>
  <c r="C26" i="10"/>
  <c r="K31" i="10"/>
  <c r="K33" i="10"/>
  <c r="S122" i="10" a="1"/>
  <c r="S122" i="10"/>
  <c r="C36" i="10"/>
  <c r="M47" i="10"/>
  <c r="I139" i="10"/>
  <c r="D175" i="10"/>
  <c r="D174" i="10"/>
  <c r="M46" i="10"/>
  <c r="M45" i="10"/>
  <c r="U45" i="10"/>
  <c r="M21" i="10"/>
  <c r="M23" i="10"/>
  <c r="I109" i="10" a="1"/>
  <c r="I109" i="10"/>
  <c r="I86" i="10"/>
  <c r="I87" i="10"/>
  <c r="E26" i="10"/>
  <c r="M31" i="10"/>
  <c r="I120" i="10" a="1"/>
  <c r="I120" i="10"/>
  <c r="M33" i="10"/>
  <c r="U33" i="10" a="1"/>
  <c r="U33" i="10"/>
  <c r="E36" i="10"/>
  <c r="M42" i="10"/>
  <c r="H137" i="10"/>
  <c r="M11" i="10"/>
  <c r="I92" i="10"/>
  <c r="M13" i="10"/>
  <c r="U13" i="10" a="1"/>
  <c r="U13" i="10"/>
  <c r="E16" i="10"/>
  <c r="L47" i="10"/>
  <c r="T47" i="10"/>
  <c r="L11" i="10"/>
  <c r="M92" i="10"/>
  <c r="L13" i="10"/>
  <c r="T13" i="10" a="1"/>
  <c r="T13" i="10"/>
  <c r="M86" i="10"/>
  <c r="M87" i="10"/>
  <c r="D16" i="10"/>
  <c r="L46" i="10"/>
  <c r="T46" i="10"/>
  <c r="L45" i="10"/>
  <c r="L21" i="10"/>
  <c r="N107" i="10" a="1"/>
  <c r="N107" i="10"/>
  <c r="L23" i="10"/>
  <c r="M109" i="10" a="1"/>
  <c r="M109" i="10"/>
  <c r="D26" i="10"/>
  <c r="L31" i="10"/>
  <c r="N120" i="10" a="1"/>
  <c r="N120" i="10"/>
  <c r="L33" i="10"/>
  <c r="M122" i="10" a="1"/>
  <c r="M122" i="10"/>
  <c r="D36" i="10"/>
  <c r="L42" i="10"/>
  <c r="R137" i="10"/>
  <c r="C19" i="24"/>
  <c r="D19" i="24"/>
  <c r="L10" i="20"/>
  <c r="D20" i="24"/>
  <c r="E22" i="26"/>
  <c r="I21" i="25"/>
  <c r="K21" i="25"/>
  <c r="E24" i="26"/>
  <c r="I23" i="25"/>
  <c r="K23" i="25"/>
  <c r="C20" i="24"/>
  <c r="I32" i="25"/>
  <c r="K32" i="25"/>
  <c r="E89" i="19"/>
  <c r="E90" i="19"/>
  <c r="E41" i="19"/>
  <c r="E42" i="19"/>
  <c r="E79" i="19"/>
  <c r="E80" i="19"/>
  <c r="G11" i="18"/>
  <c r="D16" i="1" s="1"/>
  <c r="E13" i="18"/>
  <c r="H13" i="18"/>
  <c r="E18" i="1" s="1"/>
  <c r="I10" i="25"/>
  <c r="K10" i="25"/>
  <c r="F23" i="26"/>
  <c r="I11" i="25"/>
  <c r="K11" i="25"/>
  <c r="F24" i="26"/>
  <c r="I12" i="25"/>
  <c r="K12" i="25"/>
  <c r="F25" i="26"/>
  <c r="I13" i="25"/>
  <c r="K13" i="25"/>
  <c r="D25" i="19"/>
  <c r="D41" i="19"/>
  <c r="D42" i="19"/>
  <c r="D89" i="19"/>
  <c r="D79" i="19"/>
  <c r="D80" i="19"/>
  <c r="E26" i="18"/>
  <c r="I26" i="18" s="1"/>
  <c r="C25" i="19"/>
  <c r="C89" i="19"/>
  <c r="C90" i="19"/>
  <c r="C41" i="19"/>
  <c r="C42" i="19"/>
  <c r="C79" i="19"/>
  <c r="C80" i="19"/>
  <c r="E39" i="18"/>
  <c r="G39" i="18" s="1"/>
  <c r="I21" i="21"/>
  <c r="H40" i="14"/>
  <c r="G55" i="14" s="1"/>
  <c r="G41" i="14"/>
  <c r="H41" i="14"/>
  <c r="G42" i="14"/>
  <c r="H42" i="14" s="1"/>
  <c r="H43" i="14"/>
  <c r="E58" i="14"/>
  <c r="G45" i="14"/>
  <c r="H45" i="14" s="1"/>
  <c r="H46" i="14"/>
  <c r="D61" i="14"/>
  <c r="G47" i="14"/>
  <c r="H47" i="14" s="1"/>
  <c r="F48" i="14"/>
  <c r="G48" i="14"/>
  <c r="H49" i="14"/>
  <c r="E64" i="14" s="1"/>
  <c r="F50" i="14"/>
  <c r="G50" i="14"/>
  <c r="G51" i="14"/>
  <c r="H51" i="14" s="1"/>
  <c r="G67" i="14"/>
  <c r="G68" i="14"/>
  <c r="G69" i="14"/>
  <c r="G124" i="14"/>
  <c r="G125" i="14"/>
  <c r="G126" i="14"/>
  <c r="E17" i="13" s="1"/>
  <c r="G132" i="14"/>
  <c r="G133" i="14"/>
  <c r="G134" i="14"/>
  <c r="E18" i="13"/>
  <c r="I18" i="13" s="1"/>
  <c r="K18" i="13" s="1"/>
  <c r="F9" i="17"/>
  <c r="C26" i="28" s="1"/>
  <c r="F15" i="17"/>
  <c r="E87" i="19"/>
  <c r="E88" i="19"/>
  <c r="E99" i="15"/>
  <c r="E100" i="15"/>
  <c r="E101" i="15"/>
  <c r="G101" i="15" s="1"/>
  <c r="E103" i="15"/>
  <c r="F103" i="15" s="1"/>
  <c r="E7" i="1"/>
  <c r="F7" i="1"/>
  <c r="K62" i="21"/>
  <c r="K64" i="21"/>
  <c r="H64" i="21"/>
  <c r="K40" i="21"/>
  <c r="I60" i="21"/>
  <c r="I62" i="21"/>
  <c r="H60" i="21"/>
  <c r="H62" i="21"/>
  <c r="G64" i="21"/>
  <c r="I38" i="21"/>
  <c r="I40" i="21"/>
  <c r="H38" i="21"/>
  <c r="H40" i="21"/>
  <c r="G42" i="21"/>
  <c r="K18" i="21"/>
  <c r="L10" i="21"/>
  <c r="D27" i="16"/>
  <c r="G27" i="16"/>
  <c r="K7" i="16"/>
  <c r="G119" i="15"/>
  <c r="J10" i="21"/>
  <c r="D7" i="16"/>
  <c r="H18" i="21"/>
  <c r="I18" i="21"/>
  <c r="H16" i="21"/>
  <c r="E6" i="1"/>
  <c r="I16" i="21"/>
  <c r="F6" i="1"/>
  <c r="G20" i="21"/>
  <c r="J14" i="21"/>
  <c r="J12" i="21"/>
  <c r="J11" i="21"/>
  <c r="G34" i="16"/>
  <c r="O34" i="16" s="1"/>
  <c r="E15" i="17"/>
  <c r="F93" i="14" s="1"/>
  <c r="F94" i="14" s="1"/>
  <c r="E28" i="13" s="1"/>
  <c r="I28" i="13" s="1"/>
  <c r="K28" i="13" s="1"/>
  <c r="E9" i="17"/>
  <c r="F66" i="15"/>
  <c r="E88" i="15"/>
  <c r="D88" i="15"/>
  <c r="F63" i="15"/>
  <c r="F10" i="20"/>
  <c r="E65" i="15"/>
  <c r="D8" i="20"/>
  <c r="D9" i="20"/>
  <c r="D10" i="20"/>
  <c r="F14" i="1"/>
  <c r="D14" i="1"/>
  <c r="E12" i="19"/>
  <c r="I76" i="28"/>
  <c r="J71" i="28"/>
  <c r="I81" i="28"/>
  <c r="J70" i="28"/>
  <c r="I80" i="28"/>
  <c r="I71" i="28"/>
  <c r="I70" i="28"/>
  <c r="K21" i="16"/>
  <c r="D67" i="19"/>
  <c r="C67" i="19"/>
  <c r="L20" i="16"/>
  <c r="O20" i="16"/>
  <c r="E67" i="28" s="1"/>
  <c r="F38" i="15"/>
  <c r="F39" i="15" s="1"/>
  <c r="E9" i="4" s="1"/>
  <c r="I49" i="15"/>
  <c r="F64" i="15"/>
  <c r="E91" i="15"/>
  <c r="L18" i="16"/>
  <c r="J26" i="5"/>
  <c r="J25" i="5"/>
  <c r="J18" i="5"/>
  <c r="J17" i="5"/>
  <c r="J9" i="5"/>
  <c r="J9" i="17"/>
  <c r="K9" i="17"/>
  <c r="I9" i="17"/>
  <c r="D9" i="17"/>
  <c r="D50" i="22" s="1"/>
  <c r="G68" i="21" s="1"/>
  <c r="J68" i="21" s="1"/>
  <c r="C9" i="17"/>
  <c r="E38" i="22"/>
  <c r="E39" i="22"/>
  <c r="E42" i="22"/>
  <c r="C38" i="22"/>
  <c r="C39" i="22"/>
  <c r="C42" i="22"/>
  <c r="D9" i="1"/>
  <c r="D38" i="22"/>
  <c r="D39" i="22"/>
  <c r="D42" i="22"/>
  <c r="F102" i="15"/>
  <c r="E106" i="15"/>
  <c r="F106" i="15" s="1"/>
  <c r="D89" i="15"/>
  <c r="D91" i="15"/>
  <c r="E12" i="4"/>
  <c r="I12" i="4" s="1"/>
  <c r="E19" i="1"/>
  <c r="F19" i="1"/>
  <c r="I19" i="1"/>
  <c r="D19" i="1"/>
  <c r="D16" i="26"/>
  <c r="E16" i="26"/>
  <c r="F16" i="26"/>
  <c r="D17" i="26"/>
  <c r="E17" i="26"/>
  <c r="F17" i="26"/>
  <c r="D18" i="26"/>
  <c r="E18" i="26"/>
  <c r="F18" i="26"/>
  <c r="E15" i="26"/>
  <c r="F15" i="26"/>
  <c r="D15" i="26"/>
  <c r="F19" i="13"/>
  <c r="G19" i="13"/>
  <c r="J19" i="13"/>
  <c r="I39" i="1" s="1"/>
  <c r="E125" i="14"/>
  <c r="E126" i="14"/>
  <c r="E50" i="13"/>
  <c r="E132" i="14"/>
  <c r="F124" i="14"/>
  <c r="F125" i="14" s="1"/>
  <c r="F126" i="14" s="1"/>
  <c r="E33" i="13" s="1"/>
  <c r="F132" i="14"/>
  <c r="F133" i="14"/>
  <c r="F134" i="14"/>
  <c r="E34" i="13" s="1"/>
  <c r="I34" i="13" s="1"/>
  <c r="K34" i="13" s="1"/>
  <c r="AG124" i="10"/>
  <c r="D15" i="17"/>
  <c r="E93" i="14"/>
  <c r="E94" i="14"/>
  <c r="E45" i="13" s="1"/>
  <c r="I45" i="13" s="1"/>
  <c r="K45" i="13" s="1"/>
  <c r="E25" i="19"/>
  <c r="C71" i="19"/>
  <c r="M21" i="16"/>
  <c r="N21" i="16"/>
  <c r="L21" i="16"/>
  <c r="D23" i="18"/>
  <c r="D30" i="24"/>
  <c r="F24" i="1"/>
  <c r="I24" i="1"/>
  <c r="D24" i="1"/>
  <c r="I42" i="23"/>
  <c r="K42" i="23"/>
  <c r="I29" i="23"/>
  <c r="K29" i="23"/>
  <c r="I16" i="23"/>
  <c r="K16" i="23"/>
  <c r="C15" i="23"/>
  <c r="D28" i="23"/>
  <c r="D41" i="23"/>
  <c r="C41" i="23"/>
  <c r="E28" i="23"/>
  <c r="E23" i="23" s="1"/>
  <c r="E36" i="23" s="1"/>
  <c r="E10" i="23"/>
  <c r="G43" i="19"/>
  <c r="G40" i="19"/>
  <c r="G44" i="19"/>
  <c r="J46" i="13"/>
  <c r="J53" i="13"/>
  <c r="G46" i="13"/>
  <c r="G53" i="13" s="1"/>
  <c r="F46" i="13"/>
  <c r="F53" i="13" s="1"/>
  <c r="J29" i="13"/>
  <c r="J36" i="13"/>
  <c r="G29" i="13"/>
  <c r="G36" i="13"/>
  <c r="F29" i="13"/>
  <c r="F13" i="13"/>
  <c r="E37" i="1" s="1"/>
  <c r="G13" i="13"/>
  <c r="F37" i="1"/>
  <c r="J13" i="13"/>
  <c r="I37" i="1"/>
  <c r="C10" i="13"/>
  <c r="B141" i="14" s="1"/>
  <c r="H55" i="27"/>
  <c r="G55" i="27"/>
  <c r="F55" i="27"/>
  <c r="E55" i="27"/>
  <c r="E56" i="27"/>
  <c r="H37" i="27"/>
  <c r="G37" i="27"/>
  <c r="F37" i="27"/>
  <c r="E37" i="27"/>
  <c r="H51" i="27"/>
  <c r="G51" i="27"/>
  <c r="F51" i="27"/>
  <c r="E51" i="27"/>
  <c r="H33" i="27"/>
  <c r="G33" i="27"/>
  <c r="G38" i="27"/>
  <c r="F33" i="27"/>
  <c r="E33" i="27"/>
  <c r="E19" i="27"/>
  <c r="D35" i="1"/>
  <c r="D36" i="1" s="1"/>
  <c r="F19" i="27"/>
  <c r="G19" i="27"/>
  <c r="F35" i="1"/>
  <c r="H19" i="27"/>
  <c r="H35" i="1"/>
  <c r="L35" i="1" s="1"/>
  <c r="F15" i="27"/>
  <c r="E34" i="1"/>
  <c r="G15" i="27"/>
  <c r="F34" i="1"/>
  <c r="F36" i="1" s="1"/>
  <c r="H15" i="27"/>
  <c r="H34" i="1"/>
  <c r="L34" i="1" s="1"/>
  <c r="E15" i="27"/>
  <c r="D34" i="1"/>
  <c r="G48" i="27"/>
  <c r="G56" i="27"/>
  <c r="F48" i="27"/>
  <c r="F56" i="27"/>
  <c r="E48" i="27"/>
  <c r="G30" i="27"/>
  <c r="F30" i="27"/>
  <c r="E30" i="27"/>
  <c r="E38" i="27"/>
  <c r="F12" i="27"/>
  <c r="F20" i="27"/>
  <c r="G12" i="27"/>
  <c r="F33" i="1"/>
  <c r="E12" i="27"/>
  <c r="E35" i="1"/>
  <c r="D33" i="1"/>
  <c r="E21" i="1"/>
  <c r="E22" i="1" s="1"/>
  <c r="F21" i="1"/>
  <c r="F22" i="1"/>
  <c r="I21" i="1"/>
  <c r="I22" i="1" s="1"/>
  <c r="D21" i="1"/>
  <c r="D22" i="1" s="1"/>
  <c r="K37" i="23"/>
  <c r="G37" i="23"/>
  <c r="K11" i="23"/>
  <c r="I23" i="1"/>
  <c r="G11" i="23"/>
  <c r="D23" i="1"/>
  <c r="K24" i="23"/>
  <c r="G24" i="23"/>
  <c r="E16" i="1"/>
  <c r="F16" i="1"/>
  <c r="I16" i="1"/>
  <c r="E12" i="1"/>
  <c r="F12" i="1"/>
  <c r="H12" i="1"/>
  <c r="L12" i="1" s="1"/>
  <c r="D12" i="1"/>
  <c r="M12" i="4"/>
  <c r="G20" i="27"/>
  <c r="W51" i="14"/>
  <c r="D67" i="14"/>
  <c r="E67" i="14"/>
  <c r="F67" i="14"/>
  <c r="D68" i="14"/>
  <c r="E68" i="14"/>
  <c r="F68" i="14"/>
  <c r="D69" i="14"/>
  <c r="E69" i="14"/>
  <c r="F69" i="14"/>
  <c r="C67" i="14"/>
  <c r="C68" i="14"/>
  <c r="C69" i="14"/>
  <c r="D55" i="14"/>
  <c r="H44" i="27"/>
  <c r="H48" i="27"/>
  <c r="H56" i="27"/>
  <c r="H26" i="27"/>
  <c r="H30" i="27"/>
  <c r="D49" i="27"/>
  <c r="D31" i="27"/>
  <c r="D18" i="27"/>
  <c r="D54" i="27"/>
  <c r="D17" i="27"/>
  <c r="D53" i="27"/>
  <c r="D16" i="27"/>
  <c r="D52" i="27"/>
  <c r="D14" i="27"/>
  <c r="D32" i="27"/>
  <c r="D9" i="27"/>
  <c r="D45" i="27"/>
  <c r="D10" i="27"/>
  <c r="D46" i="27"/>
  <c r="D11" i="27"/>
  <c r="D47" i="27"/>
  <c r="D8" i="27"/>
  <c r="D26" i="27"/>
  <c r="H8" i="27"/>
  <c r="H12" i="27"/>
  <c r="H33" i="1"/>
  <c r="H36" i="1" s="1"/>
  <c r="L36" i="1" s="1"/>
  <c r="B66" i="28"/>
  <c r="B67" i="28"/>
  <c r="B68" i="28"/>
  <c r="B69" i="28"/>
  <c r="B65" i="28"/>
  <c r="D29" i="27"/>
  <c r="D24" i="26"/>
  <c r="I34" i="25"/>
  <c r="E23" i="26"/>
  <c r="I22" i="25"/>
  <c r="K22" i="25"/>
  <c r="D23" i="26"/>
  <c r="I33" i="25"/>
  <c r="K33" i="25"/>
  <c r="C16" i="26"/>
  <c r="C23" i="26"/>
  <c r="C17" i="26"/>
  <c r="C24" i="26"/>
  <c r="C18" i="26"/>
  <c r="C25" i="26"/>
  <c r="C15" i="26"/>
  <c r="C22" i="26"/>
  <c r="D25" i="26"/>
  <c r="I35" i="25"/>
  <c r="K35" i="25"/>
  <c r="D23" i="6"/>
  <c r="D41" i="6"/>
  <c r="D54" i="6" s="1"/>
  <c r="D40" i="6"/>
  <c r="D53" i="6" s="1"/>
  <c r="C40" i="6"/>
  <c r="C53" i="6" s="1"/>
  <c r="E175" i="10"/>
  <c r="E174" i="10"/>
  <c r="E36" i="16"/>
  <c r="F35" i="16"/>
  <c r="N35" i="16"/>
  <c r="E35" i="16"/>
  <c r="H12" i="23"/>
  <c r="E26" i="23"/>
  <c r="E25" i="23"/>
  <c r="G25" i="23"/>
  <c r="E12" i="23"/>
  <c r="K12" i="23"/>
  <c r="D26" i="23"/>
  <c r="D39" i="23"/>
  <c r="D25" i="23"/>
  <c r="D38" i="23"/>
  <c r="D23" i="23"/>
  <c r="N36" i="16"/>
  <c r="L36" i="16"/>
  <c r="L35" i="16"/>
  <c r="E38" i="23"/>
  <c r="E13" i="23"/>
  <c r="K13" i="23"/>
  <c r="E25" i="26"/>
  <c r="I24" i="25"/>
  <c r="K24" i="25"/>
  <c r="I13" i="23"/>
  <c r="I26" i="23"/>
  <c r="K26" i="23"/>
  <c r="G26" i="23"/>
  <c r="G27" i="23" s="1"/>
  <c r="M36" i="16"/>
  <c r="G36" i="16"/>
  <c r="O36" i="16" s="1"/>
  <c r="H26" i="23"/>
  <c r="H13" i="23"/>
  <c r="C13" i="24"/>
  <c r="C22" i="24"/>
  <c r="H36" i="23"/>
  <c r="H37" i="23"/>
  <c r="C12" i="24"/>
  <c r="C21" i="24"/>
  <c r="C25" i="23"/>
  <c r="C38" i="23"/>
  <c r="C23" i="23"/>
  <c r="C36" i="23"/>
  <c r="E67" i="19"/>
  <c r="M34" i="16"/>
  <c r="N34" i="16"/>
  <c r="L34" i="16"/>
  <c r="K34" i="16"/>
  <c r="M27" i="16"/>
  <c r="N27" i="16"/>
  <c r="B33" i="21"/>
  <c r="B34" i="21"/>
  <c r="B35" i="21"/>
  <c r="B36" i="21"/>
  <c r="B37" i="21"/>
  <c r="B39" i="21"/>
  <c r="B55" i="21"/>
  <c r="B56" i="21"/>
  <c r="B57" i="21"/>
  <c r="B58" i="21"/>
  <c r="B59" i="21"/>
  <c r="B61" i="21"/>
  <c r="B22" i="21"/>
  <c r="B17" i="21"/>
  <c r="B19" i="21"/>
  <c r="B21" i="21"/>
  <c r="B14" i="21"/>
  <c r="B15" i="21"/>
  <c r="B78" i="21"/>
  <c r="B77" i="21"/>
  <c r="B66" i="21"/>
  <c r="B65" i="21"/>
  <c r="B63" i="21"/>
  <c r="B54" i="21"/>
  <c r="B44" i="21"/>
  <c r="B43" i="21"/>
  <c r="B41" i="21"/>
  <c r="B32" i="21"/>
  <c r="B13" i="21"/>
  <c r="B12" i="21"/>
  <c r="B11" i="21"/>
  <c r="B10" i="21"/>
  <c r="J10" i="5"/>
  <c r="G55" i="15"/>
  <c r="J55" i="15"/>
  <c r="D22" i="18"/>
  <c r="D35" i="18"/>
  <c r="D26" i="18"/>
  <c r="D39" i="18"/>
  <c r="D24" i="18"/>
  <c r="D37" i="18" s="1"/>
  <c r="D25" i="18"/>
  <c r="D38" i="18"/>
  <c r="D36" i="18"/>
  <c r="E49" i="15"/>
  <c r="F49" i="15"/>
  <c r="G49" i="15"/>
  <c r="H49" i="15"/>
  <c r="J49" i="15"/>
  <c r="K49" i="15"/>
  <c r="L49" i="15"/>
  <c r="C49" i="15"/>
  <c r="M9" i="4"/>
  <c r="M13" i="4"/>
  <c r="M10" i="4"/>
  <c r="K8" i="16"/>
  <c r="K11" i="16"/>
  <c r="H11" i="16" s="1"/>
  <c r="K12" i="16"/>
  <c r="H12" i="16"/>
  <c r="K13" i="16"/>
  <c r="H13" i="16"/>
  <c r="K14" i="16"/>
  <c r="H14" i="16" s="1"/>
  <c r="G117" i="15"/>
  <c r="K15" i="16"/>
  <c r="G124" i="15" s="1"/>
  <c r="K16" i="16"/>
  <c r="H16" i="16"/>
  <c r="K17" i="16"/>
  <c r="H17" i="16"/>
  <c r="K18" i="16"/>
  <c r="H18" i="16"/>
  <c r="D8" i="16"/>
  <c r="D11" i="16"/>
  <c r="D12" i="16"/>
  <c r="D13" i="16"/>
  <c r="D14" i="16"/>
  <c r="D15" i="16"/>
  <c r="D16" i="16"/>
  <c r="D17" i="16"/>
  <c r="D18" i="16"/>
  <c r="L8" i="16"/>
  <c r="L11" i="16"/>
  <c r="L12" i="16"/>
  <c r="L13" i="16"/>
  <c r="L14" i="16"/>
  <c r="L15" i="16"/>
  <c r="L16" i="16"/>
  <c r="L17" i="16"/>
  <c r="L7" i="16"/>
  <c r="B38" i="4"/>
  <c r="B40" i="4"/>
  <c r="B41" i="4"/>
  <c r="B42" i="4"/>
  <c r="B43" i="4"/>
  <c r="B37" i="4"/>
  <c r="B24" i="4"/>
  <c r="B26" i="4"/>
  <c r="B27" i="4"/>
  <c r="B28" i="4"/>
  <c r="B29" i="4"/>
  <c r="B23" i="4"/>
  <c r="B10" i="4"/>
  <c r="B12" i="4"/>
  <c r="B13" i="4"/>
  <c r="B14" i="4"/>
  <c r="B15" i="4"/>
  <c r="B9" i="4"/>
  <c r="B28" i="14"/>
  <c r="B27" i="14"/>
  <c r="E27" i="14"/>
  <c r="C27" i="14"/>
  <c r="B50" i="13"/>
  <c r="B44" i="13"/>
  <c r="B43" i="13"/>
  <c r="B26" i="13"/>
  <c r="B33" i="13"/>
  <c r="B27" i="13"/>
  <c r="Q48" i="10"/>
  <c r="I48" i="10"/>
  <c r="Q47" i="10"/>
  <c r="I47" i="10"/>
  <c r="S47" i="10"/>
  <c r="S45" i="10"/>
  <c r="AA124" i="10"/>
  <c r="AB124" i="10"/>
  <c r="AC124" i="10"/>
  <c r="AE124" i="10"/>
  <c r="AF124" i="10"/>
  <c r="B117" i="10"/>
  <c r="B104" i="10"/>
  <c r="F92" i="10"/>
  <c r="F96" i="10" a="1"/>
  <c r="F96" i="10"/>
  <c r="G92" i="10"/>
  <c r="H92" i="10"/>
  <c r="J92" i="10"/>
  <c r="K92" i="10"/>
  <c r="L92" i="10"/>
  <c r="N92" i="10"/>
  <c r="O92" i="10"/>
  <c r="P92" i="10"/>
  <c r="Q92" i="10"/>
  <c r="R92" i="10"/>
  <c r="B91" i="10"/>
  <c r="C36" i="6"/>
  <c r="C49" i="6" s="1"/>
  <c r="G86" i="10"/>
  <c r="H86" i="10"/>
  <c r="J86" i="10"/>
  <c r="K86" i="10"/>
  <c r="L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H86" i="10"/>
  <c r="AI86" i="10"/>
  <c r="AJ86" i="10"/>
  <c r="G87" i="10"/>
  <c r="H87" i="10"/>
  <c r="J87" i="10"/>
  <c r="K87" i="10"/>
  <c r="L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H87" i="10"/>
  <c r="AI87" i="10"/>
  <c r="AJ87" i="10"/>
  <c r="E86" i="10"/>
  <c r="T23" i="10" a="1"/>
  <c r="T23" i="10"/>
  <c r="R109" i="10" a="1"/>
  <c r="R109" i="10"/>
  <c r="V13" i="10" a="1"/>
  <c r="V13" i="10"/>
  <c r="F122" i="10" a="1"/>
  <c r="F122" i="10"/>
  <c r="I13" i="18"/>
  <c r="F18" i="1" s="1"/>
  <c r="K21" i="21"/>
  <c r="H21" i="21"/>
  <c r="G40" i="21"/>
  <c r="J40" i="21"/>
  <c r="I43" i="21"/>
  <c r="H28" i="28"/>
  <c r="H42" i="28"/>
  <c r="G31" i="28"/>
  <c r="G28" i="28"/>
  <c r="F29" i="28"/>
  <c r="H31" i="28"/>
  <c r="H45" i="28" s="1"/>
  <c r="F45" i="28" s="1"/>
  <c r="I31" i="27" s="1"/>
  <c r="J31" i="27" s="1"/>
  <c r="F31" i="28"/>
  <c r="G29" i="28"/>
  <c r="G43" i="28"/>
  <c r="F43" i="28" s="1"/>
  <c r="I28" i="27" s="1"/>
  <c r="J28" i="27" s="1"/>
  <c r="G26" i="28"/>
  <c r="H29" i="28"/>
  <c r="H43" i="28" s="1"/>
  <c r="F28" i="28"/>
  <c r="F27" i="28"/>
  <c r="H26" i="28"/>
  <c r="H40" i="28"/>
  <c r="G27" i="28"/>
  <c r="G41" i="28" s="1"/>
  <c r="F41" i="28" s="1"/>
  <c r="I32" i="27" s="1"/>
  <c r="F30" i="28"/>
  <c r="F26" i="28"/>
  <c r="G30" i="28"/>
  <c r="H27" i="28"/>
  <c r="H41" i="28"/>
  <c r="H30" i="28"/>
  <c r="H44" i="28"/>
  <c r="F44" i="28" s="1"/>
  <c r="I29" i="27" s="1"/>
  <c r="J29" i="27" s="1"/>
  <c r="L26" i="18"/>
  <c r="H8" i="16"/>
  <c r="H9" i="16" s="1"/>
  <c r="O27" i="16"/>
  <c r="J109" i="10" a="1"/>
  <c r="J109" i="10"/>
  <c r="E37" i="24"/>
  <c r="E38" i="24"/>
  <c r="H15" i="23"/>
  <c r="J15" i="23" s="1"/>
  <c r="C37" i="24"/>
  <c r="C38" i="24"/>
  <c r="H41" i="23" s="1"/>
  <c r="D52" i="22"/>
  <c r="G24" i="21" s="1"/>
  <c r="D101" i="19"/>
  <c r="D102" i="19"/>
  <c r="K27" i="18" s="1"/>
  <c r="D51" i="22"/>
  <c r="G46" i="21" s="1"/>
  <c r="J46" i="21" s="1"/>
  <c r="L64" i="21"/>
  <c r="O21" i="16"/>
  <c r="K65" i="19" s="1"/>
  <c r="K66" i="19" s="1"/>
  <c r="G123" i="15"/>
  <c r="H7" i="16"/>
  <c r="E66" i="28"/>
  <c r="D66" i="28"/>
  <c r="D67" i="28"/>
  <c r="M35" i="16"/>
  <c r="G35" i="16"/>
  <c r="O35" i="16" s="1"/>
  <c r="H43" i="21"/>
  <c r="J22" i="21"/>
  <c r="G22" i="21"/>
  <c r="H22" i="21"/>
  <c r="I22" i="21"/>
  <c r="E44" i="21"/>
  <c r="G13" i="18"/>
  <c r="L13" i="18"/>
  <c r="C87" i="19"/>
  <c r="C88" i="19" s="1"/>
  <c r="C91" i="19" s="1"/>
  <c r="C92" i="19" s="1"/>
  <c r="E38" i="18" s="1"/>
  <c r="D37" i="24"/>
  <c r="D38" i="24"/>
  <c r="H28" i="23"/>
  <c r="H29" i="23" s="1"/>
  <c r="G93" i="14"/>
  <c r="G94" i="14" s="1"/>
  <c r="E12" i="13" s="1"/>
  <c r="I12" i="13" s="1"/>
  <c r="K12" i="13" s="1"/>
  <c r="C101" i="19"/>
  <c r="C102" i="19" s="1"/>
  <c r="E101" i="19"/>
  <c r="E102" i="19" s="1"/>
  <c r="J14" i="18" s="1"/>
  <c r="J15" i="18" s="1"/>
  <c r="J16" i="18" s="1"/>
  <c r="K38" i="23"/>
  <c r="G38" i="23"/>
  <c r="D28" i="27"/>
  <c r="D44" i="27"/>
  <c r="D34" i="27"/>
  <c r="X124" i="10"/>
  <c r="N109" i="10" a="1"/>
  <c r="N109" i="10"/>
  <c r="V31" i="10" a="1"/>
  <c r="V31" i="10"/>
  <c r="L109" i="10" a="1"/>
  <c r="L109" i="10"/>
  <c r="K109" i="10" a="1"/>
  <c r="K109" i="10"/>
  <c r="Q109" i="10" a="1"/>
  <c r="Q109" i="10"/>
  <c r="P109" i="10" a="1"/>
  <c r="P109" i="10"/>
  <c r="O109" i="10" a="1"/>
  <c r="O109" i="10"/>
  <c r="F120" i="10" a="1"/>
  <c r="F120" i="10"/>
  <c r="I50" i="13"/>
  <c r="F39" i="1"/>
  <c r="G20" i="13"/>
  <c r="E39" i="1"/>
  <c r="F20" i="13"/>
  <c r="Q138" i="10"/>
  <c r="H120" i="10" a="1"/>
  <c r="H120" i="10"/>
  <c r="O138" i="10"/>
  <c r="U31" i="10" a="1"/>
  <c r="U31" i="10"/>
  <c r="G120" i="10" a="1"/>
  <c r="G120" i="10"/>
  <c r="J120" i="10" a="1"/>
  <c r="J120" i="10"/>
  <c r="S13" i="10" a="1"/>
  <c r="S13" i="10"/>
  <c r="P122" i="10" a="1"/>
  <c r="P122" i="10"/>
  <c r="H94" i="10" a="1"/>
  <c r="H94" i="10"/>
  <c r="R122" i="10" a="1"/>
  <c r="R122" i="10"/>
  <c r="N122" i="10" a="1"/>
  <c r="N122" i="10"/>
  <c r="M25" i="10"/>
  <c r="I111" i="10" a="1"/>
  <c r="I111" i="10"/>
  <c r="O122" i="10" a="1"/>
  <c r="O122" i="10"/>
  <c r="J96" i="10" a="1"/>
  <c r="J96" i="10"/>
  <c r="L122" i="10" a="1"/>
  <c r="L122" i="10"/>
  <c r="Q122" i="10" a="1"/>
  <c r="Q122" i="10"/>
  <c r="J94" i="10" a="1"/>
  <c r="J94" i="10"/>
  <c r="T33" i="10" a="1"/>
  <c r="T33" i="10"/>
  <c r="M17" i="10"/>
  <c r="J100" i="10" a="1"/>
  <c r="J100" i="10"/>
  <c r="K122" i="10" a="1"/>
  <c r="K122" i="10"/>
  <c r="L36" i="10"/>
  <c r="N125" i="10" a="1"/>
  <c r="N125" i="10"/>
  <c r="L16" i="10"/>
  <c r="R99" i="10" a="1"/>
  <c r="R99" i="10" s="1"/>
  <c r="R133" i="10" s="1"/>
  <c r="V21" i="10" a="1"/>
  <c r="V21" i="10"/>
  <c r="G94" i="10" a="1"/>
  <c r="G94" i="10"/>
  <c r="Q120" i="10" a="1"/>
  <c r="Q120" i="10"/>
  <c r="L138" i="10"/>
  <c r="U11" i="10" a="1"/>
  <c r="U11" i="10"/>
  <c r="P120" i="10" a="1"/>
  <c r="P120" i="10"/>
  <c r="S11" i="10" a="1"/>
  <c r="S11" i="10"/>
  <c r="M107" i="10" a="1"/>
  <c r="M107" i="10"/>
  <c r="F107" i="10" a="1"/>
  <c r="F107" i="10"/>
  <c r="J137" i="10"/>
  <c r="R107" i="10" a="1"/>
  <c r="R107" i="10"/>
  <c r="G138" i="10"/>
  <c r="S120" i="10" a="1"/>
  <c r="S120" i="10"/>
  <c r="P107" i="10" a="1"/>
  <c r="P107" i="10"/>
  <c r="D176" i="10"/>
  <c r="T21" i="10" a="1"/>
  <c r="T21" i="10"/>
  <c r="H138" i="10"/>
  <c r="AE123" i="10"/>
  <c r="J138" i="10"/>
  <c r="G96" i="10" a="1"/>
  <c r="G96" i="10"/>
  <c r="Q107" i="10" a="1"/>
  <c r="Q107" i="10"/>
  <c r="R138" i="10"/>
  <c r="N138" i="10"/>
  <c r="E176" i="10"/>
  <c r="L26" i="10"/>
  <c r="K138" i="10"/>
  <c r="L12" i="10"/>
  <c r="N95" i="10" a="1"/>
  <c r="N95" i="10"/>
  <c r="M35" i="10"/>
  <c r="N26" i="10"/>
  <c r="N16" i="10"/>
  <c r="E99" i="10" a="1"/>
  <c r="E99" i="10" s="1"/>
  <c r="E133" i="10" s="1"/>
  <c r="V33" i="10" a="1"/>
  <c r="V33" i="10"/>
  <c r="L37" i="10"/>
  <c r="R126" i="10" a="1"/>
  <c r="R126" i="10"/>
  <c r="R96" i="10" a="1"/>
  <c r="R96" i="10"/>
  <c r="T45" i="10"/>
  <c r="L25" i="10"/>
  <c r="L17" i="10"/>
  <c r="Q100" i="10" a="1"/>
  <c r="Q100" i="10"/>
  <c r="N25" i="10"/>
  <c r="E111" i="10" a="1"/>
  <c r="E111" i="10"/>
  <c r="H96" i="10" a="1"/>
  <c r="H96" i="10"/>
  <c r="L28" i="10"/>
  <c r="M24" i="10"/>
  <c r="F176" i="10"/>
  <c r="D30" i="1"/>
  <c r="L120" i="10" a="1"/>
  <c r="L120" i="10"/>
  <c r="K107" i="10" a="1"/>
  <c r="K107" i="10"/>
  <c r="L35" i="10"/>
  <c r="M22" i="10"/>
  <c r="K28" i="10"/>
  <c r="S114" i="10" a="1"/>
  <c r="S114" i="10"/>
  <c r="K18" i="10"/>
  <c r="N36" i="10"/>
  <c r="N24" i="10"/>
  <c r="V24" i="10" a="1"/>
  <c r="V24" i="10"/>
  <c r="N14" i="10"/>
  <c r="F97" i="10" a="1"/>
  <c r="F97" i="10"/>
  <c r="M16" i="10"/>
  <c r="I99" i="10" s="1" a="1"/>
  <c r="I99" i="10" s="1"/>
  <c r="N17" i="10"/>
  <c r="S23" i="10" a="1"/>
  <c r="S23" i="10"/>
  <c r="R120" i="10" a="1"/>
  <c r="R120" i="10"/>
  <c r="O107" i="10" a="1"/>
  <c r="O107" i="10"/>
  <c r="N137" i="10"/>
  <c r="U46" i="10"/>
  <c r="M27" i="10"/>
  <c r="G113" i="10" a="1"/>
  <c r="G113" i="10"/>
  <c r="K38" i="10"/>
  <c r="K16" i="10"/>
  <c r="S99" i="10" a="1"/>
  <c r="S99" i="10"/>
  <c r="T133" i="10" s="1"/>
  <c r="N35" i="10"/>
  <c r="E124" i="10" a="1"/>
  <c r="E124" i="10"/>
  <c r="L24" i="10"/>
  <c r="N110" i="10" a="1"/>
  <c r="N110" i="10"/>
  <c r="M37" i="10"/>
  <c r="K22" i="10"/>
  <c r="S108" i="10" a="1"/>
  <c r="S108" i="10"/>
  <c r="E138" i="10"/>
  <c r="L107" i="10" a="1"/>
  <c r="L107" i="10"/>
  <c r="K12" i="10"/>
  <c r="K120" i="10" a="1"/>
  <c r="K120" i="10"/>
  <c r="T42" i="10"/>
  <c r="L22" i="10"/>
  <c r="M108" i="10" a="1"/>
  <c r="M108" i="10"/>
  <c r="L15" i="10"/>
  <c r="P98" i="10" a="1"/>
  <c r="P98" i="10"/>
  <c r="M18" i="10"/>
  <c r="J101" i="10" s="1" a="1"/>
  <c r="J101" i="10" s="1"/>
  <c r="K36" i="10"/>
  <c r="K24" i="10"/>
  <c r="E96" i="10" a="1"/>
  <c r="E96" i="10"/>
  <c r="E95" i="10" a="1"/>
  <c r="E95" i="10"/>
  <c r="F95" i="10" a="1"/>
  <c r="F95" i="10"/>
  <c r="V12" i="10" a="1"/>
  <c r="V12" i="10"/>
  <c r="S33" i="10" a="1"/>
  <c r="S33" i="10"/>
  <c r="L96" i="10" a="1"/>
  <c r="L96" i="10"/>
  <c r="O120" i="10" a="1"/>
  <c r="O120" i="10"/>
  <c r="G137" i="10"/>
  <c r="L38" i="10"/>
  <c r="L27" i="10"/>
  <c r="L18" i="10"/>
  <c r="K101" i="10" a="1"/>
  <c r="K101" i="10" s="1"/>
  <c r="M96" i="10" a="1"/>
  <c r="M96" i="10"/>
  <c r="I122" i="10" a="1"/>
  <c r="I122" i="10"/>
  <c r="M28" i="10"/>
  <c r="K35" i="10"/>
  <c r="K15" i="10"/>
  <c r="N32" i="10"/>
  <c r="E121" i="10" a="1"/>
  <c r="E121" i="10"/>
  <c r="N15" i="10"/>
  <c r="E98" i="10" a="1"/>
  <c r="E98" i="10"/>
  <c r="V47" i="10"/>
  <c r="P96" i="10" a="1"/>
  <c r="P96" i="10"/>
  <c r="J122" i="10" a="1"/>
  <c r="J122" i="10"/>
  <c r="O96" i="10" a="1"/>
  <c r="O96" i="10"/>
  <c r="T31" i="10" a="1"/>
  <c r="T31" i="10"/>
  <c r="P138" i="10"/>
  <c r="U42" i="10"/>
  <c r="V46" i="10"/>
  <c r="S42" i="10"/>
  <c r="L32" i="10"/>
  <c r="M32" i="10"/>
  <c r="M26" i="10"/>
  <c r="K32" i="10"/>
  <c r="K27" i="10"/>
  <c r="K14" i="10"/>
  <c r="N34" i="10"/>
  <c r="N28" i="10"/>
  <c r="N22" i="10"/>
  <c r="U23" i="10" a="1"/>
  <c r="U23" i="10"/>
  <c r="H122" i="10" a="1"/>
  <c r="H122" i="10"/>
  <c r="Q96" i="10" a="1"/>
  <c r="Q96" i="10"/>
  <c r="O137" i="10"/>
  <c r="M55" i="15"/>
  <c r="M120" i="10" a="1"/>
  <c r="M120" i="10"/>
  <c r="M15" i="10"/>
  <c r="M38" i="10"/>
  <c r="I138" i="10"/>
  <c r="K26" i="10"/>
  <c r="N38" i="10"/>
  <c r="N27" i="10"/>
  <c r="E113" i="10" a="1"/>
  <c r="E113" i="10"/>
  <c r="N18" i="10"/>
  <c r="M138" i="10"/>
  <c r="I96" i="10" a="1"/>
  <c r="I96" i="10"/>
  <c r="N96" i="10" a="1"/>
  <c r="N96" i="10"/>
  <c r="G109" i="10" a="1"/>
  <c r="G109" i="10"/>
  <c r="G122" i="10" a="1"/>
  <c r="G122" i="10"/>
  <c r="L34" i="10"/>
  <c r="L14" i="10"/>
  <c r="K97" i="10" a="1"/>
  <c r="K97" i="10"/>
  <c r="M12" i="10"/>
  <c r="M36" i="10"/>
  <c r="G125" i="10" a="1"/>
  <c r="G125" i="10"/>
  <c r="K37" i="10"/>
  <c r="K17" i="10"/>
  <c r="N37" i="10"/>
  <c r="H109" i="10" a="1"/>
  <c r="H109" i="10"/>
  <c r="F138" i="10"/>
  <c r="K94" i="10" a="1"/>
  <c r="K94" i="10"/>
  <c r="AH124" i="10"/>
  <c r="N94" i="10" a="1"/>
  <c r="N94" i="10"/>
  <c r="T11" i="10" a="1"/>
  <c r="T11" i="10"/>
  <c r="O94" i="10" a="1"/>
  <c r="O94" i="10"/>
  <c r="L94" i="10" a="1"/>
  <c r="L94" i="10"/>
  <c r="G107" i="10" a="1"/>
  <c r="G107" i="10"/>
  <c r="H107" i="10" a="1"/>
  <c r="H107" i="10"/>
  <c r="U21" i="10" a="1"/>
  <c r="U21" i="10"/>
  <c r="E109" i="10" a="1"/>
  <c r="E109" i="10"/>
  <c r="V11" i="10" a="1"/>
  <c r="V11" i="10"/>
  <c r="F94" i="10" a="1"/>
  <c r="F94" i="10"/>
  <c r="K96" i="10" a="1"/>
  <c r="K96" i="10"/>
  <c r="P94" i="10" a="1"/>
  <c r="P94" i="10"/>
  <c r="V42" i="10"/>
  <c r="F137" i="10"/>
  <c r="R94" i="10" a="1"/>
  <c r="R94" i="10"/>
  <c r="C176" i="10"/>
  <c r="J107" i="10" a="1"/>
  <c r="J107" i="10"/>
  <c r="M14" i="10"/>
  <c r="M34" i="10"/>
  <c r="T138" i="10"/>
  <c r="S46" i="10"/>
  <c r="Q137" i="10"/>
  <c r="K137" i="10"/>
  <c r="L137" i="10"/>
  <c r="AA123" i="10"/>
  <c r="P137" i="10"/>
  <c r="H55" i="15"/>
  <c r="I55" i="15"/>
  <c r="K55" i="15"/>
  <c r="L55" i="15"/>
  <c r="X149" i="10"/>
  <c r="X150" i="10"/>
  <c r="F55" i="15"/>
  <c r="AD124" i="10"/>
  <c r="Q94" i="10" a="1"/>
  <c r="Q94" i="10"/>
  <c r="I107" i="10" a="1"/>
  <c r="I107" i="10"/>
  <c r="U47" i="10"/>
  <c r="M139" i="10"/>
  <c r="C55" i="14"/>
  <c r="F55" i="14"/>
  <c r="E55" i="14"/>
  <c r="F64" i="14"/>
  <c r="H50" i="14"/>
  <c r="C65" i="14" s="1"/>
  <c r="D71" i="14"/>
  <c r="F71" i="14"/>
  <c r="C71" i="14"/>
  <c r="G71" i="14"/>
  <c r="F52" i="14"/>
  <c r="D58" i="14"/>
  <c r="F58" i="14"/>
  <c r="G58" i="14"/>
  <c r="C61" i="14"/>
  <c r="E133" i="14"/>
  <c r="E134" i="14"/>
  <c r="E51" i="13"/>
  <c r="I51" i="13" s="1"/>
  <c r="C58" i="14"/>
  <c r="C64" i="14"/>
  <c r="H48" i="14"/>
  <c r="E63" i="14" s="1"/>
  <c r="E61" i="14"/>
  <c r="G61" i="14"/>
  <c r="F61" i="14"/>
  <c r="E65" i="14"/>
  <c r="G56" i="14"/>
  <c r="D56" i="14"/>
  <c r="F56" i="14"/>
  <c r="E56" i="14"/>
  <c r="C56" i="14"/>
  <c r="G64" i="14"/>
  <c r="D64" i="14"/>
  <c r="E71" i="14"/>
  <c r="G44" i="28"/>
  <c r="G42" i="28"/>
  <c r="G45" i="28"/>
  <c r="D36" i="27"/>
  <c r="G40" i="28"/>
  <c r="F40" i="28" s="1"/>
  <c r="I26" i="27" s="1"/>
  <c r="D27" i="27"/>
  <c r="I14" i="25"/>
  <c r="K14" i="25"/>
  <c r="F100" i="15"/>
  <c r="F99" i="15"/>
  <c r="E118" i="15"/>
  <c r="F118" i="15" s="1"/>
  <c r="F128" i="15" s="1"/>
  <c r="E64" i="15"/>
  <c r="C34" i="15"/>
  <c r="E38" i="15" s="1"/>
  <c r="E39" i="15" s="1"/>
  <c r="E23" i="4" s="1"/>
  <c r="E66" i="15"/>
  <c r="G100" i="15"/>
  <c r="E43" i="19"/>
  <c r="H9" i="18"/>
  <c r="K9" i="18" s="1"/>
  <c r="E47" i="19"/>
  <c r="L9" i="18"/>
  <c r="I14" i="1"/>
  <c r="D47" i="19"/>
  <c r="L22" i="18"/>
  <c r="M22" i="18" s="1"/>
  <c r="D43" i="19"/>
  <c r="E22" i="24"/>
  <c r="H10" i="23"/>
  <c r="H11" i="23"/>
  <c r="D22" i="24"/>
  <c r="H23" i="23"/>
  <c r="H24" i="23"/>
  <c r="C23" i="24"/>
  <c r="I36" i="23"/>
  <c r="I37" i="23"/>
  <c r="K37" i="18"/>
  <c r="G37" i="18"/>
  <c r="M37" i="18"/>
  <c r="G24" i="18"/>
  <c r="M24" i="18" s="1"/>
  <c r="K24" i="18"/>
  <c r="E21" i="24"/>
  <c r="D21" i="24"/>
  <c r="E33" i="1"/>
  <c r="E36" i="1" s="1"/>
  <c r="D50" i="27"/>
  <c r="F38" i="27"/>
  <c r="H20" i="27"/>
  <c r="H38" i="27"/>
  <c r="D35" i="27"/>
  <c r="E20" i="27"/>
  <c r="I25" i="25"/>
  <c r="K25" i="25"/>
  <c r="J21" i="1"/>
  <c r="M21" i="1"/>
  <c r="G21" i="1"/>
  <c r="G22" i="1"/>
  <c r="I36" i="25"/>
  <c r="K36" i="25"/>
  <c r="H21" i="1"/>
  <c r="L21" i="1"/>
  <c r="I25" i="23"/>
  <c r="E41" i="23"/>
  <c r="H38" i="23"/>
  <c r="C28" i="23"/>
  <c r="H25" i="23"/>
  <c r="I12" i="23"/>
  <c r="I14" i="23" s="1"/>
  <c r="G13" i="23"/>
  <c r="G14" i="23" s="1"/>
  <c r="G12" i="23"/>
  <c r="E24" i="1"/>
  <c r="J36" i="23"/>
  <c r="L36" i="23"/>
  <c r="I38" i="23"/>
  <c r="E23" i="1"/>
  <c r="J12" i="23"/>
  <c r="J13" i="23"/>
  <c r="J38" i="23"/>
  <c r="J25" i="23"/>
  <c r="J26" i="23"/>
  <c r="K25" i="23"/>
  <c r="G45" i="21"/>
  <c r="K45" i="21"/>
  <c r="H45" i="21"/>
  <c r="J23" i="21"/>
  <c r="L13" i="21"/>
  <c r="J13" i="21"/>
  <c r="K16" i="21"/>
  <c r="I6" i="1"/>
  <c r="G23" i="21"/>
  <c r="K23" i="21"/>
  <c r="H23" i="21"/>
  <c r="H25" i="21" s="1"/>
  <c r="L14" i="21"/>
  <c r="K20" i="21"/>
  <c r="L42" i="21"/>
  <c r="I7" i="1"/>
  <c r="L15" i="21"/>
  <c r="K60" i="21"/>
  <c r="L17" i="21"/>
  <c r="L18" i="21"/>
  <c r="L12" i="21"/>
  <c r="K42" i="21"/>
  <c r="L40" i="21"/>
  <c r="L62" i="21"/>
  <c r="J21" i="21"/>
  <c r="L11" i="21"/>
  <c r="J17" i="21"/>
  <c r="G38" i="21"/>
  <c r="G21" i="21"/>
  <c r="J15" i="21"/>
  <c r="G62" i="21"/>
  <c r="L19" i="21"/>
  <c r="G18" i="21"/>
  <c r="G60" i="21"/>
  <c r="D7" i="1"/>
  <c r="K38" i="21"/>
  <c r="I9" i="1"/>
  <c r="G99" i="15"/>
  <c r="I39" i="18"/>
  <c r="K11" i="18"/>
  <c r="M11" i="18" s="1"/>
  <c r="J16" i="1" s="1"/>
  <c r="M16" i="1" s="1"/>
  <c r="G26" i="18"/>
  <c r="H26" i="18"/>
  <c r="L39" i="18"/>
  <c r="H39" i="18"/>
  <c r="E27" i="4"/>
  <c r="D64" i="15"/>
  <c r="E41" i="4"/>
  <c r="D65" i="15"/>
  <c r="E28" i="4"/>
  <c r="C47" i="19"/>
  <c r="L35" i="18"/>
  <c r="M35" i="18" s="1"/>
  <c r="C43" i="19"/>
  <c r="E29" i="4"/>
  <c r="D66" i="15"/>
  <c r="E43" i="4"/>
  <c r="H43" i="4" s="1"/>
  <c r="E15" i="4"/>
  <c r="H15" i="4" s="1"/>
  <c r="H16" i="4" s="1"/>
  <c r="E14" i="4"/>
  <c r="K12" i="4"/>
  <c r="E13" i="4"/>
  <c r="G13" i="4" s="1"/>
  <c r="E63" i="15"/>
  <c r="D63" i="15"/>
  <c r="G41" i="19"/>
  <c r="H12" i="4"/>
  <c r="L12" i="4"/>
  <c r="G103" i="15"/>
  <c r="L33" i="1"/>
  <c r="I34" i="27"/>
  <c r="J34" i="27"/>
  <c r="J65" i="21"/>
  <c r="J43" i="21"/>
  <c r="J62" i="21"/>
  <c r="H20" i="21"/>
  <c r="H16" i="23"/>
  <c r="F42" i="28"/>
  <c r="I27" i="27" s="1"/>
  <c r="J27" i="27" s="1"/>
  <c r="G118" i="15"/>
  <c r="D18" i="1"/>
  <c r="I65" i="19"/>
  <c r="I66" i="19"/>
  <c r="J65" i="19"/>
  <c r="J66" i="19"/>
  <c r="I18" i="1"/>
  <c r="V35" i="10" a="1"/>
  <c r="V35" i="10"/>
  <c r="L110" i="10" a="1"/>
  <c r="L110" i="10"/>
  <c r="L27" i="16"/>
  <c r="K67" i="21"/>
  <c r="L67" i="21" s="1"/>
  <c r="L38" i="21"/>
  <c r="I44" i="21"/>
  <c r="I47" i="21" s="1"/>
  <c r="I48" i="21" s="1"/>
  <c r="K44" i="21"/>
  <c r="G44" i="21"/>
  <c r="H44" i="21"/>
  <c r="AC123" i="10"/>
  <c r="G111" i="10" a="1"/>
  <c r="G111" i="10"/>
  <c r="U25" i="10" a="1"/>
  <c r="U25" i="10"/>
  <c r="J111" i="10" a="1"/>
  <c r="J111" i="10"/>
  <c r="H100" i="10" a="1"/>
  <c r="H100" i="10"/>
  <c r="E97" i="10" a="1"/>
  <c r="E97" i="10"/>
  <c r="I100" i="10" a="1"/>
  <c r="I100" i="10"/>
  <c r="M110" i="10" a="1"/>
  <c r="M110" i="10"/>
  <c r="E52" i="13"/>
  <c r="K50" i="13"/>
  <c r="K98" i="10" a="1"/>
  <c r="K98" i="10"/>
  <c r="H113" i="10" a="1"/>
  <c r="H113" i="10"/>
  <c r="AH123" i="10"/>
  <c r="Y158" i="10"/>
  <c r="X158" i="10"/>
  <c r="W158" i="10"/>
  <c r="V158" i="10"/>
  <c r="K126" i="10" a="1"/>
  <c r="K126" i="10"/>
  <c r="P125" i="10" a="1"/>
  <c r="P125" i="10"/>
  <c r="AB123" i="10"/>
  <c r="J113" i="10" a="1"/>
  <c r="J113" i="10"/>
  <c r="Q125" i="10" a="1"/>
  <c r="Q125" i="10"/>
  <c r="Q99" i="10" a="1"/>
  <c r="Q99" i="10"/>
  <c r="F110" i="10" a="1"/>
  <c r="F110" i="10"/>
  <c r="O125" i="10" a="1"/>
  <c r="O125" i="10"/>
  <c r="R125" i="10" a="1"/>
  <c r="R125" i="10"/>
  <c r="K125" i="10" a="1"/>
  <c r="K125" i="10"/>
  <c r="E110" i="10" a="1"/>
  <c r="E110" i="10"/>
  <c r="N99" i="10" a="1"/>
  <c r="N99" i="10"/>
  <c r="N133" i="10" s="1"/>
  <c r="L125" i="10" a="1"/>
  <c r="L125" i="10"/>
  <c r="T36" i="10" a="1"/>
  <c r="T36" i="10"/>
  <c r="M125" i="10" a="1"/>
  <c r="M125" i="10"/>
  <c r="F124" i="10" a="1"/>
  <c r="F124" i="10"/>
  <c r="H111" i="10" a="1"/>
  <c r="H111" i="10"/>
  <c r="N108" i="10" a="1"/>
  <c r="N108" i="10"/>
  <c r="K99" i="10" a="1"/>
  <c r="K99" i="10" s="1"/>
  <c r="T16" i="10" a="1"/>
  <c r="T16" i="10"/>
  <c r="K108" i="10" a="1"/>
  <c r="K108" i="10"/>
  <c r="M99" i="10" a="1"/>
  <c r="M99" i="10" s="1"/>
  <c r="M133" i="10" s="1"/>
  <c r="P108" i="10" a="1"/>
  <c r="P108" i="10"/>
  <c r="R108" i="10" a="1"/>
  <c r="R108" i="10"/>
  <c r="L99" i="10" a="1"/>
  <c r="L99" i="10" s="1"/>
  <c r="T22" i="10" a="1"/>
  <c r="T22" i="10"/>
  <c r="L108" i="10" a="1"/>
  <c r="L108" i="10"/>
  <c r="P99" i="10" a="1"/>
  <c r="P99" i="10"/>
  <c r="P133" i="10" s="1"/>
  <c r="U17" i="10" a="1"/>
  <c r="U17" i="10"/>
  <c r="G100" i="10" a="1"/>
  <c r="G100" i="10"/>
  <c r="F113" i="10" a="1"/>
  <c r="F113" i="10"/>
  <c r="Q108" i="10" a="1"/>
  <c r="Q108" i="10"/>
  <c r="O108" i="10" a="1"/>
  <c r="O108" i="10"/>
  <c r="O99" i="10" a="1"/>
  <c r="O99" i="10" s="1"/>
  <c r="O133" i="10" s="1"/>
  <c r="O110" i="10" a="1"/>
  <c r="O110" i="10"/>
  <c r="R110" i="10" a="1"/>
  <c r="R110" i="10"/>
  <c r="K95" i="10" a="1"/>
  <c r="K95" i="10"/>
  <c r="AF123" i="10"/>
  <c r="Q110" i="10" a="1"/>
  <c r="Q110" i="10"/>
  <c r="X123" i="10"/>
  <c r="V27" i="10" a="1"/>
  <c r="V27" i="10"/>
  <c r="K110" i="10" a="1"/>
  <c r="K110" i="10"/>
  <c r="M111" i="10" a="1"/>
  <c r="M111" i="10"/>
  <c r="N111" i="10" a="1"/>
  <c r="N111" i="10"/>
  <c r="O111" i="10" a="1"/>
  <c r="O111" i="10"/>
  <c r="K111" i="10" a="1"/>
  <c r="K111" i="10"/>
  <c r="L111" i="10" a="1"/>
  <c r="L111" i="10"/>
  <c r="T25" i="10" a="1"/>
  <c r="T25" i="10"/>
  <c r="Q111" i="10" a="1"/>
  <c r="Q111" i="10"/>
  <c r="R111" i="10" a="1"/>
  <c r="R111" i="10"/>
  <c r="S22" i="10" a="1"/>
  <c r="S22" i="10"/>
  <c r="R100" i="10" a="1"/>
  <c r="R100" i="10"/>
  <c r="I113" i="10" a="1"/>
  <c r="I113" i="10"/>
  <c r="U27" i="10" a="1"/>
  <c r="U27" i="10"/>
  <c r="E100" i="10" a="1"/>
  <c r="E100" i="10"/>
  <c r="V17" i="10" a="1"/>
  <c r="V17" i="10"/>
  <c r="F100" i="10" a="1"/>
  <c r="F100" i="10"/>
  <c r="I108" i="10" a="1"/>
  <c r="I108" i="10"/>
  <c r="U22" i="10" a="1"/>
  <c r="U22" i="10"/>
  <c r="G108" i="10" a="1"/>
  <c r="G108" i="10"/>
  <c r="H108" i="10" a="1"/>
  <c r="H108" i="10"/>
  <c r="J108" i="10" a="1"/>
  <c r="J108" i="10"/>
  <c r="M100" i="10" a="1"/>
  <c r="M100" i="10"/>
  <c r="N100" i="10" a="1"/>
  <c r="N100" i="10"/>
  <c r="O100" i="10" a="1"/>
  <c r="O100" i="10"/>
  <c r="M98" i="10" a="1"/>
  <c r="M98" i="10"/>
  <c r="T15" i="10" a="1"/>
  <c r="T15" i="10"/>
  <c r="O98" i="10" a="1"/>
  <c r="O98" i="10"/>
  <c r="L98" i="10" a="1"/>
  <c r="L98" i="10"/>
  <c r="R98" i="10" a="1"/>
  <c r="R98" i="10"/>
  <c r="Q98" i="10" a="1"/>
  <c r="Q98" i="10"/>
  <c r="S16" i="10" a="1"/>
  <c r="S16" i="10"/>
  <c r="U16" i="10" a="1"/>
  <c r="U16" i="10"/>
  <c r="H99" i="10" a="1"/>
  <c r="H99" i="10" s="1"/>
  <c r="M124" i="10" a="1"/>
  <c r="M124" i="10"/>
  <c r="O124" i="10" a="1"/>
  <c r="O124" i="10"/>
  <c r="K124" i="10" a="1"/>
  <c r="K124" i="10"/>
  <c r="P124" i="10" a="1"/>
  <c r="P124" i="10"/>
  <c r="L124" i="10" a="1"/>
  <c r="L124" i="10"/>
  <c r="R124" i="10" a="1"/>
  <c r="R124" i="10"/>
  <c r="T35" i="10" a="1"/>
  <c r="T35" i="10"/>
  <c r="Q124" i="10" a="1"/>
  <c r="Q124" i="10"/>
  <c r="N124" i="10" a="1"/>
  <c r="N124" i="10"/>
  <c r="I110" i="10" a="1"/>
  <c r="I110" i="10"/>
  <c r="J110" i="10" a="1"/>
  <c r="J110" i="10"/>
  <c r="U24" i="10" a="1"/>
  <c r="U24" i="10"/>
  <c r="G110" i="10" a="1"/>
  <c r="G110" i="10"/>
  <c r="J99" i="10" a="1"/>
  <c r="J99" i="10" s="1"/>
  <c r="G99" i="10" a="1"/>
  <c r="G99" i="10"/>
  <c r="J125" i="10" a="1"/>
  <c r="J125" i="10"/>
  <c r="T37" i="10" a="1"/>
  <c r="T37" i="10"/>
  <c r="N98" i="10" a="1"/>
  <c r="N98" i="10"/>
  <c r="P100" i="10" a="1"/>
  <c r="P100" i="10"/>
  <c r="K100" i="10" a="1"/>
  <c r="K100" i="10"/>
  <c r="P126" i="10" a="1"/>
  <c r="P126" i="10"/>
  <c r="V16" i="10" a="1"/>
  <c r="V16" i="10"/>
  <c r="P110" i="10" a="1"/>
  <c r="P110" i="10"/>
  <c r="I126" i="10" a="1"/>
  <c r="I126" i="10"/>
  <c r="G126" i="10" a="1"/>
  <c r="G126" i="10"/>
  <c r="H126" i="10" a="1"/>
  <c r="H126" i="10"/>
  <c r="U37" i="10" a="1"/>
  <c r="U37" i="10"/>
  <c r="J126" i="10" a="1"/>
  <c r="J126" i="10"/>
  <c r="M114" i="10" a="1"/>
  <c r="M114" i="10"/>
  <c r="K114" i="10" a="1"/>
  <c r="K114" i="10"/>
  <c r="P114" i="10" a="1"/>
  <c r="P114" i="10"/>
  <c r="L114" i="10" a="1"/>
  <c r="L114" i="10"/>
  <c r="Q114" i="10" a="1"/>
  <c r="Q114" i="10"/>
  <c r="T28" i="10" a="1"/>
  <c r="T28" i="10"/>
  <c r="N114" i="10" a="1"/>
  <c r="N114" i="10"/>
  <c r="R114" i="10" a="1"/>
  <c r="R114" i="10"/>
  <c r="O114" i="10" a="1"/>
  <c r="O114" i="10"/>
  <c r="E112" i="10" a="1"/>
  <c r="E112" i="10"/>
  <c r="V26" i="10" a="1"/>
  <c r="V26" i="10"/>
  <c r="F112" i="10" a="1"/>
  <c r="F112" i="10"/>
  <c r="T17" i="10" a="1"/>
  <c r="T17" i="10"/>
  <c r="S127" i="10" a="1"/>
  <c r="S127" i="10"/>
  <c r="S38" i="10" a="1"/>
  <c r="S38" i="10"/>
  <c r="H125" i="10" a="1"/>
  <c r="H125" i="10"/>
  <c r="S28" i="10" a="1"/>
  <c r="S28" i="10"/>
  <c r="F99" i="10" a="1"/>
  <c r="F99" i="10" s="1"/>
  <c r="F133" i="10" s="1"/>
  <c r="AG121" i="10" s="1"/>
  <c r="I124" i="10" a="1"/>
  <c r="I124" i="10"/>
  <c r="U35" i="10" a="1"/>
  <c r="U35" i="10"/>
  <c r="H124" i="10" a="1"/>
  <c r="H124" i="10"/>
  <c r="J124" i="10" a="1"/>
  <c r="J124" i="10"/>
  <c r="S101" i="10" a="1"/>
  <c r="S101" i="10"/>
  <c r="S18" i="10" a="1"/>
  <c r="S18" i="10"/>
  <c r="M126" i="10" a="1"/>
  <c r="M126" i="10"/>
  <c r="Q126" i="10" a="1"/>
  <c r="Q126" i="10"/>
  <c r="U36" i="10" a="1"/>
  <c r="U36" i="10"/>
  <c r="I125" i="10" a="1"/>
  <c r="I125" i="10"/>
  <c r="O126" i="10" a="1"/>
  <c r="O126" i="10"/>
  <c r="L126" i="10" a="1"/>
  <c r="L126" i="10"/>
  <c r="S110" i="10" a="1"/>
  <c r="S110" i="10"/>
  <c r="S24" i="10" a="1"/>
  <c r="S24" i="10"/>
  <c r="S95" i="10" a="1"/>
  <c r="S95" i="10"/>
  <c r="S12" i="10" a="1"/>
  <c r="S12" i="10"/>
  <c r="V14" i="10" a="1"/>
  <c r="V14" i="10"/>
  <c r="H110" i="10" a="1"/>
  <c r="H110" i="10"/>
  <c r="M95" i="10" a="1"/>
  <c r="M95" i="10"/>
  <c r="P95" i="10" a="1"/>
  <c r="P95" i="10"/>
  <c r="Q95" i="10" a="1"/>
  <c r="Q95" i="10"/>
  <c r="R95" i="10" a="1"/>
  <c r="R95" i="10"/>
  <c r="L95" i="10" a="1"/>
  <c r="L95" i="10"/>
  <c r="O95" i="10" a="1"/>
  <c r="O95" i="10"/>
  <c r="T12" i="10" a="1"/>
  <c r="T12" i="10"/>
  <c r="K112" i="10" a="1"/>
  <c r="K112" i="10"/>
  <c r="M112" i="10" a="1"/>
  <c r="M112" i="10"/>
  <c r="O112" i="10" a="1"/>
  <c r="O112" i="10"/>
  <c r="Q112" i="10" a="1"/>
  <c r="Q112" i="10"/>
  <c r="T26" i="10" a="1"/>
  <c r="T26" i="10"/>
  <c r="L112" i="10" a="1"/>
  <c r="L112" i="10"/>
  <c r="R112" i="10" a="1"/>
  <c r="R112" i="10"/>
  <c r="P112" i="10" a="1"/>
  <c r="P112" i="10"/>
  <c r="N112" i="10" a="1"/>
  <c r="N112" i="10"/>
  <c r="L100" i="10" a="1"/>
  <c r="L100" i="10"/>
  <c r="AD123" i="10"/>
  <c r="N126" i="10" a="1"/>
  <c r="N126" i="10"/>
  <c r="S125" i="10" a="1"/>
  <c r="S125" i="10"/>
  <c r="S36" i="10" a="1"/>
  <c r="S36" i="10"/>
  <c r="E125" i="10" a="1"/>
  <c r="E125" i="10"/>
  <c r="V36" i="10" a="1"/>
  <c r="V36" i="10"/>
  <c r="F125" i="10" a="1"/>
  <c r="F125" i="10"/>
  <c r="V25" i="10" a="1"/>
  <c r="V25" i="10"/>
  <c r="N123" i="10" a="1"/>
  <c r="N123" i="10"/>
  <c r="K123" i="10" a="1"/>
  <c r="K123" i="10"/>
  <c r="M123" i="10" a="1"/>
  <c r="M123" i="10"/>
  <c r="L123" i="10" a="1"/>
  <c r="L123" i="10"/>
  <c r="P123" i="10" a="1"/>
  <c r="P123" i="10"/>
  <c r="R123" i="10" a="1"/>
  <c r="R123" i="10"/>
  <c r="T34" i="10" a="1"/>
  <c r="T34" i="10"/>
  <c r="Q123" i="10" a="1"/>
  <c r="Q123" i="10"/>
  <c r="O123" i="10" a="1"/>
  <c r="O123" i="10"/>
  <c r="E114" i="10" a="1"/>
  <c r="E114" i="10"/>
  <c r="F114" i="10" a="1"/>
  <c r="F114" i="10"/>
  <c r="V28" i="10" a="1"/>
  <c r="V28" i="10"/>
  <c r="M97" i="10" a="1"/>
  <c r="M97" i="10"/>
  <c r="P97" i="10" a="1"/>
  <c r="P97" i="10"/>
  <c r="T14" i="10" a="1"/>
  <c r="T14" i="10"/>
  <c r="N97" i="10" a="1"/>
  <c r="N97" i="10"/>
  <c r="O97" i="10" a="1"/>
  <c r="O97" i="10"/>
  <c r="R97" i="10" a="1"/>
  <c r="R97" i="10"/>
  <c r="I127" i="10" a="1"/>
  <c r="I127" i="10"/>
  <c r="H127" i="10" a="1"/>
  <c r="H127" i="10"/>
  <c r="U38" i="10" a="1"/>
  <c r="U38" i="10"/>
  <c r="G127" i="10" a="1"/>
  <c r="G127" i="10"/>
  <c r="J127" i="10" a="1"/>
  <c r="J127" i="10"/>
  <c r="E123" i="10" a="1"/>
  <c r="E123" i="10"/>
  <c r="V34" i="10" a="1"/>
  <c r="V34" i="10"/>
  <c r="F123" i="10" a="1"/>
  <c r="F123" i="10"/>
  <c r="M113" i="10" a="1"/>
  <c r="M113" i="10"/>
  <c r="Q113" i="10" a="1"/>
  <c r="Q113" i="10"/>
  <c r="O113" i="10" a="1"/>
  <c r="O113" i="10"/>
  <c r="P113" i="10" a="1"/>
  <c r="P113" i="10"/>
  <c r="L113" i="10" a="1"/>
  <c r="L113" i="10"/>
  <c r="K113" i="10" a="1"/>
  <c r="K113" i="10"/>
  <c r="R113" i="10" a="1"/>
  <c r="R113" i="10"/>
  <c r="T27" i="10" a="1"/>
  <c r="T27" i="10"/>
  <c r="N113" i="10" a="1"/>
  <c r="N113" i="10"/>
  <c r="S14" i="10" a="1"/>
  <c r="S14" i="10"/>
  <c r="S97" i="10" a="1"/>
  <c r="S97" i="10"/>
  <c r="S27" i="10" a="1"/>
  <c r="S27" i="10"/>
  <c r="S113" i="10" a="1"/>
  <c r="S113" i="10"/>
  <c r="S124" i="10" a="1"/>
  <c r="S124" i="10"/>
  <c r="S35" i="10" a="1"/>
  <c r="S35" i="10"/>
  <c r="S98" i="10" a="1"/>
  <c r="S98" i="10"/>
  <c r="S15" i="10" a="1"/>
  <c r="S15" i="10"/>
  <c r="E126" i="10" a="1"/>
  <c r="E126" i="10"/>
  <c r="V37" i="10" a="1"/>
  <c r="V37" i="10"/>
  <c r="F126" i="10" a="1"/>
  <c r="F126" i="10"/>
  <c r="AG123" i="10"/>
  <c r="S100" i="10" a="1"/>
  <c r="S100" i="10"/>
  <c r="S17" i="10" a="1"/>
  <c r="S17" i="10"/>
  <c r="E101" i="10" a="1"/>
  <c r="E101" i="10"/>
  <c r="V18" i="10" a="1"/>
  <c r="V18" i="10"/>
  <c r="F101" i="10" a="1"/>
  <c r="F101" i="10" s="1"/>
  <c r="Z123" i="10"/>
  <c r="S32" i="10" a="1"/>
  <c r="S32" i="10"/>
  <c r="S121" i="10" a="1"/>
  <c r="S121" i="10"/>
  <c r="I114" i="10" a="1"/>
  <c r="I114" i="10"/>
  <c r="J114" i="10" a="1"/>
  <c r="J114" i="10"/>
  <c r="H114" i="10" a="1"/>
  <c r="H114" i="10"/>
  <c r="U28" i="10" a="1"/>
  <c r="U28" i="10"/>
  <c r="G114" i="10" a="1"/>
  <c r="G114" i="10"/>
  <c r="I98" i="10" a="1"/>
  <c r="I98" i="10"/>
  <c r="H98" i="10" a="1"/>
  <c r="H98" i="10"/>
  <c r="G98" i="10" a="1"/>
  <c r="G98" i="10"/>
  <c r="J98" i="10" a="1"/>
  <c r="J98" i="10"/>
  <c r="U15" i="10" a="1"/>
  <c r="U15" i="10"/>
  <c r="M127" i="10" a="1"/>
  <c r="M127" i="10"/>
  <c r="T38" i="10" a="1"/>
  <c r="T38" i="10"/>
  <c r="L127" i="10" a="1"/>
  <c r="L127" i="10"/>
  <c r="Q127" i="10" a="1"/>
  <c r="Q127" i="10"/>
  <c r="O127" i="10" a="1"/>
  <c r="O127" i="10"/>
  <c r="P127" i="10" a="1"/>
  <c r="P127" i="10"/>
  <c r="N127" i="10" a="1"/>
  <c r="N127" i="10"/>
  <c r="K127" i="10" a="1"/>
  <c r="K127" i="10"/>
  <c r="R127" i="10" a="1"/>
  <c r="R127" i="10"/>
  <c r="S111" i="10" a="1"/>
  <c r="S111" i="10"/>
  <c r="G112" i="10" a="1"/>
  <c r="G112" i="10"/>
  <c r="U26" i="10" a="1"/>
  <c r="U26" i="10"/>
  <c r="I112" i="10" a="1"/>
  <c r="I112" i="10"/>
  <c r="J112" i="10" a="1"/>
  <c r="J112" i="10"/>
  <c r="H112" i="10" a="1"/>
  <c r="H112" i="10"/>
  <c r="F98" i="10" a="1"/>
  <c r="F98" i="10"/>
  <c r="V15" i="10" a="1"/>
  <c r="V15" i="10"/>
  <c r="Q97" i="10" a="1"/>
  <c r="Q97" i="10"/>
  <c r="S126" i="10" a="1"/>
  <c r="S126" i="10"/>
  <c r="S37" i="10" a="1"/>
  <c r="S37" i="10"/>
  <c r="J121" i="10" a="1"/>
  <c r="J121" i="10"/>
  <c r="I121" i="10" a="1"/>
  <c r="I121" i="10"/>
  <c r="U32" i="10" a="1"/>
  <c r="U32" i="10"/>
  <c r="G121" i="10" a="1"/>
  <c r="G121" i="10"/>
  <c r="H121" i="10" a="1"/>
  <c r="H121" i="10"/>
  <c r="E127" i="10" a="1"/>
  <c r="E127" i="10"/>
  <c r="F127" i="10" a="1"/>
  <c r="F127" i="10"/>
  <c r="V38" i="10" a="1"/>
  <c r="V38" i="10"/>
  <c r="S112" i="10" a="1"/>
  <c r="S112" i="10"/>
  <c r="S26" i="10" a="1"/>
  <c r="S26" i="10"/>
  <c r="L97" i="10" a="1"/>
  <c r="L97" i="10"/>
  <c r="E108" i="10" a="1"/>
  <c r="E108" i="10"/>
  <c r="V22" i="10" a="1"/>
  <c r="V22" i="10"/>
  <c r="F108" i="10" a="1"/>
  <c r="F108" i="10"/>
  <c r="Q121" i="10" a="1"/>
  <c r="Q121" i="10"/>
  <c r="R121" i="10" a="1"/>
  <c r="R121" i="10"/>
  <c r="T32" i="10" a="1"/>
  <c r="T32" i="10"/>
  <c r="O121" i="10" a="1"/>
  <c r="O121" i="10"/>
  <c r="P121" i="10" a="1"/>
  <c r="P121" i="10"/>
  <c r="N121" i="10" a="1"/>
  <c r="N121" i="10"/>
  <c r="K121" i="10" a="1"/>
  <c r="K121" i="10"/>
  <c r="M121" i="10" a="1"/>
  <c r="M121" i="10"/>
  <c r="L121" i="10" a="1"/>
  <c r="L121" i="10"/>
  <c r="V32" i="10" a="1"/>
  <c r="V32" i="10"/>
  <c r="F121" i="10" a="1"/>
  <c r="F121" i="10"/>
  <c r="I95" i="10" a="1"/>
  <c r="I95" i="10"/>
  <c r="U12" i="10" a="1"/>
  <c r="U12" i="10"/>
  <c r="H95" i="10" a="1"/>
  <c r="H95" i="10"/>
  <c r="J95" i="10" a="1"/>
  <c r="J95" i="10"/>
  <c r="G95" i="10" a="1"/>
  <c r="G95" i="10"/>
  <c r="M101" i="10" a="1"/>
  <c r="M101" i="10"/>
  <c r="Q101" i="10" a="1"/>
  <c r="Q101" i="10"/>
  <c r="Q133" i="10" s="1"/>
  <c r="R101" i="10" a="1"/>
  <c r="R101" i="10"/>
  <c r="T18" i="10" a="1"/>
  <c r="T18" i="10"/>
  <c r="P101" i="10" a="1"/>
  <c r="P101" i="10"/>
  <c r="N101" i="10" a="1"/>
  <c r="N101" i="10"/>
  <c r="O101" i="10" a="1"/>
  <c r="O101" i="10"/>
  <c r="L101" i="10" a="1"/>
  <c r="L101" i="10" s="1"/>
  <c r="I123" i="10" a="1"/>
  <c r="I123" i="10"/>
  <c r="H123" i="10" a="1"/>
  <c r="H123" i="10"/>
  <c r="J123" i="10" a="1"/>
  <c r="J123" i="10"/>
  <c r="U34" i="10" a="1"/>
  <c r="U34" i="10"/>
  <c r="G123" i="10" a="1"/>
  <c r="G123" i="10"/>
  <c r="I97" i="10" a="1"/>
  <c r="I97" i="10"/>
  <c r="G97" i="10" a="1"/>
  <c r="G97" i="10"/>
  <c r="H97" i="10" a="1"/>
  <c r="H97" i="10"/>
  <c r="J97" i="10" a="1"/>
  <c r="J97" i="10"/>
  <c r="U14" i="10" a="1"/>
  <c r="U14" i="10"/>
  <c r="Z124" i="10"/>
  <c r="S123" i="10" a="1"/>
  <c r="S123" i="10"/>
  <c r="S34" i="10" a="1"/>
  <c r="S34" i="10"/>
  <c r="F65" i="14"/>
  <c r="C63" i="14"/>
  <c r="F63" i="14"/>
  <c r="D63" i="14"/>
  <c r="G63" i="14"/>
  <c r="D38" i="15"/>
  <c r="D39" i="15" s="1"/>
  <c r="E37" i="4" s="1"/>
  <c r="E14" i="1"/>
  <c r="H13" i="4"/>
  <c r="E44" i="19"/>
  <c r="I43" i="4"/>
  <c r="H22" i="18"/>
  <c r="D44" i="19"/>
  <c r="K22" i="18"/>
  <c r="I64" i="21"/>
  <c r="E9" i="1"/>
  <c r="J19" i="21"/>
  <c r="E23" i="24"/>
  <c r="I10" i="23"/>
  <c r="D23" i="24"/>
  <c r="I23" i="23"/>
  <c r="H22" i="1"/>
  <c r="L22" i="1" s="1"/>
  <c r="J22" i="1"/>
  <c r="M22" i="1" s="1"/>
  <c r="J37" i="23"/>
  <c r="L37" i="23"/>
  <c r="L60" i="21"/>
  <c r="L16" i="21"/>
  <c r="J6" i="1"/>
  <c r="M6" i="1" s="1"/>
  <c r="J7" i="1"/>
  <c r="M7" i="1" s="1"/>
  <c r="I42" i="21"/>
  <c r="D6" i="1"/>
  <c r="L20" i="21"/>
  <c r="J9" i="1"/>
  <c r="M9" i="1"/>
  <c r="H42" i="21"/>
  <c r="H7" i="1"/>
  <c r="L7" i="1" s="1"/>
  <c r="J18" i="21"/>
  <c r="J60" i="21"/>
  <c r="J77" i="21"/>
  <c r="J38" i="21"/>
  <c r="I20" i="21"/>
  <c r="F9" i="1"/>
  <c r="J16" i="21"/>
  <c r="E26" i="19"/>
  <c r="C20" i="19"/>
  <c r="D26" i="19"/>
  <c r="C26" i="19"/>
  <c r="L54" i="15"/>
  <c r="L56" i="15"/>
  <c r="K54" i="15"/>
  <c r="K56" i="15"/>
  <c r="M54" i="15"/>
  <c r="E10" i="4"/>
  <c r="K10" i="4" s="1"/>
  <c r="J54" i="15"/>
  <c r="J56" i="15"/>
  <c r="E10" i="18"/>
  <c r="I10" i="18" s="1"/>
  <c r="F15" i="1" s="1"/>
  <c r="F9" i="20"/>
  <c r="I9" i="20"/>
  <c r="E16" i="5" s="1"/>
  <c r="K16" i="5" s="1"/>
  <c r="E26" i="4"/>
  <c r="L26" i="4" s="1"/>
  <c r="G43" i="4"/>
  <c r="J43" i="4" s="1"/>
  <c r="L43" i="4"/>
  <c r="C44" i="19"/>
  <c r="H35" i="18"/>
  <c r="K35" i="18"/>
  <c r="L29" i="4"/>
  <c r="G29" i="4"/>
  <c r="I29" i="4"/>
  <c r="J29" i="4" s="1"/>
  <c r="H29" i="4"/>
  <c r="L15" i="4"/>
  <c r="L13" i="4"/>
  <c r="E42" i="4"/>
  <c r="I10" i="20"/>
  <c r="E8" i="5" s="1"/>
  <c r="I41" i="4"/>
  <c r="L41" i="4"/>
  <c r="G41" i="4"/>
  <c r="H41" i="4"/>
  <c r="I27" i="4"/>
  <c r="L27" i="4"/>
  <c r="H27" i="4"/>
  <c r="G27" i="4"/>
  <c r="J20" i="21"/>
  <c r="K43" i="21"/>
  <c r="K65" i="21"/>
  <c r="L65" i="21" s="1"/>
  <c r="L28" i="16"/>
  <c r="O28" i="16" s="1"/>
  <c r="K28" i="16"/>
  <c r="K22" i="21"/>
  <c r="L22" i="21" s="1"/>
  <c r="K66" i="21"/>
  <c r="L66" i="21" s="1"/>
  <c r="J64" i="21"/>
  <c r="L134" i="10"/>
  <c r="H134" i="10"/>
  <c r="P134" i="10"/>
  <c r="M134" i="10"/>
  <c r="N134" i="10"/>
  <c r="F134" i="10"/>
  <c r="R134" i="10"/>
  <c r="Q135" i="10"/>
  <c r="H135" i="10"/>
  <c r="Q134" i="10"/>
  <c r="I134" i="10"/>
  <c r="L135" i="10"/>
  <c r="K134" i="10"/>
  <c r="G135" i="10"/>
  <c r="G134" i="10"/>
  <c r="K135" i="10"/>
  <c r="J134" i="10"/>
  <c r="J135" i="10"/>
  <c r="O134" i="10"/>
  <c r="M135" i="10"/>
  <c r="I135" i="10"/>
  <c r="P135" i="10"/>
  <c r="N135" i="10"/>
  <c r="T135" i="10"/>
  <c r="F135" i="10"/>
  <c r="O135" i="10"/>
  <c r="T134" i="10"/>
  <c r="E135" i="10"/>
  <c r="R135" i="10"/>
  <c r="H9" i="1"/>
  <c r="L9" i="1"/>
  <c r="I24" i="23"/>
  <c r="J23" i="23"/>
  <c r="I11" i="23"/>
  <c r="J10" i="23"/>
  <c r="J42" i="21"/>
  <c r="H6" i="1"/>
  <c r="L6" i="1" s="1"/>
  <c r="E23" i="18"/>
  <c r="I23" i="18" s="1"/>
  <c r="G54" i="15"/>
  <c r="G56" i="15"/>
  <c r="H54" i="15"/>
  <c r="H56" i="15"/>
  <c r="I54" i="15"/>
  <c r="I56" i="15"/>
  <c r="E24" i="4"/>
  <c r="L24" i="4"/>
  <c r="F8" i="20"/>
  <c r="I8" i="20"/>
  <c r="E24" i="5"/>
  <c r="K24" i="5" s="1"/>
  <c r="L24" i="5" s="1"/>
  <c r="L25" i="5" s="1"/>
  <c r="L26" i="5" s="1"/>
  <c r="E40" i="4"/>
  <c r="E44" i="4" s="1"/>
  <c r="H10" i="18"/>
  <c r="L10" i="4"/>
  <c r="H10" i="4"/>
  <c r="I10" i="4"/>
  <c r="H26" i="4"/>
  <c r="E30" i="4"/>
  <c r="E36" i="18"/>
  <c r="I36" i="18" s="1"/>
  <c r="E54" i="15"/>
  <c r="AE122" i="10"/>
  <c r="AA122" i="10"/>
  <c r="AG122" i="10"/>
  <c r="X122" i="10"/>
  <c r="AF122" i="10"/>
  <c r="AC122" i="10"/>
  <c r="AB122" i="10"/>
  <c r="AH122" i="10"/>
  <c r="AD122" i="10"/>
  <c r="Z122" i="10"/>
  <c r="L10" i="23"/>
  <c r="J11" i="23"/>
  <c r="F23" i="1"/>
  <c r="L23" i="23"/>
  <c r="J24" i="23"/>
  <c r="F54" i="15"/>
  <c r="F56" i="15"/>
  <c r="E56" i="15"/>
  <c r="E38" i="4"/>
  <c r="H38" i="4" s="1"/>
  <c r="K36" i="18"/>
  <c r="H36" i="18"/>
  <c r="G24" i="4"/>
  <c r="I24" i="4"/>
  <c r="H24" i="4"/>
  <c r="L40" i="4"/>
  <c r="H23" i="18"/>
  <c r="L24" i="23"/>
  <c r="L11" i="23"/>
  <c r="J23" i="1"/>
  <c r="M23" i="1" s="1"/>
  <c r="H23" i="1"/>
  <c r="L23" i="1" s="1"/>
  <c r="L38" i="4"/>
  <c r="I38" i="4"/>
  <c r="G38" i="4"/>
  <c r="L12" i="23" l="1"/>
  <c r="I27" i="23"/>
  <c r="I30" i="23" s="1"/>
  <c r="D54" i="19"/>
  <c r="E54" i="19"/>
  <c r="D108" i="19" s="1"/>
  <c r="C54" i="19"/>
  <c r="H27" i="23"/>
  <c r="H30" i="23" s="1"/>
  <c r="I25" i="21"/>
  <c r="K39" i="18"/>
  <c r="J27" i="23"/>
  <c r="J67" i="21"/>
  <c r="H47" i="21"/>
  <c r="H48" i="21" s="1"/>
  <c r="L25" i="23"/>
  <c r="J44" i="21"/>
  <c r="K26" i="18"/>
  <c r="E8" i="1"/>
  <c r="E10" i="1" s="1"/>
  <c r="H26" i="21"/>
  <c r="L21" i="21"/>
  <c r="H14" i="23"/>
  <c r="J66" i="21"/>
  <c r="L44" i="21"/>
  <c r="J14" i="23"/>
  <c r="J17" i="23" s="1"/>
  <c r="F11" i="2" s="1"/>
  <c r="F62" i="2" s="1"/>
  <c r="L23" i="21"/>
  <c r="L45" i="21"/>
  <c r="K9" i="5"/>
  <c r="K10" i="5" s="1"/>
  <c r="I12" i="1"/>
  <c r="K17" i="5"/>
  <c r="K18" i="5" s="1"/>
  <c r="L16" i="5"/>
  <c r="L17" i="5" s="1"/>
  <c r="L18" i="5" s="1"/>
  <c r="L133" i="10"/>
  <c r="AA121" i="10" s="1"/>
  <c r="K133" i="10"/>
  <c r="AB121" i="10" s="1"/>
  <c r="F36" i="6"/>
  <c r="H36" i="6" s="1"/>
  <c r="Z121" i="10"/>
  <c r="X121" i="10"/>
  <c r="F49" i="6"/>
  <c r="F10" i="6"/>
  <c r="H10" i="6" s="1"/>
  <c r="AH121" i="10"/>
  <c r="J133" i="10"/>
  <c r="AC121" i="10" s="1"/>
  <c r="H101" i="10" a="1"/>
  <c r="H101" i="10" s="1"/>
  <c r="H133" i="10" s="1"/>
  <c r="AE121" i="10" s="1"/>
  <c r="U18" i="10" a="1"/>
  <c r="U18" i="10" s="1"/>
  <c r="I101" i="10" a="1"/>
  <c r="I101" i="10" s="1"/>
  <c r="I133" i="10" s="1"/>
  <c r="G101" i="10" a="1"/>
  <c r="G101" i="10" s="1"/>
  <c r="G133" i="10" s="1"/>
  <c r="AF121" i="10" s="1"/>
  <c r="G25" i="21"/>
  <c r="J24" i="21"/>
  <c r="J39" i="23"/>
  <c r="J40" i="23" s="1"/>
  <c r="K39" i="23"/>
  <c r="G39" i="23"/>
  <c r="G40" i="23" s="1"/>
  <c r="G42" i="23" s="1"/>
  <c r="G43" i="23" s="1"/>
  <c r="I39" i="23"/>
  <c r="I40" i="23" s="1"/>
  <c r="I43" i="23" s="1"/>
  <c r="H39" i="23"/>
  <c r="H40" i="23" s="1"/>
  <c r="K40" i="18"/>
  <c r="J40" i="18"/>
  <c r="J41" i="18" s="1"/>
  <c r="J42" i="18" s="1"/>
  <c r="H24" i="1"/>
  <c r="L24" i="1" s="1"/>
  <c r="L15" i="23"/>
  <c r="J24" i="1" s="1"/>
  <c r="M24" i="1" s="1"/>
  <c r="J16" i="23"/>
  <c r="L16" i="23" s="1"/>
  <c r="J26" i="27"/>
  <c r="I30" i="27"/>
  <c r="J30" i="27" s="1"/>
  <c r="D47" i="2" s="1"/>
  <c r="I27" i="28"/>
  <c r="I26" i="28"/>
  <c r="J28" i="28"/>
  <c r="J42" i="28" s="1"/>
  <c r="K31" i="28"/>
  <c r="K45" i="28" s="1"/>
  <c r="J26" i="28"/>
  <c r="J40" i="28" s="1"/>
  <c r="K29" i="28"/>
  <c r="K43" i="28" s="1"/>
  <c r="K27" i="28"/>
  <c r="K41" i="28" s="1"/>
  <c r="I31" i="28"/>
  <c r="K26" i="28"/>
  <c r="K40" i="28" s="1"/>
  <c r="J30" i="28"/>
  <c r="J44" i="28" s="1"/>
  <c r="I44" i="28" s="1"/>
  <c r="I47" i="27" s="1"/>
  <c r="J47" i="27" s="1"/>
  <c r="K28" i="28"/>
  <c r="K42" i="28" s="1"/>
  <c r="J27" i="28"/>
  <c r="J41" i="28" s="1"/>
  <c r="J31" i="28"/>
  <c r="J45" i="28" s="1"/>
  <c r="I45" i="28" s="1"/>
  <c r="I49" i="27" s="1"/>
  <c r="J49" i="27" s="1"/>
  <c r="J29" i="28"/>
  <c r="J43" i="28" s="1"/>
  <c r="I43" i="28" s="1"/>
  <c r="I46" i="27" s="1"/>
  <c r="J46" i="27" s="1"/>
  <c r="I28" i="28"/>
  <c r="K30" i="28"/>
  <c r="K44" i="28" s="1"/>
  <c r="I30" i="28"/>
  <c r="I29" i="28"/>
  <c r="J41" i="23"/>
  <c r="H42" i="23"/>
  <c r="I33" i="27"/>
  <c r="J33" i="27" s="1"/>
  <c r="D48" i="2" s="1"/>
  <c r="J32" i="27"/>
  <c r="E30" i="28"/>
  <c r="E44" i="28" s="1"/>
  <c r="C30" i="28"/>
  <c r="C29" i="28"/>
  <c r="D26" i="28"/>
  <c r="D40" i="28" s="1"/>
  <c r="C40" i="28" s="1"/>
  <c r="I8" i="27" s="1"/>
  <c r="C27" i="28"/>
  <c r="D28" i="28"/>
  <c r="D42" i="28" s="1"/>
  <c r="D30" i="28"/>
  <c r="D44" i="28" s="1"/>
  <c r="C44" i="28" s="1"/>
  <c r="I11" i="27" s="1"/>
  <c r="J11" i="27" s="1"/>
  <c r="E27" i="28"/>
  <c r="E41" i="28" s="1"/>
  <c r="E29" i="28"/>
  <c r="E43" i="28" s="1"/>
  <c r="C31" i="28"/>
  <c r="E31" i="28"/>
  <c r="E45" i="28" s="1"/>
  <c r="E28" i="28"/>
  <c r="E42" i="28" s="1"/>
  <c r="E26" i="28"/>
  <c r="E40" i="28" s="1"/>
  <c r="C28" i="28"/>
  <c r="D31" i="28"/>
  <c r="D45" i="28" s="1"/>
  <c r="D29" i="28"/>
  <c r="D43" i="28" s="1"/>
  <c r="C43" i="28" s="1"/>
  <c r="I10" i="27" s="1"/>
  <c r="J10" i="27" s="1"/>
  <c r="D27" i="28"/>
  <c r="D41" i="28" s="1"/>
  <c r="J28" i="23"/>
  <c r="J27" i="18"/>
  <c r="J28" i="18" s="1"/>
  <c r="J29" i="18" s="1"/>
  <c r="D87" i="19"/>
  <c r="D88" i="19" s="1"/>
  <c r="D91" i="19" s="1"/>
  <c r="D92" i="19" s="1"/>
  <c r="E25" i="18" s="1"/>
  <c r="I25" i="18" s="1"/>
  <c r="I28" i="18" s="1"/>
  <c r="I29" i="18" s="1"/>
  <c r="C59" i="22"/>
  <c r="K24" i="21" s="1"/>
  <c r="L24" i="21" s="1"/>
  <c r="E91" i="19"/>
  <c r="E92" i="19" s="1"/>
  <c r="E12" i="18" s="1"/>
  <c r="G12" i="18" s="1"/>
  <c r="D17" i="1" s="1"/>
  <c r="G47" i="21"/>
  <c r="G48" i="21" s="1"/>
  <c r="J48" i="21" s="1"/>
  <c r="F40" i="1"/>
  <c r="E40" i="1"/>
  <c r="J20" i="13"/>
  <c r="H14" i="1"/>
  <c r="L14" i="1" s="1"/>
  <c r="M9" i="18"/>
  <c r="J14" i="1" s="1"/>
  <c r="M14" i="1" s="1"/>
  <c r="M26" i="18"/>
  <c r="K14" i="18"/>
  <c r="G10" i="18"/>
  <c r="D15" i="1" s="1"/>
  <c r="K23" i="18"/>
  <c r="L23" i="18"/>
  <c r="L36" i="18"/>
  <c r="L10" i="18"/>
  <c r="I15" i="1" s="1"/>
  <c r="M39" i="18"/>
  <c r="E16" i="4"/>
  <c r="I15" i="4"/>
  <c r="F101" i="15"/>
  <c r="J27" i="4"/>
  <c r="G15" i="4"/>
  <c r="I13" i="4"/>
  <c r="I16" i="4" s="1"/>
  <c r="G40" i="4"/>
  <c r="J40" i="4" s="1"/>
  <c r="K40" i="4"/>
  <c r="I26" i="4"/>
  <c r="I30" i="4" s="1"/>
  <c r="H40" i="4"/>
  <c r="H44" i="4" s="1"/>
  <c r="K26" i="4"/>
  <c r="I40" i="4"/>
  <c r="I44" i="4" s="1"/>
  <c r="F108" i="15"/>
  <c r="G14" i="4" s="1"/>
  <c r="J14" i="4" s="1"/>
  <c r="C139" i="15"/>
  <c r="D47" i="1"/>
  <c r="H24" i="6"/>
  <c r="J24" i="6" s="1"/>
  <c r="F13" i="6"/>
  <c r="F17" i="6" s="1"/>
  <c r="E27" i="1"/>
  <c r="E32" i="1" s="1"/>
  <c r="G52" i="6"/>
  <c r="G56" i="6" s="1"/>
  <c r="H37" i="6"/>
  <c r="J37" i="6" s="1"/>
  <c r="F29" i="1"/>
  <c r="F32" i="1" s="1"/>
  <c r="I32" i="1"/>
  <c r="H50" i="6"/>
  <c r="J50" i="6" s="1"/>
  <c r="J10" i="6"/>
  <c r="J27" i="1" s="1"/>
  <c r="M27" i="1" s="1"/>
  <c r="H27" i="1"/>
  <c r="L27" i="1" s="1"/>
  <c r="E52" i="6"/>
  <c r="H30" i="1"/>
  <c r="L30" i="1" s="1"/>
  <c r="G26" i="6"/>
  <c r="G30" i="6" s="1"/>
  <c r="J36" i="6"/>
  <c r="F39" i="6"/>
  <c r="F43" i="6" s="1"/>
  <c r="H51" i="6"/>
  <c r="J51" i="6" s="1"/>
  <c r="H29" i="1"/>
  <c r="D28" i="1"/>
  <c r="G13" i="6"/>
  <c r="G17" i="6" s="1"/>
  <c r="H11" i="6"/>
  <c r="E25" i="1"/>
  <c r="E26" i="1" s="1"/>
  <c r="H17" i="23"/>
  <c r="H41" i="6"/>
  <c r="E42" i="6"/>
  <c r="E43" i="6" s="1"/>
  <c r="H28" i="6"/>
  <c r="E29" i="6"/>
  <c r="E30" i="6" s="1"/>
  <c r="K27" i="4"/>
  <c r="K13" i="4"/>
  <c r="K41" i="4"/>
  <c r="H10" i="16"/>
  <c r="K38" i="4" s="1"/>
  <c r="K24" i="4"/>
  <c r="F8" i="1"/>
  <c r="F10" i="1" s="1"/>
  <c r="I26" i="21"/>
  <c r="H12" i="18"/>
  <c r="L12" i="18"/>
  <c r="I17" i="1" s="1"/>
  <c r="D31" i="1"/>
  <c r="H15" i="6"/>
  <c r="E16" i="6"/>
  <c r="E17" i="6" s="1"/>
  <c r="H16" i="1"/>
  <c r="L16" i="1" s="1"/>
  <c r="K20" i="16"/>
  <c r="C65" i="28"/>
  <c r="H15" i="16"/>
  <c r="H69" i="21"/>
  <c r="H70" i="21" s="1"/>
  <c r="G23" i="18"/>
  <c r="G26" i="4"/>
  <c r="J26" i="4" s="1"/>
  <c r="G12" i="4"/>
  <c r="J25" i="21"/>
  <c r="G106" i="15"/>
  <c r="D68" i="28"/>
  <c r="D74" i="28" s="1"/>
  <c r="C69" i="28"/>
  <c r="G10" i="4"/>
  <c r="G128" i="15"/>
  <c r="J38" i="4"/>
  <c r="L43" i="21"/>
  <c r="C66" i="28"/>
  <c r="E65" i="28"/>
  <c r="C68" i="28"/>
  <c r="C74" i="28" s="1"/>
  <c r="G102" i="15"/>
  <c r="G69" i="21"/>
  <c r="G36" i="18"/>
  <c r="H30" i="4"/>
  <c r="J15" i="4"/>
  <c r="K13" i="18"/>
  <c r="H18" i="1" s="1"/>
  <c r="L18" i="1" s="1"/>
  <c r="D65" i="28"/>
  <c r="C67" i="28"/>
  <c r="C57" i="22"/>
  <c r="K68" i="21" s="1"/>
  <c r="L68" i="21" s="1"/>
  <c r="L69" i="21" s="1"/>
  <c r="L70" i="21" s="1"/>
  <c r="C42" i="2" s="1"/>
  <c r="J10" i="4"/>
  <c r="K10" i="18"/>
  <c r="H15" i="1" s="1"/>
  <c r="L15" i="1" s="1"/>
  <c r="D69" i="28"/>
  <c r="D75" i="28" s="1"/>
  <c r="E68" i="28"/>
  <c r="E74" i="28" s="1"/>
  <c r="E69" i="28"/>
  <c r="E85" i="28" s="1"/>
  <c r="I18" i="27" s="1"/>
  <c r="J18" i="27" s="1"/>
  <c r="I69" i="21"/>
  <c r="I70" i="21" s="1"/>
  <c r="C58" i="22"/>
  <c r="K46" i="21" s="1"/>
  <c r="L46" i="21" s="1"/>
  <c r="J24" i="4"/>
  <c r="J41" i="4"/>
  <c r="J45" i="21"/>
  <c r="G29" i="23"/>
  <c r="G30" i="23" s="1"/>
  <c r="C155" i="10"/>
  <c r="E54" i="6" s="1"/>
  <c r="G16" i="23"/>
  <c r="G17" i="23" s="1"/>
  <c r="D25" i="1"/>
  <c r="D26" i="1" s="1"/>
  <c r="G28" i="4"/>
  <c r="G42" i="4"/>
  <c r="H8" i="1"/>
  <c r="J26" i="21"/>
  <c r="I17" i="23"/>
  <c r="F25" i="1"/>
  <c r="F26" i="1" s="1"/>
  <c r="J47" i="21"/>
  <c r="G38" i="18"/>
  <c r="H38" i="18"/>
  <c r="H41" i="18" s="1"/>
  <c r="H42" i="18" s="1"/>
  <c r="K38" i="18"/>
  <c r="K41" i="18" s="1"/>
  <c r="K42" i="18" s="1"/>
  <c r="D9" i="2" s="1"/>
  <c r="L38" i="18"/>
  <c r="I38" i="18"/>
  <c r="I41" i="18" s="1"/>
  <c r="I42" i="18" s="1"/>
  <c r="L38" i="23"/>
  <c r="L13" i="23"/>
  <c r="M13" i="18"/>
  <c r="J18" i="1" s="1"/>
  <c r="M18" i="1" s="1"/>
  <c r="K27" i="23"/>
  <c r="K30" i="23" s="1"/>
  <c r="L30" i="23" s="1"/>
  <c r="E15" i="1"/>
  <c r="L26" i="23"/>
  <c r="K14" i="23"/>
  <c r="K25" i="21"/>
  <c r="K25" i="5"/>
  <c r="K26" i="5" s="1"/>
  <c r="D60" i="14"/>
  <c r="G60" i="14"/>
  <c r="C60" i="14"/>
  <c r="E60" i="14"/>
  <c r="F60" i="14"/>
  <c r="I14" i="13"/>
  <c r="E142" i="14"/>
  <c r="E16" i="13"/>
  <c r="D38" i="1" s="1"/>
  <c r="I33" i="13"/>
  <c r="E35" i="13"/>
  <c r="D59" i="14"/>
  <c r="E59" i="14"/>
  <c r="F59" i="14"/>
  <c r="G59" i="14"/>
  <c r="C59" i="14"/>
  <c r="I43" i="13"/>
  <c r="G57" i="14"/>
  <c r="D57" i="14"/>
  <c r="E57" i="14"/>
  <c r="C57" i="14"/>
  <c r="F57" i="14"/>
  <c r="F70" i="14" s="1"/>
  <c r="I27" i="13" s="1"/>
  <c r="K27" i="13" s="1"/>
  <c r="I26" i="13"/>
  <c r="K26" i="13" s="1"/>
  <c r="I47" i="13"/>
  <c r="E49" i="13"/>
  <c r="I15" i="13"/>
  <c r="K15" i="13" s="1"/>
  <c r="E143" i="14"/>
  <c r="K51" i="13"/>
  <c r="I52" i="13"/>
  <c r="G62" i="14"/>
  <c r="E62" i="14"/>
  <c r="C62" i="14"/>
  <c r="D62" i="14"/>
  <c r="F62" i="14"/>
  <c r="I17" i="13"/>
  <c r="E19" i="13"/>
  <c r="G66" i="14"/>
  <c r="F66" i="14"/>
  <c r="D66" i="14"/>
  <c r="E66" i="14"/>
  <c r="C66" i="14"/>
  <c r="D143" i="14"/>
  <c r="I31" i="13"/>
  <c r="E32" i="13"/>
  <c r="I10" i="13"/>
  <c r="D65" i="14"/>
  <c r="I48" i="13"/>
  <c r="K48" i="13" s="1"/>
  <c r="G65" i="14"/>
  <c r="G70" i="14" s="1"/>
  <c r="E11" i="13" s="1"/>
  <c r="L23" i="4"/>
  <c r="L25" i="4" s="1"/>
  <c r="K23" i="4"/>
  <c r="H23" i="4"/>
  <c r="H25" i="4" s="1"/>
  <c r="I23" i="4"/>
  <c r="I25" i="4" s="1"/>
  <c r="I31" i="4" s="1"/>
  <c r="E25" i="4"/>
  <c r="E31" i="4" s="1"/>
  <c r="G23" i="4"/>
  <c r="K37" i="4"/>
  <c r="K39" i="4" s="1"/>
  <c r="G37" i="4"/>
  <c r="H37" i="4"/>
  <c r="H39" i="4" s="1"/>
  <c r="H45" i="4" s="1"/>
  <c r="L37" i="4"/>
  <c r="L39" i="4" s="1"/>
  <c r="I37" i="4"/>
  <c r="I39" i="4" s="1"/>
  <c r="I45" i="4" s="1"/>
  <c r="E39" i="4"/>
  <c r="E45" i="4" s="1"/>
  <c r="H9" i="4"/>
  <c r="H11" i="4" s="1"/>
  <c r="H17" i="4" s="1"/>
  <c r="E11" i="1" s="1"/>
  <c r="E13" i="1" s="1"/>
  <c r="I9" i="4"/>
  <c r="I11" i="4" s="1"/>
  <c r="I17" i="4" s="1"/>
  <c r="F11" i="1" s="1"/>
  <c r="F13" i="1" s="1"/>
  <c r="K9" i="4"/>
  <c r="K11" i="4" s="1"/>
  <c r="G9" i="4"/>
  <c r="L9" i="4"/>
  <c r="L11" i="4" s="1"/>
  <c r="E11" i="4"/>
  <c r="E17" i="4" s="1"/>
  <c r="L41" i="18" l="1"/>
  <c r="L42" i="18" s="1"/>
  <c r="K25" i="4"/>
  <c r="M36" i="18"/>
  <c r="G108" i="15"/>
  <c r="K28" i="4" s="1"/>
  <c r="L28" i="4" s="1"/>
  <c r="L30" i="4" s="1"/>
  <c r="L31" i="4" s="1"/>
  <c r="D43" i="2" s="1"/>
  <c r="I12" i="18"/>
  <c r="F17" i="1" s="1"/>
  <c r="F20" i="1" s="1"/>
  <c r="F41" i="1" s="1"/>
  <c r="F42" i="1" s="1"/>
  <c r="L25" i="21"/>
  <c r="J8" i="1" s="1"/>
  <c r="J10" i="1" s="1"/>
  <c r="I20" i="1"/>
  <c r="H25" i="1"/>
  <c r="D20" i="1"/>
  <c r="K47" i="21"/>
  <c r="K48" i="21" s="1"/>
  <c r="M23" i="18"/>
  <c r="J69" i="21"/>
  <c r="J78" i="21" s="1"/>
  <c r="J79" i="21" s="1"/>
  <c r="J80" i="21" s="1"/>
  <c r="C7" i="2" s="1"/>
  <c r="C26" i="2" s="1"/>
  <c r="F23" i="6"/>
  <c r="AD121" i="10"/>
  <c r="F52" i="6"/>
  <c r="F56" i="6" s="1"/>
  <c r="H49" i="6"/>
  <c r="J49" i="6" s="1"/>
  <c r="H25" i="18"/>
  <c r="H28" i="18" s="1"/>
  <c r="H29" i="18" s="1"/>
  <c r="L28" i="23"/>
  <c r="J29" i="23"/>
  <c r="G25" i="18"/>
  <c r="G28" i="18" s="1"/>
  <c r="G29" i="18" s="1"/>
  <c r="L15" i="18"/>
  <c r="K25" i="18"/>
  <c r="K28" i="18" s="1"/>
  <c r="K29" i="18" s="1"/>
  <c r="E9" i="2" s="1"/>
  <c r="C41" i="28"/>
  <c r="I14" i="27" s="1"/>
  <c r="L39" i="23"/>
  <c r="K40" i="23"/>
  <c r="K43" i="23" s="1"/>
  <c r="L25" i="18"/>
  <c r="L28" i="18" s="1"/>
  <c r="L29" i="18" s="1"/>
  <c r="C45" i="28"/>
  <c r="I13" i="27" s="1"/>
  <c r="J13" i="27" s="1"/>
  <c r="I40" i="28"/>
  <c r="I44" i="27" s="1"/>
  <c r="J8" i="27"/>
  <c r="I12" i="27"/>
  <c r="C42" i="28"/>
  <c r="I9" i="27" s="1"/>
  <c r="J9" i="27" s="1"/>
  <c r="H43" i="23"/>
  <c r="I41" i="28"/>
  <c r="I50" i="27" s="1"/>
  <c r="F30" i="2"/>
  <c r="L41" i="23"/>
  <c r="J42" i="23"/>
  <c r="L42" i="23" s="1"/>
  <c r="I42" i="28"/>
  <c r="I45" i="27" s="1"/>
  <c r="J45" i="27" s="1"/>
  <c r="D8" i="1"/>
  <c r="D10" i="1" s="1"/>
  <c r="G26" i="21"/>
  <c r="H19" i="1"/>
  <c r="L19" i="1" s="1"/>
  <c r="G19" i="1"/>
  <c r="G20" i="1" s="1"/>
  <c r="G41" i="1" s="1"/>
  <c r="G42" i="1" s="1"/>
  <c r="M14" i="18"/>
  <c r="J19" i="1" s="1"/>
  <c r="M19" i="1" s="1"/>
  <c r="G16" i="18"/>
  <c r="J13" i="4"/>
  <c r="H39" i="6"/>
  <c r="D32" i="1"/>
  <c r="H52" i="6"/>
  <c r="J11" i="6"/>
  <c r="D184" i="10" s="1"/>
  <c r="H28" i="1"/>
  <c r="H13" i="6"/>
  <c r="J29" i="1"/>
  <c r="M29" i="1" s="1"/>
  <c r="L29" i="1"/>
  <c r="K14" i="4"/>
  <c r="L14" i="4" s="1"/>
  <c r="L16" i="4" s="1"/>
  <c r="L17" i="4" s="1"/>
  <c r="J11" i="1" s="1"/>
  <c r="M11" i="1" s="1"/>
  <c r="K42" i="4"/>
  <c r="M10" i="18"/>
  <c r="J15" i="1" s="1"/>
  <c r="M15" i="1" s="1"/>
  <c r="E17" i="1"/>
  <c r="E20" i="1" s="1"/>
  <c r="E41" i="1" s="1"/>
  <c r="E42" i="1" s="1"/>
  <c r="H15" i="18"/>
  <c r="H16" i="18" s="1"/>
  <c r="J12" i="4"/>
  <c r="G16" i="4"/>
  <c r="J16" i="4" s="1"/>
  <c r="I15" i="18"/>
  <c r="I16" i="18" s="1"/>
  <c r="H54" i="6"/>
  <c r="E55" i="6"/>
  <c r="E56" i="6" s="1"/>
  <c r="J28" i="6"/>
  <c r="H29" i="6"/>
  <c r="G70" i="21"/>
  <c r="J70" i="21" s="1"/>
  <c r="D7" i="2" s="1"/>
  <c r="K12" i="18"/>
  <c r="H17" i="1" s="1"/>
  <c r="E83" i="28"/>
  <c r="I16" i="27" s="1"/>
  <c r="E84" i="28"/>
  <c r="I17" i="27" s="1"/>
  <c r="J17" i="27" s="1"/>
  <c r="K69" i="21"/>
  <c r="K70" i="21" s="1"/>
  <c r="L27" i="23"/>
  <c r="D85" i="28"/>
  <c r="I36" i="27" s="1"/>
  <c r="J36" i="27" s="1"/>
  <c r="C75" i="28"/>
  <c r="C85" i="28" s="1"/>
  <c r="I54" i="27" s="1"/>
  <c r="J54" i="27" s="1"/>
  <c r="J41" i="6"/>
  <c r="H42" i="6"/>
  <c r="H31" i="4"/>
  <c r="K15" i="4"/>
  <c r="K16" i="4" s="1"/>
  <c r="K17" i="4" s="1"/>
  <c r="I11" i="1" s="1"/>
  <c r="I13" i="1" s="1"/>
  <c r="K43" i="4"/>
  <c r="K29" i="4"/>
  <c r="H16" i="6"/>
  <c r="H31" i="1"/>
  <c r="J15" i="6"/>
  <c r="J31" i="1" s="1"/>
  <c r="L25" i="1"/>
  <c r="H26" i="1"/>
  <c r="L26" i="1" s="1"/>
  <c r="L47" i="21"/>
  <c r="L48" i="21" s="1"/>
  <c r="D42" i="2" s="1"/>
  <c r="D84" i="28"/>
  <c r="I35" i="27" s="1"/>
  <c r="D83" i="28"/>
  <c r="L8" i="1"/>
  <c r="H10" i="1"/>
  <c r="L10" i="1" s="1"/>
  <c r="D60" i="2"/>
  <c r="D28" i="2"/>
  <c r="J42" i="4"/>
  <c r="L42" i="4"/>
  <c r="L44" i="4" s="1"/>
  <c r="L45" i="4" s="1"/>
  <c r="C43" i="2" s="1"/>
  <c r="G44" i="4"/>
  <c r="J44" i="4" s="1"/>
  <c r="E7" i="2"/>
  <c r="K15" i="18"/>
  <c r="M15" i="18" s="1"/>
  <c r="J12" i="1"/>
  <c r="M12" i="1" s="1"/>
  <c r="L9" i="5"/>
  <c r="L10" i="5" s="1"/>
  <c r="G30" i="4"/>
  <c r="J30" i="4" s="1"/>
  <c r="J28" i="4"/>
  <c r="M38" i="18"/>
  <c r="M41" i="18" s="1"/>
  <c r="M42" i="18" s="1"/>
  <c r="C44" i="2" s="1"/>
  <c r="G41" i="18"/>
  <c r="G42" i="18" s="1"/>
  <c r="F7" i="2"/>
  <c r="I8" i="1"/>
  <c r="I10" i="1" s="1"/>
  <c r="K26" i="21"/>
  <c r="L14" i="23"/>
  <c r="J25" i="1" s="1"/>
  <c r="I25" i="1"/>
  <c r="I26" i="1" s="1"/>
  <c r="K17" i="23"/>
  <c r="L17" i="23" s="1"/>
  <c r="L16" i="18"/>
  <c r="I11" i="13"/>
  <c r="K11" i="13" s="1"/>
  <c r="E13" i="13"/>
  <c r="D37" i="1" s="1"/>
  <c r="I29" i="13"/>
  <c r="D39" i="1"/>
  <c r="K14" i="13"/>
  <c r="K16" i="13" s="1"/>
  <c r="J38" i="1" s="1"/>
  <c r="I16" i="13"/>
  <c r="H38" i="1" s="1"/>
  <c r="C70" i="14"/>
  <c r="K17" i="13"/>
  <c r="I19" i="13"/>
  <c r="E70" i="14"/>
  <c r="C142" i="14"/>
  <c r="K47" i="13"/>
  <c r="K49" i="13" s="1"/>
  <c r="I49" i="13"/>
  <c r="D70" i="14"/>
  <c r="C144" i="14"/>
  <c r="K52" i="13"/>
  <c r="I32" i="13"/>
  <c r="K31" i="13"/>
  <c r="K32" i="13" s="1"/>
  <c r="K10" i="13"/>
  <c r="K43" i="13"/>
  <c r="K33" i="13"/>
  <c r="I35" i="13"/>
  <c r="J9" i="4"/>
  <c r="G11" i="4"/>
  <c r="J37" i="4"/>
  <c r="G39" i="4"/>
  <c r="G25" i="4"/>
  <c r="J23" i="4"/>
  <c r="L26" i="21" l="1"/>
  <c r="M8" i="1"/>
  <c r="M25" i="18"/>
  <c r="M28" i="18" s="1"/>
  <c r="M29" i="18" s="1"/>
  <c r="D44" i="2" s="1"/>
  <c r="K16" i="18"/>
  <c r="F9" i="2" s="1"/>
  <c r="F60" i="2" s="1"/>
  <c r="C58" i="2"/>
  <c r="L40" i="23"/>
  <c r="M12" i="18"/>
  <c r="J17" i="1" s="1"/>
  <c r="M17" i="1" s="1"/>
  <c r="H23" i="6"/>
  <c r="J23" i="6" s="1"/>
  <c r="F26" i="6"/>
  <c r="H26" i="6" s="1"/>
  <c r="J52" i="6"/>
  <c r="H56" i="6"/>
  <c r="J43" i="23"/>
  <c r="K50" i="18"/>
  <c r="C9" i="2" s="1"/>
  <c r="D18" i="2" s="1"/>
  <c r="I48" i="27"/>
  <c r="J48" i="27" s="1"/>
  <c r="C47" i="2" s="1"/>
  <c r="J44" i="27"/>
  <c r="C47" i="28"/>
  <c r="I51" i="27"/>
  <c r="J51" i="27" s="1"/>
  <c r="C48" i="2" s="1"/>
  <c r="J50" i="27"/>
  <c r="J30" i="23"/>
  <c r="L29" i="23"/>
  <c r="J14" i="27"/>
  <c r="I15" i="27"/>
  <c r="J12" i="27"/>
  <c r="J33" i="1" s="1"/>
  <c r="I33" i="1"/>
  <c r="E20" i="13"/>
  <c r="K44" i="4"/>
  <c r="K45" i="4" s="1"/>
  <c r="J13" i="6"/>
  <c r="H17" i="6"/>
  <c r="J26" i="6"/>
  <c r="H30" i="6"/>
  <c r="J39" i="6"/>
  <c r="H43" i="6"/>
  <c r="L28" i="1"/>
  <c r="J28" i="1"/>
  <c r="M28" i="1" s="1"/>
  <c r="J29" i="6"/>
  <c r="J42" i="6"/>
  <c r="C84" i="28"/>
  <c r="I53" i="27" s="1"/>
  <c r="J53" i="27" s="1"/>
  <c r="M31" i="1"/>
  <c r="J16" i="27"/>
  <c r="I19" i="27"/>
  <c r="C83" i="28"/>
  <c r="I52" i="27" s="1"/>
  <c r="H32" i="1"/>
  <c r="L32" i="1" s="1"/>
  <c r="L31" i="1"/>
  <c r="J13" i="1"/>
  <c r="M13" i="1" s="1"/>
  <c r="J35" i="27"/>
  <c r="I37" i="27"/>
  <c r="J16" i="6"/>
  <c r="H55" i="6"/>
  <c r="J54" i="6"/>
  <c r="K30" i="4"/>
  <c r="K31" i="4" s="1"/>
  <c r="E58" i="2"/>
  <c r="E16" i="2"/>
  <c r="E26" i="2"/>
  <c r="D58" i="2"/>
  <c r="D26" i="2"/>
  <c r="D16" i="2"/>
  <c r="F58" i="2"/>
  <c r="F26" i="2"/>
  <c r="F16" i="2"/>
  <c r="E60" i="2"/>
  <c r="E28" i="2"/>
  <c r="L17" i="1"/>
  <c r="H20" i="1"/>
  <c r="L20" i="1" s="1"/>
  <c r="M25" i="1"/>
  <c r="J26" i="1"/>
  <c r="M10" i="1"/>
  <c r="E42" i="2"/>
  <c r="I13" i="13"/>
  <c r="E141" i="14" s="1"/>
  <c r="D141" i="14"/>
  <c r="K29" i="13"/>
  <c r="E27" i="13"/>
  <c r="E29" i="13" s="1"/>
  <c r="E36" i="13" s="1"/>
  <c r="E44" i="13"/>
  <c r="K19" i="13"/>
  <c r="E144" i="14"/>
  <c r="H39" i="1"/>
  <c r="I20" i="13"/>
  <c r="K35" i="13"/>
  <c r="I36" i="13"/>
  <c r="D144" i="14"/>
  <c r="D40" i="1"/>
  <c r="H37" i="1"/>
  <c r="K13" i="13"/>
  <c r="J37" i="1" s="1"/>
  <c r="J39" i="4"/>
  <c r="G45" i="4"/>
  <c r="J45" i="4" s="1"/>
  <c r="D8" i="2" s="1"/>
  <c r="G17" i="4"/>
  <c r="J11" i="4"/>
  <c r="J25" i="4"/>
  <c r="G31" i="4"/>
  <c r="J31" i="4" s="1"/>
  <c r="F28" i="2" l="1"/>
  <c r="M16" i="18"/>
  <c r="F18" i="2"/>
  <c r="E18" i="2"/>
  <c r="C60" i="2"/>
  <c r="J20" i="1"/>
  <c r="M20" i="1" s="1"/>
  <c r="E44" i="2"/>
  <c r="M33" i="1"/>
  <c r="E47" i="2"/>
  <c r="J15" i="27"/>
  <c r="J34" i="1" s="1"/>
  <c r="I34" i="1"/>
  <c r="C28" i="2"/>
  <c r="E11" i="2"/>
  <c r="D44" i="25"/>
  <c r="D46" i="2"/>
  <c r="D11" i="2"/>
  <c r="L43" i="23"/>
  <c r="C46" i="2" s="1"/>
  <c r="E43" i="2"/>
  <c r="J32" i="1"/>
  <c r="M32" i="1" s="1"/>
  <c r="J55" i="6"/>
  <c r="I55" i="27"/>
  <c r="J52" i="27"/>
  <c r="D47" i="28"/>
  <c r="J17" i="6"/>
  <c r="F10" i="2"/>
  <c r="I20" i="27"/>
  <c r="J20" i="27" s="1"/>
  <c r="J19" i="27"/>
  <c r="J35" i="1" s="1"/>
  <c r="I35" i="1"/>
  <c r="I36" i="1" s="1"/>
  <c r="I41" i="1" s="1"/>
  <c r="I42" i="1" s="1"/>
  <c r="D10" i="2"/>
  <c r="J43" i="6"/>
  <c r="C45" i="2" s="1"/>
  <c r="I38" i="27"/>
  <c r="J38" i="27" s="1"/>
  <c r="J37" i="27"/>
  <c r="D49" i="2" s="1"/>
  <c r="J30" i="6"/>
  <c r="D45" i="2" s="1"/>
  <c r="E10" i="2"/>
  <c r="D59" i="2"/>
  <c r="E46" i="2"/>
  <c r="M26" i="1"/>
  <c r="E145" i="14"/>
  <c r="H40" i="1"/>
  <c r="I44" i="13"/>
  <c r="E46" i="13"/>
  <c r="E53" i="13" s="1"/>
  <c r="J39" i="1"/>
  <c r="K20" i="13"/>
  <c r="K43" i="2" s="1"/>
  <c r="K60" i="2" s="1"/>
  <c r="K36" i="13"/>
  <c r="J43" i="2" s="1"/>
  <c r="J60" i="2" s="1"/>
  <c r="D145" i="14"/>
  <c r="D11" i="1"/>
  <c r="D13" i="1" s="1"/>
  <c r="D41" i="1" s="1"/>
  <c r="J17" i="4"/>
  <c r="D27" i="2"/>
  <c r="J53" i="4"/>
  <c r="C8" i="2" s="1"/>
  <c r="E8" i="2"/>
  <c r="D50" i="2" l="1"/>
  <c r="D12" i="2"/>
  <c r="C11" i="2"/>
  <c r="E62" i="2"/>
  <c r="E30" i="2"/>
  <c r="E20" i="2"/>
  <c r="E48" i="2"/>
  <c r="M34" i="1"/>
  <c r="D62" i="2"/>
  <c r="D30" i="2"/>
  <c r="D20" i="2"/>
  <c r="E45" i="2"/>
  <c r="E61" i="2"/>
  <c r="E29" i="2"/>
  <c r="F61" i="2"/>
  <c r="F29" i="2"/>
  <c r="D61" i="2"/>
  <c r="D29" i="2"/>
  <c r="J55" i="27"/>
  <c r="C49" i="2" s="1"/>
  <c r="C50" i="2" s="1"/>
  <c r="I56" i="27"/>
  <c r="J56" i="27" s="1"/>
  <c r="E49" i="2"/>
  <c r="M35" i="1"/>
  <c r="J36" i="1"/>
  <c r="J56" i="6"/>
  <c r="C10" i="2"/>
  <c r="C12" i="2" s="1"/>
  <c r="I42" i="2"/>
  <c r="E59" i="2"/>
  <c r="D17" i="2"/>
  <c r="C59" i="2"/>
  <c r="K44" i="13"/>
  <c r="I46" i="13"/>
  <c r="J40" i="1"/>
  <c r="D31" i="2"/>
  <c r="E27" i="2"/>
  <c r="E17" i="2"/>
  <c r="E12" i="2"/>
  <c r="F8" i="2"/>
  <c r="H11" i="1"/>
  <c r="C27" i="2"/>
  <c r="D42" i="1"/>
  <c r="D63" i="2" l="1"/>
  <c r="C62" i="2"/>
  <c r="C30" i="2"/>
  <c r="F20" i="2"/>
  <c r="E50" i="2"/>
  <c r="E52" i="2" s="1"/>
  <c r="E63" i="2"/>
  <c r="F19" i="2"/>
  <c r="C61" i="2"/>
  <c r="C29" i="2"/>
  <c r="D19" i="2"/>
  <c r="E19" i="2"/>
  <c r="M36" i="1"/>
  <c r="J41" i="1"/>
  <c r="F59" i="2"/>
  <c r="F63" i="2" s="1"/>
  <c r="J42" i="2"/>
  <c r="I59" i="2"/>
  <c r="C141" i="14"/>
  <c r="C145" i="14" s="1"/>
  <c r="K46" i="13"/>
  <c r="K53" i="13" s="1"/>
  <c r="I43" i="2" s="1"/>
  <c r="I60" i="2" s="1"/>
  <c r="I53" i="13"/>
  <c r="M40" i="1"/>
  <c r="C31" i="2"/>
  <c r="F27" i="2"/>
  <c r="F12" i="2"/>
  <c r="F17" i="2"/>
  <c r="E31" i="2"/>
  <c r="E21" i="2"/>
  <c r="D21" i="2"/>
  <c r="L11" i="1"/>
  <c r="H13" i="1"/>
  <c r="C63" i="2" l="1"/>
  <c r="I44" i="2"/>
  <c r="I61" i="2" s="1"/>
  <c r="P10" i="1"/>
  <c r="P28" i="1"/>
  <c r="P18" i="1"/>
  <c r="P6" i="1"/>
  <c r="P9" i="1"/>
  <c r="I43" i="1"/>
  <c r="P17" i="1"/>
  <c r="P23" i="1"/>
  <c r="P8" i="1"/>
  <c r="P11" i="1"/>
  <c r="P16" i="1"/>
  <c r="P41" i="1"/>
  <c r="P25" i="1"/>
  <c r="P21" i="1"/>
  <c r="P15" i="1"/>
  <c r="P35" i="1"/>
  <c r="P29" i="1"/>
  <c r="P32" i="1"/>
  <c r="P24" i="1"/>
  <c r="P22" i="1"/>
  <c r="P19" i="1"/>
  <c r="P13" i="1"/>
  <c r="P31" i="1"/>
  <c r="P26" i="1"/>
  <c r="P14" i="1"/>
  <c r="P27" i="1"/>
  <c r="P7" i="1"/>
  <c r="P33" i="1"/>
  <c r="P20" i="1"/>
  <c r="P30" i="1"/>
  <c r="P34" i="1"/>
  <c r="M41" i="1"/>
  <c r="P12" i="1"/>
  <c r="P36" i="1"/>
  <c r="J42" i="1"/>
  <c r="M42" i="1" s="1"/>
  <c r="K42" i="2"/>
  <c r="J59" i="2"/>
  <c r="J44" i="2"/>
  <c r="J61" i="2" s="1"/>
  <c r="H41" i="1"/>
  <c r="O13" i="1" s="1"/>
  <c r="L13" i="1"/>
  <c r="F31" i="2"/>
  <c r="H31" i="2" s="1"/>
  <c r="F21" i="2"/>
  <c r="K59" i="2" l="1"/>
  <c r="K44" i="2"/>
  <c r="K61" i="2" s="1"/>
  <c r="O32" i="1"/>
  <c r="O30" i="1"/>
  <c r="O35" i="1"/>
  <c r="O33" i="1"/>
  <c r="O36" i="1"/>
  <c r="O22" i="1"/>
  <c r="O41" i="1"/>
  <c r="O7" i="1"/>
  <c r="O14" i="1"/>
  <c r="O28" i="1"/>
  <c r="J71" i="14"/>
  <c r="O8" i="1"/>
  <c r="O25" i="1"/>
  <c r="G44" i="1"/>
  <c r="O16" i="1"/>
  <c r="O29" i="1"/>
  <c r="O20" i="1"/>
  <c r="O18" i="1"/>
  <c r="H42" i="1"/>
  <c r="O27" i="1"/>
  <c r="O21" i="1"/>
  <c r="O17" i="1"/>
  <c r="H43" i="1"/>
  <c r="J43" i="1" s="1"/>
  <c r="O10" i="1"/>
  <c r="O19" i="1"/>
  <c r="O15" i="1"/>
  <c r="O23" i="1"/>
  <c r="O34" i="1"/>
  <c r="O31" i="1"/>
  <c r="O24" i="1"/>
  <c r="O26" i="1"/>
  <c r="O12" i="1"/>
  <c r="O6" i="1"/>
  <c r="O9" i="1"/>
  <c r="L41" i="1"/>
  <c r="E44" i="1"/>
  <c r="F44" i="1"/>
  <c r="D44" i="1"/>
  <c r="O11" i="1"/>
  <c r="K63" i="2" l="1"/>
  <c r="K62" i="2"/>
  <c r="H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E5" authorId="0" shapeId="0" xr:uid="{CB89900D-DAF4-4AA6-A8AB-647FC60F7999}">
      <text>
        <r>
          <rPr>
            <sz val="9"/>
            <color indexed="81"/>
            <rFont val="Tahoma"/>
            <family val="2"/>
          </rPr>
          <t xml:space="preserve">CH4 émissions en tCO2eq
</t>
        </r>
      </text>
    </comment>
    <comment ref="F5" authorId="0" shapeId="0" xr:uid="{8C3ACE55-AC69-4B3D-9D27-A382043CA9EC}">
      <text>
        <r>
          <rPr>
            <sz val="9"/>
            <color indexed="81"/>
            <rFont val="Tahoma"/>
            <family val="2"/>
          </rPr>
          <t xml:space="preserve">N20 émissions en tCO2eq
</t>
        </r>
      </text>
    </comment>
    <comment ref="G5" authorId="0" shapeId="0" xr:uid="{B381EA9E-6AA3-450E-A75B-72EC4CEC8E14}">
      <text>
        <r>
          <rPr>
            <sz val="9"/>
            <color indexed="81"/>
            <rFont val="Tahoma"/>
            <family val="2"/>
          </rPr>
          <t xml:space="preserve">COV = composés organiques volatiles
</t>
        </r>
      </text>
    </comment>
    <comment ref="C8" authorId="0" shapeId="0" xr:uid="{E944402E-6766-49CE-9C3D-AA156326AB21}">
      <text>
        <r>
          <rPr>
            <sz val="9"/>
            <color indexed="81"/>
            <rFont val="Tahoma"/>
            <family val="2"/>
          </rPr>
          <t>Aérodrômes vaudois, carburants militaire et navigation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B16" authorId="0" shapeId="0" xr:uid="{183626C1-363E-4FBC-9BEA-0E77FE25ADE1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T02.04.11.06.01</t>
        </r>
      </text>
    </comment>
    <comment ref="B53" authorId="0" shapeId="0" xr:uid="{0DB5A58C-EC8B-4E36-8702-259DB9BD0285}">
      <text>
        <r>
          <rPr>
            <sz val="9"/>
            <color indexed="81"/>
            <rFont val="Tahoma"/>
            <family val="2"/>
          </rPr>
          <t xml:space="preserve"> inclus dans Transport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73" authorId="0" shapeId="0" xr:uid="{4E68CFE7-2597-4A70-97DC-FC76CDEC52B5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car inclus dans Transport</t>
        </r>
      </text>
    </comment>
    <comment ref="I76" authorId="0" shapeId="0" xr:uid="{24F91594-556F-4075-97D5-0F61C98761BF}">
      <text>
        <r>
          <rPr>
            <sz val="9"/>
            <color indexed="81"/>
            <rFont val="Tahoma"/>
            <family val="2"/>
          </rPr>
          <t xml:space="preserve">le facteur de 1.1 vient de Minergie Eco
</t>
        </r>
      </text>
    </comment>
    <comment ref="C78" authorId="0" shapeId="0" xr:uid="{F74CDA0F-5349-45D1-9F5C-6097B559FBD4}">
      <text>
        <r>
          <rPr>
            <sz val="9"/>
            <color indexed="81"/>
            <rFont val="Tahoma"/>
            <family val="2"/>
          </rPr>
          <t>selon données Holcim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F48" authorId="0" shapeId="0" xr:uid="{6D5BFCDA-184D-4BBD-853F-47DEED8F59AE}">
      <text>
        <r>
          <rPr>
            <sz val="9"/>
            <color indexed="81"/>
            <rFont val="Tahoma"/>
            <family val="2"/>
          </rPr>
          <t>sans les forêts buisonnantes des préalpes</t>
        </r>
      </text>
    </comment>
    <comment ref="F50" authorId="0" shapeId="0" xr:uid="{BB001380-BF35-4BA3-891C-C5796603921F}">
      <text>
        <r>
          <rPr>
            <sz val="9"/>
            <color indexed="81"/>
            <rFont val="Tahoma"/>
            <family val="2"/>
          </rPr>
          <t>sans les forêts buisonnantes des alpes de moyennes altitudes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1" authorId="0" shapeId="0" xr:uid="{EE044DFD-5925-43E7-87C0-34EF0F142454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sans les forêts buisonnantes des alpes de hautes altitudes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B11" authorId="0" shapeId="0" xr:uid="{5F21CDC7-87A9-447F-BFC2-11ECB78DC0F8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https://www.bfs.admin.ch/bfs/fr/home/statistiques/economie-nationale/comptes-nationaux/produit-interieur-brut-canton.html</t>
        </r>
      </text>
    </comment>
    <comment ref="D26" authorId="0" shapeId="0" xr:uid="{DF5FAEDB-301A-4F7B-8A0C-09A3A7B9B146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2015
</t>
        </r>
      </text>
    </comment>
    <comment ref="C32" authorId="0" shapeId="0" xr:uid="{D180F1D1-4AC9-4C63-A7EA-0274292B7F98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Stratégie climatique suissse, p.58, il y a 0.2 en  trop sans erreur sur les chiffres précédents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D77" authorId="0" shapeId="0" xr:uid="{D55A2AA7-8644-45EB-BEAF-FBD02943D1B3}">
      <text>
        <r>
          <rPr>
            <sz val="9"/>
            <color indexed="81"/>
            <rFont val="Tahoma"/>
            <family val="2"/>
          </rPr>
          <t xml:space="preserve">Hors chuffage à distance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D9" authorId="0" shapeId="0" xr:uid="{DC78D3B9-3F00-4178-BA51-9AD6F990781E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Mazout = HEL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D9" authorId="0" shapeId="0" xr:uid="{FB53BDBE-6BA7-4817-8F86-06A3536DDA24}">
      <text>
        <r>
          <rPr>
            <sz val="9"/>
            <color indexed="81"/>
            <rFont val="Tahoma"/>
            <family val="2"/>
          </rPr>
          <t xml:space="preserve">Hors chuffage à distance
</t>
        </r>
      </text>
    </comment>
    <comment ref="D12" authorId="0" shapeId="0" xr:uid="{4D23B08B-0E3D-401F-8AFD-42C2A100241A}">
      <text>
        <r>
          <rPr>
            <sz val="9"/>
            <color indexed="81"/>
            <rFont val="Tahoma"/>
            <family val="2"/>
          </rPr>
          <t xml:space="preserve">Pour le chauffage, PAC et directe
</t>
        </r>
      </text>
    </comment>
    <comment ref="D23" authorId="0" shapeId="0" xr:uid="{2A536054-ECEC-4950-8704-1A4A984D5CD9}">
      <text>
        <r>
          <rPr>
            <sz val="9"/>
            <color indexed="81"/>
            <rFont val="Tahoma"/>
            <family val="2"/>
          </rPr>
          <t xml:space="preserve">Hors chuffage à distance
</t>
        </r>
      </text>
    </comment>
    <comment ref="D26" authorId="0" shapeId="0" xr:uid="{6A5F5EB4-70CB-4BB1-BA6E-1F7A8D106F4E}">
      <text>
        <r>
          <rPr>
            <sz val="9"/>
            <color indexed="81"/>
            <rFont val="Tahoma"/>
            <family val="2"/>
          </rPr>
          <t xml:space="preserve">Pour le chauffage, PAC et directe
</t>
        </r>
      </text>
    </comment>
    <comment ref="D37" authorId="0" shapeId="0" xr:uid="{982AF9D0-502A-475F-A0CE-B0DE11E52A18}">
      <text>
        <r>
          <rPr>
            <sz val="9"/>
            <color indexed="81"/>
            <rFont val="Tahoma"/>
            <family val="2"/>
          </rPr>
          <t xml:space="preserve">Hors chuffage à distance
</t>
        </r>
      </text>
    </comment>
    <comment ref="D40" authorId="0" shapeId="0" xr:uid="{F60E85E9-B608-4E0C-8848-6682DB874DE1}">
      <text>
        <r>
          <rPr>
            <sz val="9"/>
            <color indexed="81"/>
            <rFont val="Tahoma"/>
            <family val="2"/>
          </rPr>
          <t xml:space="preserve">Pour le chauffage, PAC et directe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C48" authorId="0" shapeId="0" xr:uid="{4C6F0D75-25BD-4A16-A071-E75EA924590A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Estimation, à checker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E7" authorId="0" shapeId="0" xr:uid="{983A1494-506C-4D18-88EC-39676635AB71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selon mail StatVD (SB) - 4.11.2024</t>
        </r>
      </text>
    </comment>
    <comment ref="L10" authorId="0" shapeId="0" xr:uid="{5F02DFAB-F17C-43A8-8E03-77D7AB0E3AC1}">
      <text>
        <r>
          <rPr>
            <sz val="9"/>
            <color indexed="81"/>
            <rFont val="Tahoma"/>
            <family val="2"/>
          </rPr>
          <t xml:space="preserve">Mobitool v3 - moyenne de la flotte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B39" authorId="0" shapeId="0" xr:uid="{FBABC9B7-0CB9-4FE1-ACA9-7C4242680E46}">
      <text>
        <r>
          <rPr>
            <sz val="9"/>
            <color indexed="81"/>
            <rFont val="Tahoma"/>
            <family val="2"/>
          </rPr>
          <t>Statistique suisse de l'énergie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B17" authorId="0" shapeId="0" xr:uid="{FCA79D21-7C1B-418B-8926-0717DA3649DA}">
      <text>
        <r>
          <rPr>
            <b/>
            <sz val="9"/>
            <color indexed="81"/>
            <rFont val="Tahoma"/>
            <family val="2"/>
          </rPr>
          <t>von Gunten Diane:</t>
        </r>
        <r>
          <rPr>
            <sz val="9"/>
            <color indexed="81"/>
            <rFont val="Tahoma"/>
            <family val="2"/>
          </rPr>
          <t xml:space="preserve">
tiré du NIR Table 5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 Gunten Diane</author>
  </authors>
  <commentList>
    <comment ref="F9" authorId="0" shapeId="0" xr:uid="{D4C8BF15-2854-4F68-8B02-7CFB8F215D53}">
      <text>
        <r>
          <rPr>
            <sz val="9"/>
            <color indexed="81"/>
            <rFont val="Tahoma"/>
            <family val="2"/>
          </rPr>
          <t>CH4 émissions en tCo2eq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<sst xmlns="http://schemas.openxmlformats.org/spreadsheetml/2006/main" count="3554" uniqueCount="891">
  <si>
    <t>Agriculture</t>
  </si>
  <si>
    <t>Catégorie</t>
  </si>
  <si>
    <t>Sous-catégorie</t>
  </si>
  <si>
    <t>CH4</t>
  </si>
  <si>
    <t>GES</t>
  </si>
  <si>
    <t>Année</t>
  </si>
  <si>
    <t>SOUS-TOTAL</t>
  </si>
  <si>
    <t>TOTAL</t>
  </si>
  <si>
    <t>Calcul - Agriculture</t>
  </si>
  <si>
    <t>Cheptel - Autres vaches</t>
  </si>
  <si>
    <t>Cheptel - Veaux et autres bovins</t>
  </si>
  <si>
    <t>Cheptel - Caprins</t>
  </si>
  <si>
    <t>Cheptel - Porcs</t>
  </si>
  <si>
    <t>Cheptel - Autres animaux</t>
  </si>
  <si>
    <t>Cheptel - Equidés</t>
  </si>
  <si>
    <t>Cheptel - Volailles</t>
  </si>
  <si>
    <t>Source : Relevé des structure agricoles, OFS</t>
  </si>
  <si>
    <t>Emplois, exploitations agricoles, surface agricole utile (SAU) et animaux de rente selon le niveau de classification 2 selon Unité d'observation, Canton et Année</t>
  </si>
  <si>
    <t>0</t>
  </si>
  <si>
    <t>Suisse</t>
  </si>
  <si>
    <t>22</t>
  </si>
  <si>
    <t>Vaud</t>
  </si>
  <si>
    <t>Cheptel Suisse et Vaudois - selon OFS</t>
  </si>
  <si>
    <t>https://www.pxweb.bfs.admin.ch/pxweb/fr/px-x-0702000000_101/px-x-0702000000_101/px-x-0702000000_101.px</t>
  </si>
  <si>
    <t>Emplois, exploitations agricoles, surface agricole utile (SAU) et animaux de rente selon le niveau de classification 1 selon Unité d'observation, Canton et Année</t>
  </si>
  <si>
    <t>SAU - Surface agricole utile totale (en ha)</t>
  </si>
  <si>
    <t>Cheptel - Bovins</t>
  </si>
  <si>
    <t>Cheptel - Moutons</t>
  </si>
  <si>
    <t>Cheptel - Chèvres</t>
  </si>
  <si>
    <t xml:space="preserve">Suisse </t>
  </si>
  <si>
    <t>VAUD</t>
  </si>
  <si>
    <t>Fermentation entérique (kt CH4)</t>
  </si>
  <si>
    <t xml:space="preserve">Gestion des fumiers et lisiers (kt CH4) </t>
  </si>
  <si>
    <t xml:space="preserve">Gestion des fumiers et lisiers (kt N2O) </t>
  </si>
  <si>
    <t>Pratiques agricoles</t>
  </si>
  <si>
    <t xml:space="preserve">Fermentation entérique (kt CH4) </t>
  </si>
  <si>
    <t>Fermentation entérique</t>
  </si>
  <si>
    <t xml:space="preserve">Emissions CH et VD </t>
  </si>
  <si>
    <t xml:space="preserve">Année </t>
  </si>
  <si>
    <t>Année pour facteurs d'émissions</t>
  </si>
  <si>
    <t>Emissions VD pour chaque année - Données Gazette climat</t>
  </si>
  <si>
    <t>Fermentation entérique - CH4</t>
  </si>
  <si>
    <t>Gestion des effluents - CH4</t>
  </si>
  <si>
    <t>Potentiel de réchauffement global - PRG 100</t>
  </si>
  <si>
    <t>Nom</t>
  </si>
  <si>
    <t>Formule chimique</t>
  </si>
  <si>
    <t>PRG100</t>
  </si>
  <si>
    <t>Gaz carbonique fossile</t>
  </si>
  <si>
    <t>CO2</t>
  </si>
  <si>
    <t>Gaz carbonique biogénique</t>
  </si>
  <si>
    <t>N2O</t>
  </si>
  <si>
    <t>Hexafluorure de soufre</t>
  </si>
  <si>
    <t>SF6</t>
  </si>
  <si>
    <t xml:space="preserve">Trifluorure d'azote </t>
  </si>
  <si>
    <t>NF3</t>
  </si>
  <si>
    <t xml:space="preserve">Méthane </t>
  </si>
  <si>
    <t>Source : OFEV, Effet climatique des gaz à effet de serre et d’autres substances, 2023</t>
  </si>
  <si>
    <t xml:space="preserve">Chaux </t>
  </si>
  <si>
    <t>Urée</t>
  </si>
  <si>
    <t>Divers -kt Co2</t>
  </si>
  <si>
    <t>Carbones des sols agricoles - Co2</t>
  </si>
  <si>
    <t>Forêt</t>
  </si>
  <si>
    <t>Nouvelles surfaces forestières</t>
  </si>
  <si>
    <t>Surface forestière existante</t>
  </si>
  <si>
    <t>Zones humides</t>
  </si>
  <si>
    <t>Sols agricoles (Table4B - Cropland)</t>
  </si>
  <si>
    <t>Sols agricoles (Table4C - Grassland)</t>
  </si>
  <si>
    <t>Autres</t>
  </si>
  <si>
    <t>Zones urbaines</t>
  </si>
  <si>
    <t>Calcul - Forêt</t>
  </si>
  <si>
    <t>Par tête de bétail selon données suisses</t>
  </si>
  <si>
    <t>CC12 L1-Z1</t>
  </si>
  <si>
    <t>CC12 L1-Z2</t>
  </si>
  <si>
    <t>CC12 L1-Z3</t>
  </si>
  <si>
    <t>CC12 L2-Z1</t>
  </si>
  <si>
    <t>CC12 L2-Z2</t>
  </si>
  <si>
    <t>CC12 L2-Z3</t>
  </si>
  <si>
    <t>CC12 L3-Z1</t>
  </si>
  <si>
    <t>CC12 L3-Z2</t>
  </si>
  <si>
    <t>CC12 L3-Z3</t>
  </si>
  <si>
    <t>CC12 L4-Z1</t>
  </si>
  <si>
    <t>CC12 L4-Z2</t>
  </si>
  <si>
    <t>CC12 L4-Z3</t>
  </si>
  <si>
    <t>CC12 L5-Z1</t>
  </si>
  <si>
    <t>CC12 L5-Z2</t>
  </si>
  <si>
    <t>CC12 L5-Z3</t>
  </si>
  <si>
    <t>CC13</t>
  </si>
  <si>
    <t>Chaleur du bâtiment</t>
  </si>
  <si>
    <t>Mazout</t>
  </si>
  <si>
    <t>Gaz</t>
  </si>
  <si>
    <t>Chauffage à distance</t>
  </si>
  <si>
    <t>Bois</t>
  </si>
  <si>
    <t xml:space="preserve">Electricité </t>
  </si>
  <si>
    <t>Solaire thermique</t>
  </si>
  <si>
    <t>Source</t>
  </si>
  <si>
    <t>Unité</t>
  </si>
  <si>
    <t>MWh</t>
  </si>
  <si>
    <t>Activité liée au facteur d'émission</t>
  </si>
  <si>
    <t>Unité [activité]</t>
  </si>
  <si>
    <t>Emissions totales</t>
  </si>
  <si>
    <t>Emissions directes</t>
  </si>
  <si>
    <t>Emissions indirectes</t>
  </si>
  <si>
    <t>Chauffage à mazout</t>
  </si>
  <si>
    <t>kWh - énergie finale</t>
  </si>
  <si>
    <t>Chauffage à gaz</t>
  </si>
  <si>
    <t>Chauffage à biogaz</t>
  </si>
  <si>
    <t>Chauffage à bois (bûches)</t>
  </si>
  <si>
    <t>Chauffage à bois (particules de bois)</t>
  </si>
  <si>
    <t>Chauffage à bois (pellets)</t>
  </si>
  <si>
    <t>Solaire thermique, bâtiment collectif</t>
  </si>
  <si>
    <t>kWh - Chaleur utile</t>
  </si>
  <si>
    <t>Solaire photovoltaïque</t>
  </si>
  <si>
    <t>Energie éolienne</t>
  </si>
  <si>
    <t>kWh</t>
  </si>
  <si>
    <t>EMISSIONS DIRECTES</t>
  </si>
  <si>
    <t>EMISSIONS TOTALES</t>
  </si>
  <si>
    <t>EMISSIONS INDIRECTES</t>
  </si>
  <si>
    <t xml:space="preserve">Tous les facteurs d'émissions sont en kg CO2-eq </t>
  </si>
  <si>
    <t>Nom Facteur d'émission</t>
  </si>
  <si>
    <t>Facteurs d'émission</t>
  </si>
  <si>
    <t>Données VD</t>
  </si>
  <si>
    <t>Population</t>
  </si>
  <si>
    <t>Consommation de mazout - CH [GWh]</t>
  </si>
  <si>
    <t>CH</t>
  </si>
  <si>
    <t>Ratio</t>
  </si>
  <si>
    <t>Ratio CH/VD 2023</t>
  </si>
  <si>
    <t>Résultats</t>
  </si>
  <si>
    <t>Consommation de mazout [GWh]</t>
  </si>
  <si>
    <t xml:space="preserve">Constantes </t>
  </si>
  <si>
    <t>Activité</t>
  </si>
  <si>
    <t>Consommation de mazout [MWh]</t>
  </si>
  <si>
    <t xml:space="preserve">StatVD T08.03.01 - 2023 </t>
  </si>
  <si>
    <t>Consommation Gaz - VD [GWh]</t>
  </si>
  <si>
    <t>Consommation Gaz - VD [TJ]</t>
  </si>
  <si>
    <t>Consommation Gaz - VD [MWh]</t>
  </si>
  <si>
    <t>Industrie</t>
  </si>
  <si>
    <t>Calcul - Industrie</t>
  </si>
  <si>
    <t>Fuite de gaz</t>
  </si>
  <si>
    <t>Incinération</t>
  </si>
  <si>
    <t>Dénomination</t>
  </si>
  <si>
    <t>DIREN</t>
  </si>
  <si>
    <t>DGAV</t>
  </si>
  <si>
    <t>Serre agricoles</t>
  </si>
  <si>
    <t>Surface [ha]</t>
  </si>
  <si>
    <t>Conso. [kWh]</t>
  </si>
  <si>
    <t xml:space="preserve">Serres en verres </t>
  </si>
  <si>
    <t xml:space="preserve">Serres en tunnel chauffé </t>
  </si>
  <si>
    <t>Consommation de chaleur HT (sans Holcim)</t>
  </si>
  <si>
    <t>Consommation de chaleur haute-température pour 2023</t>
  </si>
  <si>
    <t>Evolution de la consommation de chaleur pour l'industrie</t>
  </si>
  <si>
    <t>StatVD</t>
  </si>
  <si>
    <t>Consommation gaz industrie [MWh ]</t>
  </si>
  <si>
    <t>GAZ SANS CHAUFFAGE A DISTANCE</t>
  </si>
  <si>
    <t>Données VD - Consommation finale sans CAD</t>
  </si>
  <si>
    <t>Consommation gaz serres [MWh]</t>
  </si>
  <si>
    <t>Consommation gaz  - domaines bâtiments [MWh]</t>
  </si>
  <si>
    <t>Electricité</t>
  </si>
  <si>
    <t>Electricité hors chauffage, hors transports</t>
  </si>
  <si>
    <t>GWh</t>
  </si>
  <si>
    <t xml:space="preserve">Electricité du réseau </t>
  </si>
  <si>
    <t>Consommation CFF [GWh]</t>
  </si>
  <si>
    <t>Consommation des voitures électriques [MWh]</t>
  </si>
  <si>
    <t>Transport - Emissions</t>
  </si>
  <si>
    <t>Mobilité des personnes</t>
  </si>
  <si>
    <t>vélo électrique</t>
  </si>
  <si>
    <t>Transport de marchandises</t>
  </si>
  <si>
    <t>Autre</t>
  </si>
  <si>
    <t>avion</t>
  </si>
  <si>
    <t>aérodrôme vaudois</t>
  </si>
  <si>
    <t>Navigation</t>
  </si>
  <si>
    <t>Diesel</t>
  </si>
  <si>
    <t>Bâtiment</t>
  </si>
  <si>
    <t>Transport</t>
  </si>
  <si>
    <t>Essence</t>
  </si>
  <si>
    <t>TJ_to_kWh</t>
  </si>
  <si>
    <t>navigation - diesel</t>
  </si>
  <si>
    <t>navigation - mazout</t>
  </si>
  <si>
    <t>Aérodrôme vaudois</t>
  </si>
  <si>
    <t>Diesel - 1 [TJ]</t>
  </si>
  <si>
    <t>Mazout - 1 [TJ]</t>
  </si>
  <si>
    <t>Diesel - 2 [TJ]</t>
  </si>
  <si>
    <t>Diesel -2 [MWh]</t>
  </si>
  <si>
    <t>Mazout -1 [MWh]</t>
  </si>
  <si>
    <t>Diesel - 1 [MWh]</t>
  </si>
  <si>
    <t>selon information StatVD</t>
  </si>
  <si>
    <t>Total [TJ]</t>
  </si>
  <si>
    <t>Total [MWh]</t>
  </si>
  <si>
    <t>Part de l'industrie (sans Holcim) dans conso. Gaz</t>
  </si>
  <si>
    <t>Consommation totale [GWh]</t>
  </si>
  <si>
    <t xml:space="preserve"> selon T08.03.02</t>
  </si>
  <si>
    <t>selon Stat VD</t>
  </si>
  <si>
    <t>Fuite de gaz (CH)</t>
  </si>
  <si>
    <t>Fuite - CO2 [kt]</t>
  </si>
  <si>
    <t>Fuite - CH4 [kt]</t>
  </si>
  <si>
    <t>Consommation de gaz</t>
  </si>
  <si>
    <t>Emissions de GES liées au fuite VD - CH4 [t]</t>
  </si>
  <si>
    <t>Consommation de gaz CH [GWh]</t>
  </si>
  <si>
    <t>Consommation de gaz VD [GWh]</t>
  </si>
  <si>
    <t>PRTR [TCO2-eq]</t>
  </si>
  <si>
    <t>tonnage de déchets [tonnes]</t>
  </si>
  <si>
    <t xml:space="preserve">Incinération </t>
  </si>
  <si>
    <t>Industrie, incinération et déchet</t>
  </si>
  <si>
    <t>UIOM</t>
  </si>
  <si>
    <t>tonnes</t>
  </si>
  <si>
    <t xml:space="preserve">Emissons de GES </t>
  </si>
  <si>
    <t>TRIDEL</t>
  </si>
  <si>
    <t>PRTR (total)</t>
  </si>
  <si>
    <t>MetalColor</t>
  </si>
  <si>
    <t>Tamoil</t>
  </si>
  <si>
    <t>Cridec</t>
  </si>
  <si>
    <t>IRL</t>
  </si>
  <si>
    <t>Solvant</t>
  </si>
  <si>
    <t>Traffic off -road (engins de chantier)</t>
  </si>
  <si>
    <t>Gravières Diesel [TJ]</t>
  </si>
  <si>
    <t>TOTAL off-road et gravière [MWh]</t>
  </si>
  <si>
    <t>Tonnes</t>
  </si>
  <si>
    <t xml:space="preserve">Traffic off-road </t>
  </si>
  <si>
    <t>Eaux usées</t>
  </si>
  <si>
    <t>Emissions de CH4 [tCo2-eq]</t>
  </si>
  <si>
    <t>Emissions de CH4 [kg]</t>
  </si>
  <si>
    <t>Emissions de CH4 - CH</t>
  </si>
  <si>
    <t>Emissions de CH4 - VD [tCo2-eq]</t>
  </si>
  <si>
    <t>Emissions des eaux usées [tCo2eq]</t>
  </si>
  <si>
    <t>Déchets</t>
  </si>
  <si>
    <t>Déchets - calcul</t>
  </si>
  <si>
    <t>Papier, Carton (t)</t>
  </si>
  <si>
    <t>Métaux (t)</t>
  </si>
  <si>
    <t>Verre (t)</t>
  </si>
  <si>
    <t>Plastiques (Hors PET) (t)</t>
  </si>
  <si>
    <t>PET (t)</t>
  </si>
  <si>
    <t>Déchets spéciaux (t)</t>
  </si>
  <si>
    <t>Huile (t)</t>
  </si>
  <si>
    <t>Appareil EE (t)</t>
  </si>
  <si>
    <t>Textiles (t)</t>
  </si>
  <si>
    <t>Données de Vaud stat déchet</t>
  </si>
  <si>
    <t>Information DGE-déchet</t>
  </si>
  <si>
    <t>compostage</t>
  </si>
  <si>
    <t>méthanisation</t>
  </si>
  <si>
    <t>Compostage</t>
  </si>
  <si>
    <t>Méthanisation</t>
  </si>
  <si>
    <t>Véhicules agricoles</t>
  </si>
  <si>
    <t>Emissions suisses selon NIR (Table 1.A.s4.c.ii) [ktCO2]</t>
  </si>
  <si>
    <t>SAU CH [ha]</t>
  </si>
  <si>
    <t>SAU VD [ha]</t>
  </si>
  <si>
    <t>Emissions VD [tCo2-eq]</t>
  </si>
  <si>
    <t>Energie</t>
  </si>
  <si>
    <t>Chauffages de serres</t>
  </si>
  <si>
    <t>Chauffages des serres</t>
  </si>
  <si>
    <t xml:space="preserve">Emission de GES </t>
  </si>
  <si>
    <t>Gaz synthétique</t>
  </si>
  <si>
    <t>Gaz synthétique - Calcul</t>
  </si>
  <si>
    <t>HFC</t>
  </si>
  <si>
    <t>PIB</t>
  </si>
  <si>
    <t>PFC</t>
  </si>
  <si>
    <t>tCo2-eq</t>
  </si>
  <si>
    <t xml:space="preserve">VD - Emissions de GES </t>
  </si>
  <si>
    <t>ktCo2-eq</t>
  </si>
  <si>
    <t>Consommation</t>
  </si>
  <si>
    <t>Habits et chaussures</t>
  </si>
  <si>
    <t>Restaurant et hôtel</t>
  </si>
  <si>
    <t>Santé</t>
  </si>
  <si>
    <t>Loisirs et culture</t>
  </si>
  <si>
    <t>Biens et service divers</t>
  </si>
  <si>
    <t>Alimentation</t>
  </si>
  <si>
    <t xml:space="preserve">Emissions hors suisse </t>
  </si>
  <si>
    <t xml:space="preserve">Emissions totales </t>
  </si>
  <si>
    <t>Emisisons hors suisse</t>
  </si>
  <si>
    <t>total</t>
  </si>
  <si>
    <t>Emissions en Suisse</t>
  </si>
  <si>
    <t>Emissions en Suisse hors VD</t>
  </si>
  <si>
    <t>Construction</t>
  </si>
  <si>
    <t>Alimentation hors production VD</t>
  </si>
  <si>
    <t>Routes</t>
  </si>
  <si>
    <t>Aménagements des berges et barrages</t>
  </si>
  <si>
    <t>Habitations</t>
  </si>
  <si>
    <t>Autres infrastructures</t>
  </si>
  <si>
    <t>En TCo2eq</t>
  </si>
  <si>
    <t>Constructions industrielles</t>
  </si>
  <si>
    <t>Autres constructions</t>
  </si>
  <si>
    <t>En TCo2eq, sans Holcim</t>
  </si>
  <si>
    <t>Consommation - Emissions</t>
  </si>
  <si>
    <t>Biens et services</t>
  </si>
  <si>
    <t>Emissions totales hors VD</t>
  </si>
  <si>
    <t>Type</t>
  </si>
  <si>
    <t>altitude</t>
  </si>
  <si>
    <t>&lt;= 600m</t>
  </si>
  <si>
    <t>alpes</t>
  </si>
  <si>
    <t>jura</t>
  </si>
  <si>
    <t>plateau</t>
  </si>
  <si>
    <t>préalpes</t>
  </si>
  <si>
    <t>601-1200m</t>
  </si>
  <si>
    <t>&gt;1200m</t>
  </si>
  <si>
    <t>Code Type</t>
  </si>
  <si>
    <t>L4</t>
  </si>
  <si>
    <t>L1</t>
  </si>
  <si>
    <t>L2</t>
  </si>
  <si>
    <t>L3</t>
  </si>
  <si>
    <t>Code altitude</t>
  </si>
  <si>
    <t>Z1</t>
  </si>
  <si>
    <t>Z2</t>
  </si>
  <si>
    <t>Z3</t>
  </si>
  <si>
    <t>Surface forêt VD - Donées DGE-forêt</t>
  </si>
  <si>
    <t>Surface CH [1000 ha]</t>
  </si>
  <si>
    <t>Surface VD  [ha]</t>
  </si>
  <si>
    <t>Jura</t>
  </si>
  <si>
    <t>Plateau</t>
  </si>
  <si>
    <t>Préalpes</t>
  </si>
  <si>
    <t>Alpes</t>
  </si>
  <si>
    <t>Sud des Alpes</t>
  </si>
  <si>
    <t>altitude (par classes de 200 m)</t>
  </si>
  <si>
    <t>1000 ha</t>
  </si>
  <si>
    <t>±%</t>
  </si>
  <si>
    <t>&gt;1800 m</t>
  </si>
  <si>
    <t>.</t>
  </si>
  <si>
    <t>1601-1800 m</t>
  </si>
  <si>
    <t>1401-1600 m</t>
  </si>
  <si>
    <t>1201-1400 m</t>
  </si>
  <si>
    <t>1001-1200 m</t>
  </si>
  <si>
    <t>801-1000 m</t>
  </si>
  <si>
    <t>601-800 m</t>
  </si>
  <si>
    <t>=600 m</t>
  </si>
  <si>
    <t>51.2</t>
  </si>
  <si>
    <t>Source : Abegg, M.; Ahles, P.; Allgaier Leuch, B.; Cioldi, F.; Didion, M.; Düggelin, C.; Fischer, C.; Herold, A.; Meile, R.; Rohner, B.; Rösler, E.; Speich, S.; Temperli, C.; Traub, B.,
2023: Swiss national forest inventory - Result table No. 1254606. Birmensdorf, Swiss Federal Research Institute WSL
https://doi.org/10.21258/1826231</t>
  </si>
  <si>
    <t>Emissions [TCo2-eq.]</t>
  </si>
  <si>
    <t xml:space="preserve">  </t>
  </si>
  <si>
    <t>Emissions VD des forêts existantes - basé sur le ratio entre forêt VD et CH</t>
  </si>
  <si>
    <t>base forêt moyenne</t>
  </si>
  <si>
    <t>Nouvelle forêt</t>
  </si>
  <si>
    <t>Produit du bois</t>
  </si>
  <si>
    <t>ha</t>
  </si>
  <si>
    <t>Surface de nouvelles forêts depuis 2003 - VD</t>
  </si>
  <si>
    <t>(données DGE-forêt)</t>
  </si>
  <si>
    <t>Surface CH de nouvelle forêt [kha]</t>
  </si>
  <si>
    <t>Stockage CH [ktCo2]</t>
  </si>
  <si>
    <t>VD</t>
  </si>
  <si>
    <t>Table 4.A NIR</t>
  </si>
  <si>
    <t>Stockage VD [tCo2]</t>
  </si>
  <si>
    <t>Harwested Wood Product [kTCo2eq]</t>
  </si>
  <si>
    <t>Ratio PIB VD/CH</t>
  </si>
  <si>
    <t xml:space="preserve">Emissions CH des forêts existantes </t>
  </si>
  <si>
    <t>Sous-secteur</t>
  </si>
  <si>
    <t>Bilan carbone du territoire - 2023</t>
  </si>
  <si>
    <t>Secteur</t>
  </si>
  <si>
    <t>Chaudière individuelle à énergie fossile</t>
  </si>
  <si>
    <t>Autres types de chauffage</t>
  </si>
  <si>
    <t>Chaleur des bâtiments</t>
  </si>
  <si>
    <t>Transport de marchandise</t>
  </si>
  <si>
    <t>Incinération des déchets</t>
  </si>
  <si>
    <t>Procédés industriels hors chaleur</t>
  </si>
  <si>
    <t>Engins de chantiers (off-road)</t>
  </si>
  <si>
    <t>Traitement des eaux usées</t>
  </si>
  <si>
    <t>Bien et services</t>
  </si>
  <si>
    <t>Alimentation et boissons</t>
  </si>
  <si>
    <t>Affectation du sol et du territoire (LULUCF)</t>
  </si>
  <si>
    <t>TOTAL sans affectation du sol</t>
  </si>
  <si>
    <t>NIR - Table 1.B.2 et 1A3d</t>
  </si>
  <si>
    <t>Emissions de GES liées au fuite/compresseur VD - CO2 [t]</t>
  </si>
  <si>
    <t xml:space="preserve">Recyclage hors du canton </t>
  </si>
  <si>
    <t>Finalement inclus dans le secteur consommation</t>
  </si>
  <si>
    <t>Incinération Vidy et Nescafé</t>
  </si>
  <si>
    <t>car biogène</t>
  </si>
  <si>
    <t>Compost et méthanisation</t>
  </si>
  <si>
    <t>Méthanisation et compostage</t>
  </si>
  <si>
    <t>Part de population VD</t>
  </si>
  <si>
    <t>calculé en TCo2eq</t>
  </si>
  <si>
    <t>selon analyse DGE par STEP selon Méthode Gruber, pour 2023</t>
  </si>
  <si>
    <t>Emissions de GES - VD [tco2eq]</t>
  </si>
  <si>
    <t>Emissions de GES - CH4 [kt]</t>
  </si>
  <si>
    <t>Mise en décharge / déchets intertes</t>
  </si>
  <si>
    <t>Compostage et Méthanisation</t>
  </si>
  <si>
    <t>Volume de déchets méthanisés [t]</t>
  </si>
  <si>
    <t>Volume de déchets compostés [t]</t>
  </si>
  <si>
    <t>Solvants</t>
  </si>
  <si>
    <t>Chaleur des procédés industriels</t>
  </si>
  <si>
    <t>part petcokes</t>
  </si>
  <si>
    <t>part émission indirecte - petcokes</t>
  </si>
  <si>
    <t>emisions indirectes Holcim</t>
  </si>
  <si>
    <t>Petcokes</t>
  </si>
  <si>
    <t>kg</t>
  </si>
  <si>
    <t>Holcim - émissions territoriales</t>
  </si>
  <si>
    <t>Holcim - émissions extra-territoriales</t>
  </si>
  <si>
    <t>part biogène dans chaleur</t>
  </si>
  <si>
    <t>Production de chaleur sans Holcim</t>
  </si>
  <si>
    <t>Chauffage Serre (inlcus dans agriculture)</t>
  </si>
  <si>
    <t xml:space="preserve">StatVD - consommation finale de gaz </t>
  </si>
  <si>
    <t>Selon NIR - tableau 2(I)s2 - 2D3a et 2G4</t>
  </si>
  <si>
    <t>Incinérateur COV</t>
  </si>
  <si>
    <t>NIR 2D3 [ktco2-eq]</t>
  </si>
  <si>
    <t>NIR 2G4 [ktco2-eq]</t>
  </si>
  <si>
    <t>Ratio pop VD</t>
  </si>
  <si>
    <t>Emissions de GES VD [Tco2eq]</t>
  </si>
  <si>
    <t>Transport d'énergie</t>
  </si>
  <si>
    <t xml:space="preserve"> (CH 17.8% avec toutes indisutries)</t>
  </si>
  <si>
    <t>Ratio par rapport à 2023 - CH4</t>
  </si>
  <si>
    <t>Ratio par rapport à 2023 - N2O</t>
  </si>
  <si>
    <t>Emissions de N2O - VD [tCo2-eq]</t>
  </si>
  <si>
    <t>km</t>
  </si>
  <si>
    <t>Basé sur le NIR - Table 1A(a)s2</t>
  </si>
  <si>
    <t>%</t>
  </si>
  <si>
    <t>Valeur VD sans Holcim [MWh]</t>
  </si>
  <si>
    <t>1990 [Mios TeqCO2]</t>
  </si>
  <si>
    <t>Valeur 1990 - Conf.</t>
  </si>
  <si>
    <t>Transports</t>
  </si>
  <si>
    <t>Agriculture (calcul direct)</t>
  </si>
  <si>
    <t>Total</t>
  </si>
  <si>
    <t>Carbone des sols cultivés</t>
  </si>
  <si>
    <t>Gestion des effluents</t>
  </si>
  <si>
    <t>Pratique agricole et fertilisant</t>
  </si>
  <si>
    <t>Gazette</t>
  </si>
  <si>
    <t>zone humide (4D)</t>
  </si>
  <si>
    <t>surface d'habitation (4E)</t>
  </si>
  <si>
    <t>émission CH (NIR table 4D-4E) - ktCO2eq</t>
  </si>
  <si>
    <t>zone humide 4D</t>
  </si>
  <si>
    <t>surface VD</t>
  </si>
  <si>
    <t>surface CH - NIR</t>
  </si>
  <si>
    <t>Surface selon base de donnée AREA (OFS) - ha</t>
  </si>
  <si>
    <t xml:space="preserve">surface d'habitation 4E </t>
  </si>
  <si>
    <t>Emissions VD [tCO2eq]</t>
  </si>
  <si>
    <t xml:space="preserve">Surfaces forestières </t>
  </si>
  <si>
    <t>Chaux et Urée - CO2</t>
  </si>
  <si>
    <t>Données OFEV [mios de TCO2eq-]</t>
  </si>
  <si>
    <t>Divers -kt N2O</t>
  </si>
  <si>
    <t>Gestion des effluents (N2O indirect)</t>
  </si>
  <si>
    <t>Pratiques agicoles et fertilisant  (N2O)</t>
  </si>
  <si>
    <t>Pratiques agicoles et fertilisant (N2O)</t>
  </si>
  <si>
    <t>Gestion des effluents- N2O</t>
  </si>
  <si>
    <t>Gestion des effluents - Emissions indirectes - N2O</t>
  </si>
  <si>
    <t>Pratiques agricoles et fertilisants  -N2O</t>
  </si>
  <si>
    <t>Emissions de N2O [kg]</t>
  </si>
  <si>
    <t>Emissions de N2O [tCo2-eq]</t>
  </si>
  <si>
    <t>Emissions de N2O - CH</t>
  </si>
  <si>
    <t>Electricité des bâtiments</t>
  </si>
  <si>
    <t>Déchets / Eaux usées
(hors incinération)</t>
  </si>
  <si>
    <t>2013/18</t>
  </si>
  <si>
    <t>2020/25</t>
  </si>
  <si>
    <t>Siedlungsflächen</t>
  </si>
  <si>
    <t>Gebäudeareal</t>
  </si>
  <si>
    <t>Strassenareal</t>
  </si>
  <si>
    <t>X</t>
  </si>
  <si>
    <t>Données AREA</t>
  </si>
  <si>
    <t>Ratio CH/VD basés sur les surfaces bâties</t>
  </si>
  <si>
    <t>SYST_AE</t>
  </si>
  <si>
    <t>AE</t>
  </si>
  <si>
    <t>CONSO_KWH_2023</t>
  </si>
  <si>
    <t>Chauffage</t>
  </si>
  <si>
    <t>CAD</t>
  </si>
  <si>
    <t>Electricité (direct)</t>
  </si>
  <si>
    <t>Electricité (PAC)</t>
  </si>
  <si>
    <t>ECS</t>
  </si>
  <si>
    <t>Chauffage + ECS 2023  [GWh]</t>
  </si>
  <si>
    <t>Données DIREN de base</t>
  </si>
  <si>
    <t>Données CH - Statistique suisse de l'énergie</t>
  </si>
  <si>
    <t>Attention : Sans industrie</t>
  </si>
  <si>
    <t xml:space="preserve">Chauffage des bâtiment et ECS  au gaz  </t>
  </si>
  <si>
    <t>AUTRES TYPES DE CHAUFFAGE ; CHAUFFAGE A DISTANCE INCLUS</t>
  </si>
  <si>
    <t>Territoriales</t>
  </si>
  <si>
    <t>Evolution</t>
  </si>
  <si>
    <t>Figures</t>
  </si>
  <si>
    <t>Consommation VD en GWh</t>
  </si>
  <si>
    <t>Electricité [%]</t>
  </si>
  <si>
    <t>Solaire thermique [%]</t>
  </si>
  <si>
    <t>2023-2019</t>
  </si>
  <si>
    <t>2019-2015</t>
  </si>
  <si>
    <t>Bois  [%]</t>
  </si>
  <si>
    <t>Chaleur à distance[%]</t>
  </si>
  <si>
    <t>prod_gwh</t>
  </si>
  <si>
    <t>prod_pct</t>
  </si>
  <si>
    <t>Déchets incinérables</t>
  </si>
  <si>
    <t>Gaz naturel</t>
  </si>
  <si>
    <t>Chaleur ambiante + électricité (PAC)</t>
  </si>
  <si>
    <t>Biogaz</t>
  </si>
  <si>
    <t>Rejets de chaleur (STEP)</t>
  </si>
  <si>
    <t>Rejets de chaleur (autres)</t>
  </si>
  <si>
    <t>Code FE</t>
  </si>
  <si>
    <t>Extra-territorial</t>
  </si>
  <si>
    <t>Territorial</t>
  </si>
  <si>
    <t>kgCo2/KWh</t>
  </si>
  <si>
    <t>kgCo2/kWh</t>
  </si>
  <si>
    <t>COP</t>
  </si>
  <si>
    <t>Consomation électricité CAD [MWh]</t>
  </si>
  <si>
    <t>Facteur d'émission CAD</t>
  </si>
  <si>
    <t>Vol internationaux</t>
  </si>
  <si>
    <t>Part vaudois</t>
  </si>
  <si>
    <t>Nombre passager</t>
  </si>
  <si>
    <t>Nombre passager VD</t>
  </si>
  <si>
    <t>ATTENTION CONFIDENTIEL A MASQUER</t>
  </si>
  <si>
    <t>Distance par habitant</t>
  </si>
  <si>
    <t>Distance 2015 [km]</t>
  </si>
  <si>
    <t>Distance total [km]</t>
  </si>
  <si>
    <t>Pourcentage</t>
  </si>
  <si>
    <t>Distance vol internationaux</t>
  </si>
  <si>
    <t>Données Genève Aéroport</t>
  </si>
  <si>
    <t>Tram/métro</t>
  </si>
  <si>
    <t>Avion</t>
  </si>
  <si>
    <t>Population +6 ans</t>
  </si>
  <si>
    <t>MAZOUT - Calcul</t>
  </si>
  <si>
    <t>Consommation et construction</t>
  </si>
  <si>
    <t>Part d'Holcim utilisé au Canton de Vaud</t>
  </si>
  <si>
    <t>Consommation TRIDEL [GWh]</t>
  </si>
  <si>
    <t>Habitat collectif</t>
  </si>
  <si>
    <t>Habitat individuel</t>
  </si>
  <si>
    <t>Administration</t>
  </si>
  <si>
    <t>Écoles</t>
  </si>
  <si>
    <t>Commerce</t>
  </si>
  <si>
    <t>Lieux de rassemblement</t>
  </si>
  <si>
    <t>Hôpitaux</t>
  </si>
  <si>
    <t>Dépôts</t>
  </si>
  <si>
    <t>Installations sportives</t>
  </si>
  <si>
    <t>Activité non définie</t>
  </si>
  <si>
    <t>Habitation non définie</t>
  </si>
  <si>
    <t>Surface au sol</t>
  </si>
  <si>
    <t>SRE</t>
  </si>
  <si>
    <t>RegBL - En m2</t>
  </si>
  <si>
    <t>Habitat</t>
  </si>
  <si>
    <t>Résumé des données</t>
  </si>
  <si>
    <t>Emissions selon méthode Frontrunner projekt</t>
  </si>
  <si>
    <t>EF [kgCo2/m2]</t>
  </si>
  <si>
    <t>Emissions [TCo2eq]</t>
  </si>
  <si>
    <t>durée de vie [an]</t>
  </si>
  <si>
    <t>SRE [m2]</t>
  </si>
  <si>
    <t>Surface au sol [m2]</t>
  </si>
  <si>
    <t xml:space="preserve">Emissions par m2 selon SIA 390/1 et Minergie -Eco </t>
  </si>
  <si>
    <t>En miliers de CHF - données de StatVD</t>
  </si>
  <si>
    <t>Sicpa</t>
  </si>
  <si>
    <t>Emissions géogène [tCO2eq]</t>
  </si>
  <si>
    <t>Emisions pyrogène/fossile [tCO2eq]</t>
  </si>
  <si>
    <t>Emissions biogènes [tCO2eq]</t>
  </si>
  <si>
    <t>Emissions off-road - CH [ktCO2-eq]</t>
  </si>
  <si>
    <t>Emissions off-road - VD [tCO2eq]</t>
  </si>
  <si>
    <t>Emissions de GES gravières [tCO2eq]</t>
  </si>
  <si>
    <t>TOTAL off-road et gravière [tCO2-eq]</t>
  </si>
  <si>
    <t>Emissions de GES liées aux fuites VD [tCO2-eq]</t>
  </si>
  <si>
    <t>Compresseur Ruswil</t>
  </si>
  <si>
    <t xml:space="preserve"> selon rapport gestion</t>
  </si>
  <si>
    <t>Prod. Solaire thermique selon DIREN - utilisé pour pemettre d'avoir des tendances entre 2015 et 2023 (Ind 08.02.05.12)</t>
  </si>
  <si>
    <t>Evolution par année depuis 2023 vers 2015 - ATTENTION valeur en dessous de zéro désigne un accroissement</t>
  </si>
  <si>
    <t>Solaire thermique [GWh]</t>
  </si>
  <si>
    <t>Electricité - PAC [GWh]</t>
  </si>
  <si>
    <t>Evolution de la consommation des pompes à chaleur selon OFEN - CH entier</t>
  </si>
  <si>
    <t>Bois [TJ]</t>
  </si>
  <si>
    <t>Chaleur à distance avec déchet [TJ]</t>
  </si>
  <si>
    <t>Sur territoire vaudois (global)</t>
  </si>
  <si>
    <t>Sur territoire vaudois (Vaudois seul)</t>
  </si>
  <si>
    <t>moyenne</t>
  </si>
  <si>
    <t>Électrique</t>
  </si>
  <si>
    <t>Hybride</t>
  </si>
  <si>
    <t>Vaudois</t>
  </si>
  <si>
    <t>[par véhicule km]</t>
  </si>
  <si>
    <t>Voiture</t>
  </si>
  <si>
    <t>FACTEUR EMISSIONS TOTAL (kg CO2/voit km)</t>
  </si>
  <si>
    <t>FACTEUR EMISSIONS DIRECT (kg CO2/voit km)</t>
  </si>
  <si>
    <t>Kg GES par voiture et par km</t>
  </si>
  <si>
    <t>[par personne km]</t>
  </si>
  <si>
    <t>Valeur tenant compte de l'utilisation du parc et des gains d'efficience</t>
  </si>
  <si>
    <t>FACTEUR EMISSIONS TOTAL (kg CO2/pers km)</t>
  </si>
  <si>
    <t>FACTEUR EMISSIONS DIRECT (kg CO2/pers km)</t>
  </si>
  <si>
    <t>Kg GES par personne et par km</t>
  </si>
  <si>
    <t>COEFFICIENT D'EMISSIONS (REFERENCE POUR LES COMMUNES)</t>
  </si>
  <si>
    <t>Moto/scooter</t>
  </si>
  <si>
    <t>Mobilité douce</t>
  </si>
  <si>
    <t>INDIRECT TERRITORIAL</t>
  </si>
  <si>
    <t>TOTAL TERRITORIAL</t>
  </si>
  <si>
    <t>GES approvisionnement en énergie (t CO2)</t>
  </si>
  <si>
    <t>Ne pas publier 2023 !!!</t>
  </si>
  <si>
    <t>TOTAL DISTANCE (mios pers.km/an)</t>
  </si>
  <si>
    <t>Consommation électrique</t>
  </si>
  <si>
    <t>Evolution GES par pers. (Vaudois)</t>
  </si>
  <si>
    <t>Evolution total</t>
  </si>
  <si>
    <t>TOTAL (avec avion)</t>
  </si>
  <si>
    <t>Avion pour les Vaudois</t>
  </si>
  <si>
    <t>Mobilité des personnes (Vaudois)</t>
  </si>
  <si>
    <t>TOTAL GES (mios t CO2)</t>
  </si>
  <si>
    <t>Bilan de la mobilité des personnes pour les Vaudois avec les voyages en avion</t>
  </si>
  <si>
    <t>Bilan carbone des Vaudois</t>
  </si>
  <si>
    <t>DIVERS</t>
  </si>
  <si>
    <t>Objectifs =&gt;</t>
  </si>
  <si>
    <t>Population VAUD (en milliers)</t>
  </si>
  <si>
    <t xml:space="preserve">Référence et objectifs </t>
  </si>
  <si>
    <t>Evolution population vaudoise</t>
  </si>
  <si>
    <t>OFF</t>
  </si>
  <si>
    <t>Transport offroad</t>
  </si>
  <si>
    <t>Mobilité marchandises</t>
  </si>
  <si>
    <t>ON</t>
  </si>
  <si>
    <t>Aviation : aérodromes et héliports vaudois</t>
  </si>
  <si>
    <t>Mobilité des personnes (avion)</t>
  </si>
  <si>
    <t>Navigation lacustre</t>
  </si>
  <si>
    <t>TOTAL (Terr. + Extra-terr.)</t>
  </si>
  <si>
    <t>BILAN CARBONE COMPLET (en mios de t CO2)</t>
  </si>
  <si>
    <t>BILAN CARBONE</t>
  </si>
  <si>
    <t>TOTAL MOBILITE DES PERSONNES</t>
  </si>
  <si>
    <t>Bus</t>
  </si>
  <si>
    <t>Train</t>
  </si>
  <si>
    <t>Ess./dies.</t>
  </si>
  <si>
    <t>A pied</t>
  </si>
  <si>
    <t>vélo conventionnel</t>
  </si>
  <si>
    <t>TOTAL HORS TERRITOIRE (mios t CO2)</t>
  </si>
  <si>
    <t>INDIRECT TERRITORIAL (mios t CO2)</t>
  </si>
  <si>
    <t>TOTAL GES (mios t CO2) hors territoire</t>
  </si>
  <si>
    <r>
      <t xml:space="preserve">TOTAL GES INDIRECT (mios t CO2) sur le territoire </t>
    </r>
    <r>
      <rPr>
        <b/>
        <sz val="11"/>
        <color rgb="FFC00000"/>
        <rFont val="Calibri"/>
        <family val="2"/>
        <scheme val="minor"/>
      </rPr>
      <t>- somme</t>
    </r>
  </si>
  <si>
    <t>TOTAL EXTRA-TERRITORIAL MOBILITE DES PERSONNES</t>
  </si>
  <si>
    <t>TP</t>
  </si>
  <si>
    <t>TOTAL TERRITORIAL (mios t CO2)</t>
  </si>
  <si>
    <t>Réf. Mobitool</t>
  </si>
  <si>
    <t>Vaudois (total)</t>
  </si>
  <si>
    <t>PART MODALE DISTANCE</t>
  </si>
  <si>
    <r>
      <t>FACTEUR EMISSIONS TOTAL (g CO2/pers km)</t>
    </r>
    <r>
      <rPr>
        <b/>
        <sz val="11"/>
        <color rgb="FFC00000"/>
        <rFont val="Calibri"/>
        <family val="2"/>
        <scheme val="minor"/>
      </rPr>
      <t xml:space="preserve"> - déduit</t>
    </r>
  </si>
  <si>
    <r>
      <t>FACTEUR EMISSIONS INDIRECT (g CO2/pers km)</t>
    </r>
    <r>
      <rPr>
        <b/>
        <sz val="11"/>
        <color rgb="FFC00000"/>
        <rFont val="Calibri"/>
        <family val="2"/>
        <scheme val="minor"/>
      </rPr>
      <t xml:space="preserve"> - déduit</t>
    </r>
  </si>
  <si>
    <r>
      <t xml:space="preserve">TOTAL GES DIRECT (mios t CO2) </t>
    </r>
    <r>
      <rPr>
        <b/>
        <sz val="11"/>
        <color rgb="FFC00000"/>
        <rFont val="Calibri"/>
        <family val="2"/>
        <scheme val="minor"/>
      </rPr>
      <t>- somme</t>
    </r>
  </si>
  <si>
    <r>
      <t>FACTEUR EMISSIONS DIRECT (g CO2/pers km)</t>
    </r>
    <r>
      <rPr>
        <b/>
        <sz val="11"/>
        <color rgb="FFC00000"/>
        <rFont val="Calibri"/>
        <family val="2"/>
        <scheme val="minor"/>
      </rPr>
      <t xml:space="preserve"> - déduit</t>
    </r>
  </si>
  <si>
    <t>TOTAL TERRITORIAL MOBILITE DES PERSONNES</t>
  </si>
  <si>
    <t>RESULTATS BILAN CARBONE DES PERSONNES</t>
  </si>
  <si>
    <t>BILAN CARBONE DES PERSONNES</t>
  </si>
  <si>
    <t>km par an</t>
  </si>
  <si>
    <t>(Cointrin)</t>
  </si>
  <si>
    <t xml:space="preserve">Croissance 2015 - 2023 basé sur : </t>
  </si>
  <si>
    <t>Vaudois hors Vaud</t>
  </si>
  <si>
    <t>Paramètres spécifiques</t>
  </si>
  <si>
    <t>TOTAL GES (t CO2)</t>
  </si>
  <si>
    <t>DISTANCES PAR PERSONNE PAR AN (km/an)</t>
  </si>
  <si>
    <t>AVIONS pour Vaudois</t>
  </si>
  <si>
    <t>AVIONS</t>
  </si>
  <si>
    <t>Facteur correctif</t>
  </si>
  <si>
    <t>Part dans territoire sur un aller-retour (échange)</t>
  </si>
  <si>
    <t>Nb de jour actif par an</t>
  </si>
  <si>
    <t>Facteur entre km jour actif et moyenne annuelle</t>
  </si>
  <si>
    <t>Taux d'occupation par voiture (pers./voit.)</t>
  </si>
  <si>
    <t>Frontaliers</t>
  </si>
  <si>
    <t>Sans frontaliers en bateau CGN</t>
  </si>
  <si>
    <t>FACTEUR EMISSIONS TOTAL (g CO2/pers km)</t>
  </si>
  <si>
    <t>FACTEUR EMISSIONS INDIRECT (g CO2/pers km)</t>
  </si>
  <si>
    <t>TOTAL GES DIRECT (t CO2)</t>
  </si>
  <si>
    <t>FACTEUR EMISSIONS DIRECT (g CO2/pers km)</t>
  </si>
  <si>
    <t>DISTANCES PAR PERSONNE PAR JOUR (km/jour)</t>
  </si>
  <si>
    <t>FRONTALIERS</t>
  </si>
  <si>
    <t>Avec taux d'occupation fixe</t>
  </si>
  <si>
    <t>Non-Vaudois sur Vaud</t>
  </si>
  <si>
    <t>6 ans et plus</t>
  </si>
  <si>
    <t>NON-VAUDOIS</t>
  </si>
  <si>
    <t>à mettre à disposition des communes</t>
  </si>
  <si>
    <t>Utile pour la déduction des facteurs d'émission moyenne (total et direct)</t>
  </si>
  <si>
    <r>
      <t>TOTAL GES (t CO2)</t>
    </r>
    <r>
      <rPr>
        <b/>
        <sz val="11"/>
        <color rgb="FFC00000"/>
        <rFont val="Calibri"/>
        <family val="2"/>
        <scheme val="minor"/>
      </rPr>
      <t xml:space="preserve">  - somme</t>
    </r>
  </si>
  <si>
    <r>
      <t xml:space="preserve">TOTAL GES DIRECT (t CO2) </t>
    </r>
    <r>
      <rPr>
        <b/>
        <sz val="11"/>
        <color rgb="FFC00000"/>
        <rFont val="Calibri"/>
        <family val="2"/>
        <scheme val="minor"/>
      </rPr>
      <t xml:space="preserve"> - somme</t>
    </r>
  </si>
  <si>
    <t>VAUDOIS (TOTAL)</t>
  </si>
  <si>
    <t>VAUDOIS HORS VAUD</t>
  </si>
  <si>
    <t>Vaudois sur Vaud</t>
  </si>
  <si>
    <t>VAUDOIS SUR VAUD</t>
  </si>
  <si>
    <t>VAUDOIS</t>
  </si>
  <si>
    <t>PART MODALE</t>
  </si>
  <si>
    <t>GES TOTAL</t>
  </si>
  <si>
    <t>GES INDIRECT</t>
  </si>
  <si>
    <t>GES DIRECT</t>
  </si>
  <si>
    <t>DISTANCES</t>
  </si>
  <si>
    <t>PERSONNES (par groupe de déplacements)</t>
  </si>
  <si>
    <t>FULL GES</t>
  </si>
  <si>
    <t>Déplacements aériens des Vaudois.es</t>
  </si>
  <si>
    <t>Extra-territoriales des Vaudois.es (route et rail) + marchandises</t>
  </si>
  <si>
    <t>avec gain</t>
  </si>
  <si>
    <t>Calage avec gain d'efficience</t>
  </si>
  <si>
    <t>Coefficient gain efficience pour les voitures</t>
  </si>
  <si>
    <t>Infrastructure</t>
  </si>
  <si>
    <t>Gain d'efficience voiture du parc vaudois</t>
  </si>
  <si>
    <t>=&gt; reconstitution permettant une comparabilité dans le temps mais pas utilisé dans le calcul du bilan carbone</t>
  </si>
  <si>
    <t>Fabrication</t>
  </si>
  <si>
    <t>=&gt; Résultats tirés directement du MRMT 2015 et 2021 méthode "fine et adaptée"</t>
  </si>
  <si>
    <t>Fin de vie</t>
  </si>
  <si>
    <t xml:space="preserve">Calage autres coefficients sur 2015 </t>
  </si>
  <si>
    <t>Maintenance</t>
  </si>
  <si>
    <t>Calage méthode fine 2015 (total+voiture)</t>
  </si>
  <si>
    <t>Non-Vaudois</t>
  </si>
  <si>
    <t>Utilis.directe</t>
  </si>
  <si>
    <t>Méthodologie de calcul</t>
  </si>
  <si>
    <t>Vaud hors Vaud</t>
  </si>
  <si>
    <t>Actif</t>
  </si>
  <si>
    <t>Indirect</t>
  </si>
  <si>
    <t>Direct</t>
  </si>
  <si>
    <t>Vaud sur Vaud</t>
  </si>
  <si>
    <t>Evolution démographique + total</t>
  </si>
  <si>
    <t>Mobitool 3.0</t>
  </si>
  <si>
    <t>Référence Mobitool</t>
  </si>
  <si>
    <t>nombre de jour par année</t>
  </si>
  <si>
    <t>Calage coefficient voiture pour 2015 entre méthode "fine et adaptée" versus "agrégée"</t>
  </si>
  <si>
    <t>Répartition des émissions entre directes et indirectes</t>
  </si>
  <si>
    <t>PARAMETRES</t>
  </si>
  <si>
    <t>MOBILITE DES PERSONNES</t>
  </si>
  <si>
    <t>Mobilité active</t>
  </si>
  <si>
    <t xml:space="preserve">Bus </t>
  </si>
  <si>
    <t>Mobilité des personnes (hors avion)</t>
  </si>
  <si>
    <t>% par rapport à 1990</t>
  </si>
  <si>
    <t>[tCO2-eq/hab]</t>
  </si>
  <si>
    <t>[tCO2-eq]</t>
  </si>
  <si>
    <t>part d'émissions</t>
  </si>
  <si>
    <t>Mobilité des personnes (TIM)</t>
  </si>
  <si>
    <t>Reste (autres + marchandises + avions)</t>
  </si>
  <si>
    <t>Autres et marchandises</t>
  </si>
  <si>
    <t>Emissions 1990</t>
  </si>
  <si>
    <t>tCo2eq</t>
  </si>
  <si>
    <t>Calcul catégorie Autre, qui regroupe déchet et gaz synthétique</t>
  </si>
  <si>
    <t>Pour le calcul des émissions de 1990, se référer à l'Onlget Gaz Synthétique (Catégorie "Autre" regroupant déchet et gaz synthétique)</t>
  </si>
  <si>
    <t>1990 - Déchet et gaz synthétique</t>
  </si>
  <si>
    <t>Transport d'énergie (gaz)</t>
  </si>
  <si>
    <t>MIX DES CHAUFFAGES A DISTANCE EN 2023</t>
  </si>
  <si>
    <t>Agent énergétiques</t>
  </si>
  <si>
    <t>FE Territorial</t>
  </si>
  <si>
    <t>FE Extra-territorial</t>
  </si>
  <si>
    <t>kWh/100km</t>
  </si>
  <si>
    <t>Consommation - voiture électrique</t>
  </si>
  <si>
    <t>Consommation électricité PAC+ direct  [MWh]</t>
  </si>
  <si>
    <t>Cf.Onglet chaleur du bâtiment</t>
  </si>
  <si>
    <t>Remplissage voiture</t>
  </si>
  <si>
    <t>Consommation prise en compte [MWh]</t>
  </si>
  <si>
    <t>Emission 1A2 CO2 - Manufacturing indutries … [ktCO2]</t>
  </si>
  <si>
    <t>Compresseur Gaznat - CO2 [kt]</t>
  </si>
  <si>
    <t>Selon NIR - 1A2gvii</t>
  </si>
  <si>
    <t>Calcul des émisions 2015-2019-2023 - évolution basée sur le NIR (Table 5)</t>
  </si>
  <si>
    <t>Tableau 5 - NIR</t>
  </si>
  <si>
    <t>TOTAL  (sans sols et foret)</t>
  </si>
  <si>
    <t>La catégorie Autre regroupe les gaz synthétiques et les déchets.</t>
  </si>
  <si>
    <t>Part suisse</t>
  </si>
  <si>
    <t>Alimentation VD</t>
  </si>
  <si>
    <t>selon OFS et non GVA</t>
  </si>
  <si>
    <t>Les sols et les forêts ne sont pas inclus ici.</t>
  </si>
  <si>
    <t>Transport  - calcul supplémentaire</t>
  </si>
  <si>
    <t>Emissions Territoriales
 [tCo2eq]</t>
  </si>
  <si>
    <t>Emissions Totales
  [tCo2eq]</t>
  </si>
  <si>
    <t>Par habitant 
[tCO2-eq]</t>
  </si>
  <si>
    <t>Pourcentage
[%]</t>
  </si>
  <si>
    <t>Totales</t>
  </si>
  <si>
    <t>Données VD - Consommation sans l'industrie et sans les serres chauffées</t>
  </si>
  <si>
    <t>Emissions Extra-Territoriales
  [tCO2eq]</t>
  </si>
  <si>
    <t>Emissions Territoriales 
[tCO2eq]</t>
  </si>
  <si>
    <t>Emissions Totales  
[tCo2eq]</t>
  </si>
  <si>
    <t>Emissions Extra-Territoriales
  [tCo2eq]</t>
  </si>
  <si>
    <t>Forêts et sols</t>
  </si>
  <si>
    <t>Navigation et vols sur les lacs et aérodrômes vaudois</t>
  </si>
  <si>
    <t>Emissions Territoriales
 [tCO2eq]</t>
  </si>
  <si>
    <t>Emissions Totales
  [tCO2eq]</t>
  </si>
  <si>
    <t>part par gaz des émissions territoriales</t>
  </si>
  <si>
    <t>MIX DES CHAUFFAGE A DISTANCE EN 2017</t>
  </si>
  <si>
    <t xml:space="preserve">Gaz </t>
  </si>
  <si>
    <t>Déchet</t>
  </si>
  <si>
    <t>Boue incinérables</t>
  </si>
  <si>
    <t>Rejets de chaleur</t>
  </si>
  <si>
    <t>Chaleur ambiante</t>
  </si>
  <si>
    <t>Pannaux solaires thérmiques</t>
  </si>
  <si>
    <t>Consommation énergie selon StatVD -  utilisé pour pemettre d'avoir des tendances pour le bois entre 2015 et 2023</t>
  </si>
  <si>
    <t>Prod. CAD selon DIREN - utilisé pour pemettre d'avoir des tendances entre 2015 et 2023 (voir ci-dessous)</t>
  </si>
  <si>
    <t>Agent énergtique [kWh]</t>
  </si>
  <si>
    <t>total [GWh]</t>
  </si>
  <si>
    <t>Gaz synth. (COV)</t>
  </si>
  <si>
    <t>O</t>
  </si>
  <si>
    <t>Gaz synth./COV</t>
  </si>
  <si>
    <t>par habitant</t>
  </si>
  <si>
    <t>part bien de consommation acheté en Suisse mais hors canton</t>
  </si>
  <si>
    <t>part alimentation produite en Suisse hors Vaud</t>
  </si>
  <si>
    <t>Part santé en Suisse hors Vaud</t>
  </si>
  <si>
    <t>simplification</t>
  </si>
  <si>
    <t>basé sur l'auto-consommation - secteur bovin</t>
  </si>
  <si>
    <t>basé sur le nombre de nuitée à l'hôpital</t>
  </si>
  <si>
    <t>Culture (4B)</t>
  </si>
  <si>
    <t>Pâturage (4C)</t>
  </si>
  <si>
    <t>Autres types de surface</t>
  </si>
  <si>
    <t>Surface selon OFS, relevé des structures agricoles</t>
  </si>
  <si>
    <t>Culture 4B</t>
  </si>
  <si>
    <t>SAU - VD</t>
  </si>
  <si>
    <t>SAU - CH</t>
  </si>
  <si>
    <t>Pâturage 4C</t>
  </si>
  <si>
    <t>Surface VD</t>
  </si>
  <si>
    <t>Surface CH - Area</t>
  </si>
  <si>
    <t xml:space="preserve">Autres sols </t>
  </si>
  <si>
    <t>Pâturages et cultures</t>
  </si>
  <si>
    <t>inclus la canopée urbaine!</t>
  </si>
  <si>
    <t>Culture</t>
  </si>
  <si>
    <t>Pâturage</t>
  </si>
  <si>
    <t>Emissions serre VD</t>
  </si>
  <si>
    <t>Valeur 2023 selon Données DGAV</t>
  </si>
  <si>
    <t xml:space="preserve">Conso par m2  en kWh </t>
  </si>
  <si>
    <t>Evolution selon NIR (14Aci - Gazeous fuel)</t>
  </si>
  <si>
    <t>Emissions serre CH selon NIR - Gazous fuel [kTCO2]</t>
  </si>
  <si>
    <t>1990-stable</t>
  </si>
  <si>
    <t>Gaz syth.</t>
  </si>
  <si>
    <t>Figure</t>
  </si>
  <si>
    <t>Surface - Code 801 [ha] - « Cultures maraichères sous  avec fondation permanentes »</t>
  </si>
  <si>
    <t>Serre en verre</t>
  </si>
  <si>
    <t xml:space="preserve">Serre en tunnel chauffé </t>
  </si>
  <si>
    <t>Emissions de GES [TCO2eq]</t>
  </si>
  <si>
    <t>Emissions de GES [tCO2eq]</t>
  </si>
  <si>
    <t>Consommation [kWh]</t>
  </si>
  <si>
    <t>Emissions serre CH selon NIR[kTCO2]</t>
  </si>
  <si>
    <t>Surface serre suisse [km2]</t>
  </si>
  <si>
    <t>Emissions par km2 [kTCO2/km2]</t>
  </si>
  <si>
    <t>2005 = 1990 par manque de données</t>
  </si>
  <si>
    <t>Evolution des émission par surface</t>
  </si>
  <si>
    <t>conosmmation par m2 - 2023</t>
  </si>
  <si>
    <t>surface serre permanente - base de donnée AREA</t>
  </si>
  <si>
    <t>Ratio VD/CH</t>
  </si>
  <si>
    <t>Valeur 2019/5 - Conf</t>
  </si>
  <si>
    <t>Emissions biogènes (hors bilan)</t>
  </si>
  <si>
    <t>émissions biogénique</t>
  </si>
  <si>
    <t>Selon OFEV fiche d'information</t>
  </si>
  <si>
    <t>sciure</t>
  </si>
  <si>
    <t>tCo2/TJ</t>
  </si>
  <si>
    <t>TJ_to_MWh</t>
  </si>
  <si>
    <t>Emissions biogénique 2023</t>
  </si>
  <si>
    <t>émissions biogéniques</t>
  </si>
  <si>
    <t>Holcim</t>
  </si>
  <si>
    <t>CH [kTCo2eq]</t>
  </si>
  <si>
    <t>VD [tCO2eq]</t>
  </si>
  <si>
    <t>militaire</t>
  </si>
  <si>
    <t>emissions liée au domaine militaire - estimation CH</t>
  </si>
  <si>
    <t>tCO2eq</t>
  </si>
  <si>
    <t>Electricité du réseau 2015</t>
  </si>
  <si>
    <t xml:space="preserve">Indice des prix </t>
  </si>
  <si>
    <t>surface VD [ha]</t>
  </si>
  <si>
    <t>selon base AREA</t>
  </si>
  <si>
    <t>Cheptel - Vaches laitières</t>
  </si>
  <si>
    <t>Emissions Suisse - Selon NIR tableau 3A et 3B</t>
  </si>
  <si>
    <t>Emissions VD (tCO2eq)</t>
  </si>
  <si>
    <t>Divers -(kt N2O)</t>
  </si>
  <si>
    <t>Jardins privés (non-comptabilisé)</t>
  </si>
  <si>
    <t>Gestion des effluents, fumiers et engrais</t>
  </si>
  <si>
    <t>Fertilisants minéraux et pratiques agricoles</t>
  </si>
  <si>
    <t>Chauffage à gaz 2019</t>
  </si>
  <si>
    <t>Chauffage à gaz 2015</t>
  </si>
  <si>
    <t>Part vaudoise, territoire inclus, tCo2eq</t>
  </si>
  <si>
    <t xml:space="preserve">Mise en décharge des déchets </t>
  </si>
  <si>
    <t xml:space="preserve">Mise en décharge </t>
  </si>
  <si>
    <t>CH - Données du NIR (Table générale - rapport p.44)</t>
  </si>
  <si>
    <t>Autre industrie [Tco2-eq] / confidentiel</t>
  </si>
  <si>
    <t>Procédés industriel, incluant la production de chaleur d'Holcim</t>
  </si>
  <si>
    <t>Part vaudoise, territoire et correction dépense inclus, tco2-eq</t>
  </si>
  <si>
    <t>revenus disponibles</t>
  </si>
  <si>
    <t>émissions territoriales selon NIR 1.A.5</t>
  </si>
  <si>
    <t>VD [tCo2eq]</t>
  </si>
  <si>
    <t>Evolution des émissions  1990-2023</t>
  </si>
  <si>
    <t>émissions totales</t>
  </si>
  <si>
    <t>2015-2023</t>
  </si>
  <si>
    <t>militaire - carburant</t>
  </si>
  <si>
    <t>Autres transports</t>
  </si>
  <si>
    <t>Directes</t>
  </si>
  <si>
    <t>Indirectes</t>
  </si>
  <si>
    <t>C02</t>
  </si>
  <si>
    <t>Prestation kilométrique</t>
  </si>
  <si>
    <t>TOTAL GES INDIRECT (t CO2)</t>
  </si>
  <si>
    <t>Référence</t>
  </si>
  <si>
    <t>marche</t>
  </si>
  <si>
    <t>Population total</t>
  </si>
  <si>
    <t>Moto</t>
  </si>
  <si>
    <r>
      <t>TOTAL GES INDIRECT (t CO2)</t>
    </r>
    <r>
      <rPr>
        <b/>
        <sz val="11"/>
        <color rgb="FFC00000"/>
        <rFont val="Calibri"/>
        <family val="2"/>
        <scheme val="minor"/>
      </rPr>
      <t xml:space="preserve">  - somme</t>
    </r>
  </si>
  <si>
    <t>Frontaliers CGN</t>
  </si>
  <si>
    <t>Total frontaliers</t>
  </si>
  <si>
    <r>
      <t xml:space="preserve">TOTAL GES INDIRECT (t CO2) </t>
    </r>
    <r>
      <rPr>
        <b/>
        <sz val="11"/>
        <color rgb="FFC00000"/>
        <rFont val="Calibri"/>
        <family val="2"/>
        <scheme val="minor"/>
      </rPr>
      <t>- somme</t>
    </r>
  </si>
  <si>
    <r>
      <t xml:space="preserve">TOTAL GES (t CO2) </t>
    </r>
    <r>
      <rPr>
        <b/>
        <sz val="11"/>
        <color rgb="FFC00000"/>
        <rFont val="Calibri"/>
        <family val="2"/>
        <scheme val="minor"/>
      </rPr>
      <t>- somme</t>
    </r>
  </si>
  <si>
    <t>Evolution des prestations</t>
  </si>
  <si>
    <t>TP - personne km</t>
  </si>
  <si>
    <t>Voiture - personne km</t>
  </si>
  <si>
    <t>Voiture - véhicule km*</t>
  </si>
  <si>
    <t>Vélo - personne km</t>
  </si>
  <si>
    <t>* approximatif avec taux de remplissage moyen invariable</t>
  </si>
  <si>
    <t>Evolution des prestations en %</t>
  </si>
  <si>
    <t>TP - personne -km</t>
  </si>
  <si>
    <t>Vélo - personne -km</t>
  </si>
  <si>
    <t>Paramètres pour les  autres types de mobilités :</t>
  </si>
  <si>
    <t>Transports individuels</t>
  </si>
  <si>
    <t>Transports publics</t>
  </si>
  <si>
    <t>Carburants militaires</t>
  </si>
  <si>
    <t>Autres types de mobilités</t>
  </si>
  <si>
    <t>Evolution par rapport à 1990</t>
  </si>
  <si>
    <t>Solde mobilité des personnes</t>
  </si>
  <si>
    <t>par bovin</t>
  </si>
  <si>
    <t>Impact pour une vache estimée [kgCO2eq/vache]</t>
  </si>
  <si>
    <t>Kerosène</t>
  </si>
  <si>
    <t>check</t>
  </si>
  <si>
    <t>emissions par hectare</t>
  </si>
  <si>
    <t>FE/ha</t>
  </si>
  <si>
    <t>émissions territoriales en millions de tCO2eq/an</t>
  </si>
  <si>
    <t xml:space="preserve"> [mios. tCO2-eq]</t>
  </si>
  <si>
    <t>émissions totales et émissions nettes</t>
  </si>
  <si>
    <t>émissions nettes</t>
  </si>
  <si>
    <t>émissions de GES nettes</t>
  </si>
  <si>
    <t>Sols et forêts</t>
  </si>
  <si>
    <t>émissions territoriales</t>
  </si>
  <si>
    <t>Par hectare</t>
  </si>
  <si>
    <t>valeurs confédération</t>
  </si>
  <si>
    <t>Protoxyde d'azote</t>
  </si>
  <si>
    <t>calcul en tCO2eq</t>
  </si>
  <si>
    <t>calculé en tCO2eq</t>
  </si>
  <si>
    <t>Emissions Extraterritoriales 
[tCO2eq]</t>
  </si>
  <si>
    <t>kCHF</t>
  </si>
  <si>
    <t>+1% pour avoir un total de 100</t>
  </si>
  <si>
    <t>Emissions Territoriales / Emissions Nettes
 [tCO2eq]</t>
  </si>
  <si>
    <t>Aviation de tourisme et d'affaire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</si>
</sst>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0.000"/>
    <numFmt numFmtId="165" formatCode="0.0000000"/>
    <numFmt numFmtId="166" formatCode="_ * #,##0.00_)_ ;_ * \(#,##0.00\)_ ;_ * &quot;-&quot;??_)_ ;_ @_ "/>
    <numFmt numFmtId="167" formatCode="0.0%"/>
    <numFmt numFmtId="168" formatCode="0.0"/>
    <numFmt numFmtId="169" formatCode="_-* #,##0_-;\-* #,##0_-;_-* &quot;-&quot;??_-;_-@_-"/>
    <numFmt numFmtId="170" formatCode="_ * #,##0_)_ ;_ * \(#,##0\)_ ;_ * &quot;-&quot;??_)_ ;_ @_ "/>
    <numFmt numFmtId="171" formatCode="_ * #,##0.000_)_ ;_ * \(#,##0.000\)_ ;_ * &quot;-&quot;??_)_ ;_ @_ "/>
    <numFmt numFmtId="172" formatCode="\+0%;\-0%;\-"/>
    <numFmt numFmtId="173" formatCode="#,##0.0"/>
    <numFmt numFmtId="174" formatCode="_ * #,##0.0_)_ ;_ * \(#,##0.0\)_ ;_ * &quot;-&quot;??_)_ ;_ @_ "/>
    <numFmt numFmtId="175" formatCode="\+0.0%;\-0.0%;\-"/>
    <numFmt numFmtId="176" formatCode="0%;\-0%;\-"/>
    <numFmt numFmtId="177" formatCode="0.0000"/>
    <numFmt numFmtId="178" formatCode="0.000%"/>
    <numFmt numFmtId="179" formatCode="_-* #,##0.00\ _C_H_F_-;\-* #,##0.00\ _C_H_F_-;_-* &quot;-&quot;??\ _C_H_F_-;_-@_-"/>
    <numFmt numFmtId="180" formatCode="#,##0;\-#,##0;\-"/>
  </numFmts>
  <fonts count="8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6"/>
      <color theme="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4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 tint="-0.499984740745262"/>
      <name val="Calibri"/>
      <family val="2"/>
    </font>
    <font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</font>
    <font>
      <b/>
      <sz val="24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249977111117893"/>
      <name val="Calibri"/>
      <family val="2"/>
      <scheme val="minor"/>
    </font>
    <font>
      <b/>
      <sz val="2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b/>
      <sz val="11"/>
      <color theme="6"/>
      <name val="Calibri"/>
      <family val="2"/>
      <scheme val="minor"/>
    </font>
    <font>
      <sz val="11"/>
      <color theme="6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6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2"/>
      <name val="Calibri"/>
      <family val="2"/>
      <scheme val="minor"/>
    </font>
    <font>
      <sz val="12"/>
      <color theme="8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2"/>
      <color theme="8"/>
      <name val="Calibri"/>
      <family val="2"/>
      <scheme val="minor"/>
    </font>
    <font>
      <b/>
      <sz val="14"/>
      <color theme="8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8"/>
      <name val="Calibri"/>
      <family val="2"/>
      <scheme val="minor"/>
    </font>
    <font>
      <i/>
      <sz val="11"/>
      <name val="Calibri"/>
      <family val="2"/>
      <scheme val="minor"/>
    </font>
    <font>
      <i/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9"/>
      <color rgb="FF000000"/>
      <name val="Times New Roman"/>
      <family val="1"/>
    </font>
    <font>
      <i/>
      <sz val="11"/>
      <color theme="0" tint="-0.34998626667073579"/>
      <name val="Calibri"/>
      <family val="2"/>
      <scheme val="minor"/>
    </font>
    <font>
      <b/>
      <sz val="24"/>
      <color theme="0" tint="-4.9989318521683403E-2"/>
      <name val="Calibri"/>
      <family val="2"/>
      <scheme val="minor"/>
    </font>
    <font>
      <b/>
      <sz val="11"/>
      <color theme="7" tint="0.59999389629810485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7" tint="0.59999389629810485"/>
      <name val="Calibri"/>
      <family val="2"/>
      <scheme val="minor"/>
    </font>
    <font>
      <sz val="18"/>
      <color theme="0" tint="-0.499984740745262"/>
      <name val="Calibri"/>
      <family val="2"/>
      <scheme val="minor"/>
    </font>
    <font>
      <i/>
      <sz val="12"/>
      <color rgb="FFC00000"/>
      <name val="Calibri"/>
      <family val="2"/>
      <scheme val="minor"/>
    </font>
    <font>
      <sz val="12"/>
      <color theme="7" tint="0.5999938962981048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DC9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2" tint="-0.249977111117893"/>
      </left>
      <right style="thin">
        <color theme="2" tint="-0.249977111117893"/>
      </right>
      <top style="medium">
        <color theme="2" tint="-0.249977111117893"/>
      </top>
      <bottom style="double">
        <color theme="9"/>
      </bottom>
      <diagonal/>
    </border>
    <border>
      <left style="thin">
        <color theme="2" tint="-0.249977111117893"/>
      </left>
      <right style="thin">
        <color theme="2" tint="-0.249977111117893"/>
      </right>
      <top style="medium">
        <color theme="2" tint="-0.249977111117893"/>
      </top>
      <bottom style="double">
        <color theme="9"/>
      </bottom>
      <diagonal/>
    </border>
    <border>
      <left style="thin">
        <color theme="2" tint="-0.249977111117893"/>
      </left>
      <right style="medium">
        <color theme="2" tint="-0.249977111117893"/>
      </right>
      <top style="medium">
        <color theme="2" tint="-0.249977111117893"/>
      </top>
      <bottom style="double">
        <color theme="9"/>
      </bottom>
      <diagonal/>
    </border>
    <border>
      <left style="medium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medium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 style="medium">
        <color theme="2" tint="-0.249977111117893"/>
      </right>
      <top style="thin">
        <color theme="2" tint="-0.249977111117893"/>
      </top>
      <bottom style="medium">
        <color theme="2" tint="-0.249977111117893"/>
      </bottom>
      <diagonal/>
    </border>
    <border>
      <left style="thin">
        <color theme="2" tint="-0.249977111117893"/>
      </left>
      <right/>
      <top style="medium">
        <color theme="2" tint="-0.249977111117893"/>
      </top>
      <bottom style="double">
        <color theme="9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 style="medium">
        <color theme="2" tint="-0.249977111117893"/>
      </bottom>
      <diagonal/>
    </border>
    <border>
      <left/>
      <right/>
      <top/>
      <bottom style="medium">
        <color theme="2" tint="-0.249977111117893"/>
      </bottom>
      <diagonal/>
    </border>
    <border>
      <left style="thin">
        <color theme="2" tint="-0.249977111117893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0">
    <xf numFmtId="0" fontId="0" fillId="0" borderId="0"/>
    <xf numFmtId="0" fontId="17" fillId="0" borderId="0"/>
    <xf numFmtId="9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79" fillId="0" borderId="0"/>
    <xf numFmtId="43" fontId="18" fillId="0" borderId="0" applyFont="0" applyFill="0" applyBorder="0" applyAlignment="0" applyProtection="0"/>
  </cellStyleXfs>
  <cellXfs count="1012">
    <xf numFmtId="0" fontId="0" fillId="0" borderId="0" xfId="0"/>
    <xf numFmtId="0" fontId="2" fillId="2" borderId="0" xfId="0" applyFont="1" applyFill="1"/>
    <xf numFmtId="0" fontId="0" fillId="3" borderId="0" xfId="0" applyFill="1"/>
    <xf numFmtId="0" fontId="1" fillId="3" borderId="0" xfId="0" applyFont="1" applyFill="1" applyAlignment="1">
      <alignment horizontal="left"/>
    </xf>
    <xf numFmtId="0" fontId="0" fillId="4" borderId="1" xfId="0" applyFill="1" applyBorder="1"/>
    <xf numFmtId="0" fontId="0" fillId="0" borderId="2" xfId="0" applyBorder="1"/>
    <xf numFmtId="0" fontId="0" fillId="0" borderId="0" xfId="0" applyFill="1"/>
    <xf numFmtId="0" fontId="1" fillId="0" borderId="0" xfId="0" applyFont="1" applyFill="1" applyAlignment="1">
      <alignment horizontal="left"/>
    </xf>
    <xf numFmtId="0" fontId="0" fillId="4" borderId="7" xfId="0" applyFill="1" applyBorder="1"/>
    <xf numFmtId="0" fontId="0" fillId="4" borderId="8" xfId="0" applyFill="1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0" fillId="4" borderId="5" xfId="0" applyFill="1" applyBorder="1"/>
    <xf numFmtId="0" fontId="0" fillId="4" borderId="4" xfId="0" applyFill="1" applyBorder="1"/>
    <xf numFmtId="0" fontId="0" fillId="4" borderId="6" xfId="0" applyFill="1" applyBorder="1"/>
    <xf numFmtId="0" fontId="0" fillId="4" borderId="3" xfId="0" applyFill="1" applyBorder="1"/>
    <xf numFmtId="0" fontId="0" fillId="5" borderId="5" xfId="0" applyFill="1" applyBorder="1"/>
    <xf numFmtId="0" fontId="0" fillId="5" borderId="4" xfId="0" applyFill="1" applyBorder="1"/>
    <xf numFmtId="0" fontId="0" fillId="5" borderId="6" xfId="0" applyFill="1" applyBorder="1"/>
    <xf numFmtId="0" fontId="0" fillId="5" borderId="3" xfId="0" applyFill="1" applyBorder="1"/>
    <xf numFmtId="0" fontId="0" fillId="5" borderId="0" xfId="0" applyFill="1"/>
    <xf numFmtId="0" fontId="3" fillId="5" borderId="0" xfId="0" applyFont="1" applyFill="1"/>
    <xf numFmtId="0" fontId="7" fillId="2" borderId="0" xfId="0" applyFont="1" applyFill="1"/>
    <xf numFmtId="0" fontId="6" fillId="3" borderId="0" xfId="0" applyFont="1" applyFill="1"/>
    <xf numFmtId="0" fontId="8" fillId="5" borderId="0" xfId="0" applyFont="1" applyFill="1"/>
    <xf numFmtId="0" fontId="1" fillId="5" borderId="0" xfId="0" applyFont="1" applyFill="1"/>
    <xf numFmtId="0" fontId="8" fillId="0" borderId="0" xfId="0" applyFont="1" applyFill="1"/>
    <xf numFmtId="0" fontId="7" fillId="0" borderId="0" xfId="0" applyFont="1" applyFill="1"/>
    <xf numFmtId="0" fontId="6" fillId="0" borderId="0" xfId="0" applyFont="1" applyFill="1"/>
    <xf numFmtId="0" fontId="9" fillId="0" borderId="0" xfId="0" applyFont="1" applyFill="1"/>
    <xf numFmtId="0" fontId="5" fillId="0" borderId="0" xfId="0" applyFont="1"/>
    <xf numFmtId="1" fontId="0" fillId="0" borderId="0" xfId="0" applyNumberFormat="1"/>
    <xf numFmtId="0" fontId="0" fillId="0" borderId="0" xfId="0" applyAlignment="1">
      <alignment horizontal="right"/>
    </xf>
    <xf numFmtId="0" fontId="4" fillId="2" borderId="0" xfId="0" applyFont="1" applyFill="1"/>
    <xf numFmtId="0" fontId="10" fillId="0" borderId="0" xfId="0" applyFont="1"/>
    <xf numFmtId="0" fontId="11" fillId="2" borderId="0" xfId="0" applyFont="1" applyFill="1"/>
    <xf numFmtId="0" fontId="12" fillId="0" borderId="0" xfId="0" applyFont="1"/>
    <xf numFmtId="0" fontId="13" fillId="0" borderId="0" xfId="0" applyFont="1"/>
    <xf numFmtId="1" fontId="13" fillId="0" borderId="0" xfId="0" applyNumberFormat="1" applyFont="1"/>
    <xf numFmtId="164" fontId="0" fillId="0" borderId="0" xfId="0" applyNumberFormat="1"/>
    <xf numFmtId="2" fontId="0" fillId="0" borderId="0" xfId="0" applyNumberFormat="1"/>
    <xf numFmtId="1" fontId="7" fillId="2" borderId="0" xfId="0" applyNumberFormat="1" applyFont="1" applyFill="1"/>
    <xf numFmtId="1" fontId="0" fillId="0" borderId="0" xfId="0" applyNumberFormat="1" applyAlignment="1">
      <alignment horizontal="right"/>
    </xf>
    <xf numFmtId="0" fontId="5" fillId="6" borderId="0" xfId="0" applyFont="1" applyFill="1"/>
    <xf numFmtId="0" fontId="0" fillId="6" borderId="0" xfId="0" applyFill="1"/>
    <xf numFmtId="1" fontId="0" fillId="6" borderId="0" xfId="0" applyNumberFormat="1" applyFill="1"/>
    <xf numFmtId="0" fontId="1" fillId="6" borderId="0" xfId="0" applyFont="1" applyFill="1"/>
    <xf numFmtId="0" fontId="0" fillId="2" borderId="18" xfId="0" applyFill="1" applyBorder="1"/>
    <xf numFmtId="1" fontId="4" fillId="2" borderId="18" xfId="0" applyNumberFormat="1" applyFont="1" applyFill="1" applyBorder="1"/>
    <xf numFmtId="1" fontId="1" fillId="6" borderId="18" xfId="0" applyNumberFormat="1" applyFont="1" applyFill="1" applyBorder="1"/>
    <xf numFmtId="0" fontId="6" fillId="3" borderId="9" xfId="0" applyFont="1" applyFill="1" applyBorder="1"/>
    <xf numFmtId="0" fontId="6" fillId="3" borderId="11" xfId="0" applyFont="1" applyFill="1" applyBorder="1"/>
    <xf numFmtId="0" fontId="14" fillId="7" borderId="19" xfId="0" applyFont="1" applyFill="1" applyBorder="1"/>
    <xf numFmtId="0" fontId="13" fillId="7" borderId="18" xfId="0" applyFont="1" applyFill="1" applyBorder="1"/>
    <xf numFmtId="0" fontId="14" fillId="7" borderId="18" xfId="0" applyFont="1" applyFill="1" applyBorder="1"/>
    <xf numFmtId="1" fontId="13" fillId="7" borderId="18" xfId="0" applyNumberFormat="1" applyFont="1" applyFill="1" applyBorder="1"/>
    <xf numFmtId="1" fontId="13" fillId="7" borderId="20" xfId="0" applyNumberFormat="1" applyFont="1" applyFill="1" applyBorder="1"/>
    <xf numFmtId="0" fontId="13" fillId="0" borderId="0" xfId="0" applyFont="1" applyAlignment="1">
      <alignment horizontal="right"/>
    </xf>
    <xf numFmtId="164" fontId="0" fillId="0" borderId="0" xfId="0" applyNumberFormat="1" applyBorder="1"/>
    <xf numFmtId="164" fontId="0" fillId="0" borderId="10" xfId="0" applyNumberFormat="1" applyBorder="1"/>
    <xf numFmtId="164" fontId="0" fillId="0" borderId="2" xfId="0" applyNumberFormat="1" applyBorder="1"/>
    <xf numFmtId="164" fontId="0" fillId="0" borderId="12" xfId="0" applyNumberFormat="1" applyBorder="1"/>
    <xf numFmtId="0" fontId="0" fillId="0" borderId="16" xfId="0" applyBorder="1"/>
    <xf numFmtId="0" fontId="0" fillId="0" borderId="17" xfId="0" applyBorder="1"/>
    <xf numFmtId="0" fontId="15" fillId="9" borderId="0" xfId="0" applyFont="1" applyFill="1"/>
    <xf numFmtId="0" fontId="0" fillId="9" borderId="0" xfId="0" applyFill="1"/>
    <xf numFmtId="0" fontId="1" fillId="0" borderId="0" xfId="0" applyFont="1" applyFill="1"/>
    <xf numFmtId="0" fontId="6" fillId="3" borderId="0" xfId="0" applyFont="1" applyFill="1" applyBorder="1"/>
    <xf numFmtId="2" fontId="0" fillId="0" borderId="0" xfId="0" applyNumberFormat="1" applyFill="1"/>
    <xf numFmtId="0" fontId="9" fillId="3" borderId="0" xfId="0" applyFont="1" applyFill="1"/>
    <xf numFmtId="1" fontId="0" fillId="0" borderId="0" xfId="0" applyNumberFormat="1" applyFill="1"/>
    <xf numFmtId="0" fontId="6" fillId="2" borderId="18" xfId="0" applyFont="1" applyFill="1" applyBorder="1"/>
    <xf numFmtId="165" fontId="0" fillId="0" borderId="0" xfId="0" applyNumberFormat="1" applyFill="1"/>
    <xf numFmtId="0" fontId="2" fillId="10" borderId="0" xfId="0" applyFont="1" applyFill="1"/>
    <xf numFmtId="0" fontId="4" fillId="11" borderId="0" xfId="0" applyFont="1" applyFill="1"/>
    <xf numFmtId="0" fontId="0" fillId="12" borderId="0" xfId="0" applyFill="1"/>
    <xf numFmtId="0" fontId="19" fillId="12" borderId="0" xfId="0" applyFont="1" applyFill="1"/>
    <xf numFmtId="0" fontId="0" fillId="13" borderId="0" xfId="0" applyFill="1"/>
    <xf numFmtId="0" fontId="1" fillId="13" borderId="0" xfId="0" applyFont="1" applyFill="1"/>
    <xf numFmtId="0" fontId="0" fillId="13" borderId="5" xfId="0" applyFill="1" applyBorder="1"/>
    <xf numFmtId="0" fontId="0" fillId="13" borderId="4" xfId="0" applyFill="1" applyBorder="1"/>
    <xf numFmtId="0" fontId="0" fillId="13" borderId="6" xfId="0" applyFill="1" applyBorder="1"/>
    <xf numFmtId="0" fontId="0" fillId="13" borderId="3" xfId="0" applyFill="1" applyBorder="1"/>
    <xf numFmtId="0" fontId="0" fillId="6" borderId="21" xfId="0" applyFill="1" applyBorder="1"/>
    <xf numFmtId="0" fontId="0" fillId="6" borderId="22" xfId="0" applyFill="1" applyBorder="1"/>
    <xf numFmtId="164" fontId="0" fillId="0" borderId="25" xfId="0" applyNumberFormat="1" applyBorder="1"/>
    <xf numFmtId="0" fontId="0" fillId="0" borderId="29" xfId="0" applyBorder="1"/>
    <xf numFmtId="0" fontId="0" fillId="0" borderId="30" xfId="0" applyBorder="1"/>
    <xf numFmtId="164" fontId="0" fillId="0" borderId="31" xfId="0" applyNumberFormat="1" applyBorder="1"/>
    <xf numFmtId="0" fontId="0" fillId="0" borderId="33" xfId="0" applyBorder="1"/>
    <xf numFmtId="164" fontId="0" fillId="0" borderId="33" xfId="0" applyNumberFormat="1" applyBorder="1"/>
    <xf numFmtId="0" fontId="0" fillId="6" borderId="35" xfId="0" applyFill="1" applyBorder="1"/>
    <xf numFmtId="164" fontId="0" fillId="0" borderId="36" xfId="0" applyNumberFormat="1" applyBorder="1"/>
    <xf numFmtId="164" fontId="0" fillId="0" borderId="38" xfId="0" applyNumberFormat="1" applyBorder="1"/>
    <xf numFmtId="2" fontId="0" fillId="0" borderId="24" xfId="0" applyNumberFormat="1" applyBorder="1"/>
    <xf numFmtId="2" fontId="0" fillId="0" borderId="25" xfId="0" applyNumberFormat="1" applyBorder="1"/>
    <xf numFmtId="2" fontId="0" fillId="0" borderId="27" xfId="0" applyNumberFormat="1" applyBorder="1"/>
    <xf numFmtId="164" fontId="0" fillId="0" borderId="40" xfId="0" applyNumberFormat="1" applyFill="1" applyBorder="1"/>
    <xf numFmtId="164" fontId="0" fillId="0" borderId="0" xfId="0" applyNumberFormat="1" applyFill="1" applyBorder="1"/>
    <xf numFmtId="0" fontId="1" fillId="0" borderId="0" xfId="0" applyFont="1"/>
    <xf numFmtId="0" fontId="1" fillId="6" borderId="22" xfId="0" applyFont="1" applyFill="1" applyBorder="1"/>
    <xf numFmtId="164" fontId="1" fillId="0" borderId="25" xfId="0" applyNumberFormat="1" applyFont="1" applyBorder="1"/>
    <xf numFmtId="164" fontId="1" fillId="0" borderId="28" xfId="0" applyNumberFormat="1" applyFont="1" applyBorder="1"/>
    <xf numFmtId="164" fontId="1" fillId="0" borderId="0" xfId="0" applyNumberFormat="1" applyFont="1"/>
    <xf numFmtId="164" fontId="1" fillId="0" borderId="31" xfId="0" applyNumberFormat="1" applyFont="1" applyBorder="1"/>
    <xf numFmtId="164" fontId="1" fillId="0" borderId="33" xfId="0" applyNumberFormat="1" applyFont="1" applyBorder="1"/>
    <xf numFmtId="0" fontId="1" fillId="6" borderId="23" xfId="0" applyFont="1" applyFill="1" applyBorder="1"/>
    <xf numFmtId="164" fontId="1" fillId="0" borderId="26" xfId="0" applyNumberFormat="1" applyFont="1" applyBorder="1"/>
    <xf numFmtId="164" fontId="1" fillId="0" borderId="34" xfId="0" applyNumberFormat="1" applyFont="1" applyBorder="1"/>
    <xf numFmtId="0" fontId="22" fillId="0" borderId="0" xfId="0" applyFont="1"/>
    <xf numFmtId="0" fontId="0" fillId="15" borderId="0" xfId="0" applyFill="1"/>
    <xf numFmtId="0" fontId="1" fillId="15" borderId="0" xfId="0" applyFont="1" applyFill="1"/>
    <xf numFmtId="0" fontId="23" fillId="15" borderId="0" xfId="0" applyFont="1" applyFill="1"/>
    <xf numFmtId="0" fontId="22" fillId="12" borderId="0" xfId="0" applyFont="1" applyFill="1"/>
    <xf numFmtId="0" fontId="22" fillId="13" borderId="0" xfId="0" applyFont="1" applyFill="1"/>
    <xf numFmtId="2" fontId="22" fillId="0" borderId="0" xfId="0" applyNumberFormat="1" applyFont="1"/>
    <xf numFmtId="0" fontId="24" fillId="0" borderId="0" xfId="0" applyFont="1"/>
    <xf numFmtId="0" fontId="0" fillId="14" borderId="0" xfId="0" applyFill="1"/>
    <xf numFmtId="3" fontId="0" fillId="14" borderId="41" xfId="0" applyNumberFormat="1" applyFill="1" applyBorder="1"/>
    <xf numFmtId="3" fontId="0" fillId="14" borderId="0" xfId="0" applyNumberFormat="1" applyFill="1"/>
    <xf numFmtId="167" fontId="0" fillId="14" borderId="0" xfId="2" applyNumberFormat="1" applyFont="1" applyFill="1"/>
    <xf numFmtId="0" fontId="26" fillId="14" borderId="0" xfId="0" applyFont="1" applyFill="1"/>
    <xf numFmtId="167" fontId="26" fillId="14" borderId="0" xfId="2" applyNumberFormat="1" applyFont="1" applyFill="1"/>
    <xf numFmtId="0" fontId="1" fillId="0" borderId="2" xfId="0" applyFont="1" applyFill="1" applyBorder="1"/>
    <xf numFmtId="0" fontId="0" fillId="0" borderId="2" xfId="0" applyFill="1" applyBorder="1"/>
    <xf numFmtId="0" fontId="0" fillId="7" borderId="0" xfId="0" applyFill="1"/>
    <xf numFmtId="0" fontId="27" fillId="7" borderId="0" xfId="0" applyFont="1" applyFill="1"/>
    <xf numFmtId="3" fontId="0" fillId="14" borderId="0" xfId="0" applyNumberFormat="1" applyFont="1" applyFill="1"/>
    <xf numFmtId="1" fontId="0" fillId="0" borderId="0" xfId="0" applyNumberFormat="1" applyBorder="1"/>
    <xf numFmtId="4" fontId="0" fillId="12" borderId="0" xfId="0" applyNumberFormat="1" applyFill="1"/>
    <xf numFmtId="4" fontId="0" fillId="13" borderId="0" xfId="0" applyNumberFormat="1" applyFill="1"/>
    <xf numFmtId="4" fontId="0" fillId="0" borderId="0" xfId="0" applyNumberFormat="1"/>
    <xf numFmtId="4" fontId="0" fillId="4" borderId="7" xfId="0" applyNumberFormat="1" applyFill="1" applyBorder="1"/>
    <xf numFmtId="4" fontId="0" fillId="4" borderId="1" xfId="0" applyNumberFormat="1" applyFill="1" applyBorder="1"/>
    <xf numFmtId="4" fontId="0" fillId="4" borderId="8" xfId="0" applyNumberFormat="1" applyFill="1" applyBorder="1"/>
    <xf numFmtId="4" fontId="0" fillId="4" borderId="5" xfId="0" applyNumberFormat="1" applyFill="1" applyBorder="1"/>
    <xf numFmtId="4" fontId="0" fillId="4" borderId="3" xfId="0" applyNumberFormat="1" applyFill="1" applyBorder="1"/>
    <xf numFmtId="4" fontId="0" fillId="4" borderId="6" xfId="0" applyNumberFormat="1" applyFill="1" applyBorder="1"/>
    <xf numFmtId="4" fontId="0" fillId="13" borderId="5" xfId="0" applyNumberFormat="1" applyFill="1" applyBorder="1"/>
    <xf numFmtId="4" fontId="0" fillId="13" borderId="3" xfId="0" applyNumberFormat="1" applyFill="1" applyBorder="1"/>
    <xf numFmtId="3" fontId="0" fillId="0" borderId="0" xfId="0" applyNumberFormat="1" applyBorder="1"/>
    <xf numFmtId="3" fontId="0" fillId="0" borderId="9" xfId="0" applyNumberFormat="1" applyBorder="1"/>
    <xf numFmtId="3" fontId="0" fillId="0" borderId="11" xfId="0" applyNumberFormat="1" applyBorder="1"/>
    <xf numFmtId="3" fontId="0" fillId="0" borderId="2" xfId="0" applyNumberFormat="1" applyBorder="1"/>
    <xf numFmtId="3" fontId="0" fillId="0" borderId="10" xfId="0" applyNumberFormat="1" applyBorder="1"/>
    <xf numFmtId="3" fontId="0" fillId="0" borderId="19" xfId="0" applyNumberFormat="1" applyBorder="1"/>
    <xf numFmtId="3" fontId="0" fillId="0" borderId="18" xfId="0" applyNumberFormat="1" applyBorder="1"/>
    <xf numFmtId="4" fontId="0" fillId="4" borderId="11" xfId="0" applyNumberFormat="1" applyFill="1" applyBorder="1"/>
    <xf numFmtId="4" fontId="0" fillId="4" borderId="2" xfId="0" applyNumberFormat="1" applyFill="1" applyBorder="1"/>
    <xf numFmtId="3" fontId="0" fillId="0" borderId="20" xfId="0" applyNumberFormat="1" applyBorder="1"/>
    <xf numFmtId="3" fontId="0" fillId="0" borderId="12" xfId="0" applyNumberFormat="1" applyBorder="1"/>
    <xf numFmtId="4" fontId="0" fillId="4" borderId="13" xfId="0" applyNumberFormat="1" applyFill="1" applyBorder="1"/>
    <xf numFmtId="4" fontId="0" fillId="4" borderId="41" xfId="0" applyNumberFormat="1" applyFill="1" applyBorder="1"/>
    <xf numFmtId="4" fontId="0" fillId="4" borderId="14" xfId="0" applyNumberFormat="1" applyFill="1" applyBorder="1"/>
    <xf numFmtId="3" fontId="0" fillId="0" borderId="0" xfId="0" applyNumberFormat="1"/>
    <xf numFmtId="0" fontId="0" fillId="0" borderId="0" xfId="0" applyFont="1"/>
    <xf numFmtId="0" fontId="0" fillId="16" borderId="0" xfId="0" applyFont="1" applyFill="1"/>
    <xf numFmtId="0" fontId="28" fillId="16" borderId="0" xfId="0" applyFont="1" applyFill="1"/>
    <xf numFmtId="0" fontId="1" fillId="17" borderId="0" xfId="0" applyFont="1" applyFill="1"/>
    <xf numFmtId="0" fontId="0" fillId="17" borderId="0" xfId="0" applyFill="1"/>
    <xf numFmtId="4" fontId="0" fillId="17" borderId="0" xfId="0" applyNumberFormat="1" applyFill="1"/>
    <xf numFmtId="0" fontId="22" fillId="17" borderId="0" xfId="0" applyFont="1" applyFill="1"/>
    <xf numFmtId="0" fontId="0" fillId="17" borderId="5" xfId="0" applyFill="1" applyBorder="1"/>
    <xf numFmtId="0" fontId="0" fillId="17" borderId="4" xfId="0" applyFill="1" applyBorder="1"/>
    <xf numFmtId="0" fontId="0" fillId="17" borderId="6" xfId="0" applyFill="1" applyBorder="1"/>
    <xf numFmtId="0" fontId="0" fillId="17" borderId="3" xfId="0" applyFill="1" applyBorder="1"/>
    <xf numFmtId="4" fontId="0" fillId="17" borderId="5" xfId="0" applyNumberFormat="1" applyFill="1" applyBorder="1"/>
    <xf numFmtId="4" fontId="0" fillId="17" borderId="3" xfId="0" applyNumberFormat="1" applyFill="1" applyBorder="1"/>
    <xf numFmtId="0" fontId="19" fillId="16" borderId="0" xfId="0" applyFont="1" applyFill="1"/>
    <xf numFmtId="9" fontId="0" fillId="0" borderId="0" xfId="2" applyFont="1"/>
    <xf numFmtId="3" fontId="1" fillId="0" borderId="0" xfId="0" applyNumberFormat="1" applyFont="1"/>
    <xf numFmtId="9" fontId="0" fillId="6" borderId="0" xfId="0" applyNumberFormat="1" applyFill="1"/>
    <xf numFmtId="0" fontId="0" fillId="16" borderId="0" xfId="0" applyFill="1"/>
    <xf numFmtId="0" fontId="1" fillId="18" borderId="0" xfId="0" applyFont="1" applyFill="1"/>
    <xf numFmtId="0" fontId="0" fillId="18" borderId="0" xfId="0" applyFill="1"/>
    <xf numFmtId="0" fontId="1" fillId="0" borderId="2" xfId="0" applyFont="1" applyBorder="1"/>
    <xf numFmtId="0" fontId="29" fillId="0" borderId="2" xfId="0" applyFont="1" applyBorder="1"/>
    <xf numFmtId="1" fontId="1" fillId="0" borderId="0" xfId="0" applyNumberFormat="1" applyFont="1"/>
    <xf numFmtId="3" fontId="0" fillId="13" borderId="6" xfId="0" applyNumberFormat="1" applyFill="1" applyBorder="1"/>
    <xf numFmtId="11" fontId="0" fillId="0" borderId="0" xfId="0" applyNumberFormat="1"/>
    <xf numFmtId="0" fontId="19" fillId="13" borderId="0" xfId="0" applyFont="1" applyFill="1"/>
    <xf numFmtId="0" fontId="3" fillId="13" borderId="0" xfId="0" applyFont="1" applyFill="1"/>
    <xf numFmtId="0" fontId="30" fillId="13" borderId="0" xfId="0" applyFont="1" applyFill="1"/>
    <xf numFmtId="3" fontId="0" fillId="0" borderId="42" xfId="0" applyNumberFormat="1" applyBorder="1"/>
    <xf numFmtId="3" fontId="0" fillId="0" borderId="43" xfId="0" applyNumberFormat="1" applyBorder="1"/>
    <xf numFmtId="0" fontId="31" fillId="9" borderId="0" xfId="0" applyFont="1" applyFill="1"/>
    <xf numFmtId="0" fontId="1" fillId="19" borderId="0" xfId="0" applyFont="1" applyFill="1"/>
    <xf numFmtId="0" fontId="0" fillId="19" borderId="0" xfId="0" applyFill="1"/>
    <xf numFmtId="4" fontId="0" fillId="19" borderId="0" xfId="0" applyNumberFormat="1" applyFill="1"/>
    <xf numFmtId="0" fontId="22" fillId="19" borderId="0" xfId="0" applyFont="1" applyFill="1"/>
    <xf numFmtId="0" fontId="0" fillId="19" borderId="5" xfId="0" applyFill="1" applyBorder="1"/>
    <xf numFmtId="0" fontId="0" fillId="19" borderId="4" xfId="0" applyFill="1" applyBorder="1"/>
    <xf numFmtId="0" fontId="0" fillId="19" borderId="6" xfId="0" applyFill="1" applyBorder="1"/>
    <xf numFmtId="0" fontId="0" fillId="19" borderId="3" xfId="0" applyFill="1" applyBorder="1"/>
    <xf numFmtId="0" fontId="0" fillId="0" borderId="9" xfId="0" applyBorder="1" applyAlignment="1">
      <alignment horizontal="left" vertical="center"/>
    </xf>
    <xf numFmtId="0" fontId="0" fillId="0" borderId="16" xfId="0" applyFill="1" applyBorder="1"/>
    <xf numFmtId="0" fontId="32" fillId="9" borderId="0" xfId="0" applyFont="1" applyFill="1"/>
    <xf numFmtId="0" fontId="1" fillId="20" borderId="0" xfId="0" applyFont="1" applyFill="1"/>
    <xf numFmtId="0" fontId="0" fillId="0" borderId="19" xfId="0" applyBorder="1"/>
    <xf numFmtId="0" fontId="22" fillId="0" borderId="9" xfId="0" applyFont="1" applyBorder="1"/>
    <xf numFmtId="1" fontId="0" fillId="0" borderId="9" xfId="0" applyNumberFormat="1" applyBorder="1"/>
    <xf numFmtId="3" fontId="0" fillId="4" borderId="11" xfId="0" applyNumberFormat="1" applyFill="1" applyBorder="1"/>
    <xf numFmtId="3" fontId="0" fillId="4" borderId="6" xfId="0" applyNumberFormat="1" applyFill="1" applyBorder="1"/>
    <xf numFmtId="3" fontId="0" fillId="4" borderId="3" xfId="0" applyNumberFormat="1" applyFill="1" applyBorder="1"/>
    <xf numFmtId="3" fontId="0" fillId="4" borderId="2" xfId="0" applyNumberFormat="1" applyFill="1" applyBorder="1"/>
    <xf numFmtId="3" fontId="0" fillId="4" borderId="5" xfId="0" applyNumberFormat="1" applyFill="1" applyBorder="1"/>
    <xf numFmtId="0" fontId="1" fillId="0" borderId="0" xfId="0" applyFont="1" applyBorder="1"/>
    <xf numFmtId="168" fontId="0" fillId="0" borderId="0" xfId="0" applyNumberFormat="1"/>
    <xf numFmtId="167" fontId="0" fillId="0" borderId="0" xfId="2" applyNumberFormat="1" applyFont="1"/>
    <xf numFmtId="0" fontId="1" fillId="7" borderId="0" xfId="0" applyFont="1" applyFill="1"/>
    <xf numFmtId="0" fontId="24" fillId="0" borderId="0" xfId="0" applyFont="1" applyAlignment="1">
      <alignment horizontal="right"/>
    </xf>
    <xf numFmtId="3" fontId="24" fillId="0" borderId="0" xfId="0" applyNumberFormat="1" applyFont="1"/>
    <xf numFmtId="0" fontId="0" fillId="0" borderId="0" xfId="0" applyFont="1" applyAlignment="1">
      <alignment horizontal="right"/>
    </xf>
    <xf numFmtId="3" fontId="0" fillId="0" borderId="0" xfId="0" applyNumberFormat="1" applyFont="1"/>
    <xf numFmtId="0" fontId="0" fillId="0" borderId="2" xfId="0" applyBorder="1" applyAlignment="1">
      <alignment horizontal="right"/>
    </xf>
    <xf numFmtId="0" fontId="0" fillId="0" borderId="0" xfId="0" applyAlignment="1"/>
    <xf numFmtId="3" fontId="1" fillId="0" borderId="2" xfId="0" applyNumberFormat="1" applyFont="1" applyBorder="1"/>
    <xf numFmtId="3" fontId="0" fillId="0" borderId="2" xfId="0" applyNumberFormat="1" applyFont="1" applyBorder="1"/>
    <xf numFmtId="3" fontId="0" fillId="0" borderId="45" xfId="0" applyNumberFormat="1" applyBorder="1"/>
    <xf numFmtId="2" fontId="22" fillId="0" borderId="9" xfId="0" applyNumberFormat="1" applyFont="1" applyBorder="1"/>
    <xf numFmtId="4" fontId="0" fillId="17" borderId="0" xfId="0" applyNumberFormat="1" applyFont="1" applyFill="1"/>
    <xf numFmtId="4" fontId="0" fillId="0" borderId="0" xfId="0" applyNumberFormat="1" applyFont="1"/>
    <xf numFmtId="4" fontId="0" fillId="4" borderId="14" xfId="0" applyNumberFormat="1" applyFont="1" applyFill="1" applyBorder="1"/>
    <xf numFmtId="3" fontId="0" fillId="0" borderId="0" xfId="0" applyNumberFormat="1" applyFont="1" applyBorder="1"/>
    <xf numFmtId="4" fontId="0" fillId="4" borderId="8" xfId="0" applyNumberFormat="1" applyFont="1" applyFill="1" applyBorder="1"/>
    <xf numFmtId="3" fontId="0" fillId="0" borderId="10" xfId="0" applyNumberFormat="1" applyFont="1" applyBorder="1"/>
    <xf numFmtId="4" fontId="0" fillId="4" borderId="6" xfId="0" applyNumberFormat="1" applyFont="1" applyFill="1" applyBorder="1"/>
    <xf numFmtId="3" fontId="0" fillId="0" borderId="44" xfId="0" applyNumberFormat="1" applyFont="1" applyBorder="1"/>
    <xf numFmtId="3" fontId="24" fillId="0" borderId="0" xfId="0" applyNumberFormat="1" applyFont="1" applyBorder="1"/>
    <xf numFmtId="3" fontId="0" fillId="17" borderId="3" xfId="0" applyNumberFormat="1" applyFill="1" applyBorder="1"/>
    <xf numFmtId="3" fontId="0" fillId="17" borderId="5" xfId="0" applyNumberFormat="1" applyFill="1" applyBorder="1"/>
    <xf numFmtId="3" fontId="0" fillId="17" borderId="0" xfId="0" applyNumberFormat="1" applyFill="1"/>
    <xf numFmtId="3" fontId="0" fillId="4" borderId="1" xfId="0" applyNumberFormat="1" applyFill="1" applyBorder="1"/>
    <xf numFmtId="3" fontId="0" fillId="4" borderId="7" xfId="0" applyNumberFormat="1" applyFill="1" applyBorder="1"/>
    <xf numFmtId="0" fontId="22" fillId="16" borderId="0" xfId="0" applyFont="1" applyFill="1"/>
    <xf numFmtId="3" fontId="0" fillId="4" borderId="2" xfId="0" applyNumberFormat="1" applyFont="1" applyFill="1" applyBorder="1"/>
    <xf numFmtId="3" fontId="0" fillId="17" borderId="6" xfId="0" applyNumberFormat="1" applyFont="1" applyFill="1" applyBorder="1"/>
    <xf numFmtId="3" fontId="0" fillId="17" borderId="0" xfId="0" applyNumberFormat="1" applyFont="1" applyFill="1"/>
    <xf numFmtId="3" fontId="0" fillId="4" borderId="8" xfId="0" applyNumberFormat="1" applyFont="1" applyFill="1" applyBorder="1"/>
    <xf numFmtId="3" fontId="0" fillId="4" borderId="12" xfId="0" applyNumberFormat="1" applyFont="1" applyFill="1" applyBorder="1"/>
    <xf numFmtId="3" fontId="0" fillId="4" borderId="11" xfId="0" applyNumberFormat="1" applyFont="1" applyFill="1" applyBorder="1"/>
    <xf numFmtId="3" fontId="0" fillId="0" borderId="9" xfId="0" applyNumberFormat="1" applyFont="1" applyBorder="1"/>
    <xf numFmtId="0" fontId="2" fillId="21" borderId="0" xfId="0" applyFont="1" applyFill="1"/>
    <xf numFmtId="0" fontId="1" fillId="22" borderId="0" xfId="0" applyFont="1" applyFill="1" applyAlignment="1">
      <alignment horizontal="left"/>
    </xf>
    <xf numFmtId="0" fontId="0" fillId="22" borderId="0" xfId="0" applyFill="1"/>
    <xf numFmtId="0" fontId="0" fillId="22" borderId="5" xfId="0" applyFill="1" applyBorder="1"/>
    <xf numFmtId="0" fontId="0" fillId="22" borderId="4" xfId="0" applyFill="1" applyBorder="1"/>
    <xf numFmtId="0" fontId="0" fillId="22" borderId="6" xfId="0" applyFill="1" applyBorder="1"/>
    <xf numFmtId="0" fontId="0" fillId="22" borderId="3" xfId="0" applyFill="1" applyBorder="1"/>
    <xf numFmtId="0" fontId="0" fillId="21" borderId="0" xfId="0" applyFill="1"/>
    <xf numFmtId="0" fontId="33" fillId="21" borderId="0" xfId="0" applyFont="1" applyFill="1"/>
    <xf numFmtId="0" fontId="0" fillId="23" borderId="0" xfId="0" applyFill="1"/>
    <xf numFmtId="0" fontId="34" fillId="23" borderId="0" xfId="0" applyFont="1" applyFill="1"/>
    <xf numFmtId="0" fontId="0" fillId="0" borderId="16" xfId="0" applyBorder="1" applyAlignment="1">
      <alignment horizontal="left"/>
    </xf>
    <xf numFmtId="0" fontId="24" fillId="0" borderId="0" xfId="0" applyFont="1" applyFill="1"/>
    <xf numFmtId="0" fontId="0" fillId="0" borderId="0" xfId="0" applyFont="1" applyFill="1"/>
    <xf numFmtId="0" fontId="35" fillId="0" borderId="9" xfId="0" applyFont="1" applyBorder="1"/>
    <xf numFmtId="0" fontId="0" fillId="2" borderId="0" xfId="0" applyFill="1"/>
    <xf numFmtId="2" fontId="7" fillId="2" borderId="0" xfId="0" applyNumberFormat="1" applyFont="1" applyFill="1"/>
    <xf numFmtId="0" fontId="7" fillId="2" borderId="0" xfId="0" applyNumberFormat="1" applyFont="1" applyFill="1"/>
    <xf numFmtId="0" fontId="1" fillId="3" borderId="0" xfId="0" applyFont="1" applyFill="1"/>
    <xf numFmtId="0" fontId="0" fillId="0" borderId="46" xfId="0" applyBorder="1" applyAlignment="1">
      <alignment horizontal="left"/>
    </xf>
    <xf numFmtId="0" fontId="0" fillId="0" borderId="20" xfId="0" applyBorder="1"/>
    <xf numFmtId="0" fontId="0" fillId="0" borderId="19" xfId="0" applyFill="1" applyBorder="1"/>
    <xf numFmtId="0" fontId="0" fillId="0" borderId="17" xfId="0" applyFill="1" applyBorder="1"/>
    <xf numFmtId="0" fontId="0" fillId="0" borderId="46" xfId="0" applyFill="1" applyBorder="1"/>
    <xf numFmtId="0" fontId="0" fillId="0" borderId="12" xfId="0" applyFill="1" applyBorder="1"/>
    <xf numFmtId="3" fontId="2" fillId="2" borderId="0" xfId="0" applyNumberFormat="1" applyFont="1" applyFill="1"/>
    <xf numFmtId="3" fontId="0" fillId="3" borderId="0" xfId="0" applyNumberFormat="1" applyFill="1"/>
    <xf numFmtId="3" fontId="0" fillId="0" borderId="0" xfId="0" applyNumberFormat="1" applyFill="1"/>
    <xf numFmtId="3" fontId="0" fillId="4" borderId="8" xfId="0" applyNumberFormat="1" applyFill="1" applyBorder="1"/>
    <xf numFmtId="3" fontId="0" fillId="5" borderId="5" xfId="0" applyNumberFormat="1" applyFill="1" applyBorder="1"/>
    <xf numFmtId="3" fontId="0" fillId="5" borderId="3" xfId="0" applyNumberFormat="1" applyFill="1" applyBorder="1"/>
    <xf numFmtId="3" fontId="0" fillId="5" borderId="6" xfId="0" applyNumberFormat="1" applyFill="1" applyBorder="1"/>
    <xf numFmtId="3" fontId="0" fillId="0" borderId="19" xfId="0" applyNumberFormat="1" applyFill="1" applyBorder="1"/>
    <xf numFmtId="3" fontId="0" fillId="0" borderId="18" xfId="0" applyNumberFormat="1" applyFill="1" applyBorder="1"/>
    <xf numFmtId="3" fontId="1" fillId="0" borderId="0" xfId="0" applyNumberFormat="1" applyFont="1" applyFill="1"/>
    <xf numFmtId="1" fontId="1" fillId="0" borderId="0" xfId="0" applyNumberFormat="1" applyFont="1" applyFill="1"/>
    <xf numFmtId="0" fontId="0" fillId="24" borderId="0" xfId="0" applyFill="1"/>
    <xf numFmtId="0" fontId="36" fillId="24" borderId="0" xfId="0" applyFont="1" applyFill="1"/>
    <xf numFmtId="0" fontId="33" fillId="24" borderId="0" xfId="0" applyFont="1" applyFill="1"/>
    <xf numFmtId="0" fontId="0" fillId="0" borderId="47" xfId="0" applyBorder="1"/>
    <xf numFmtId="3" fontId="0" fillId="0" borderId="44" xfId="0" applyNumberFormat="1" applyBorder="1"/>
    <xf numFmtId="1" fontId="0" fillId="14" borderId="41" xfId="0" applyNumberFormat="1" applyFont="1" applyFill="1" applyBorder="1"/>
    <xf numFmtId="1" fontId="0" fillId="14" borderId="41" xfId="0" applyNumberFormat="1" applyFill="1" applyBorder="1"/>
    <xf numFmtId="0" fontId="0" fillId="0" borderId="0" xfId="0" applyBorder="1" applyAlignment="1">
      <alignment horizontal="left" vertical="center"/>
    </xf>
    <xf numFmtId="0" fontId="24" fillId="25" borderId="0" xfId="0" applyFont="1" applyFill="1" applyAlignment="1">
      <alignment horizontal="right"/>
    </xf>
    <xf numFmtId="0" fontId="1" fillId="25" borderId="0" xfId="0" applyFont="1" applyFill="1"/>
    <xf numFmtId="0" fontId="0" fillId="26" borderId="0" xfId="0" applyFill="1"/>
    <xf numFmtId="0" fontId="11" fillId="26" borderId="0" xfId="0" applyFont="1" applyFill="1"/>
    <xf numFmtId="0" fontId="32" fillId="26" borderId="0" xfId="0" applyFont="1" applyFill="1"/>
    <xf numFmtId="0" fontId="1" fillId="19" borderId="0" xfId="0" applyFont="1" applyFill="1" applyBorder="1"/>
    <xf numFmtId="2" fontId="0" fillId="0" borderId="9" xfId="0" applyNumberFormat="1" applyBorder="1"/>
    <xf numFmtId="2" fontId="0" fillId="0" borderId="0" xfId="0" applyNumberFormat="1" applyBorder="1"/>
    <xf numFmtId="2" fontId="0" fillId="0" borderId="9" xfId="0" applyNumberFormat="1" applyFont="1" applyBorder="1"/>
    <xf numFmtId="2" fontId="0" fillId="0" borderId="0" xfId="0" applyNumberFormat="1" applyFont="1" applyBorder="1"/>
    <xf numFmtId="0" fontId="0" fillId="19" borderId="0" xfId="0" applyFont="1" applyFill="1"/>
    <xf numFmtId="0" fontId="0" fillId="19" borderId="10" xfId="0" applyFont="1" applyFill="1" applyBorder="1"/>
    <xf numFmtId="0" fontId="1" fillId="19" borderId="2" xfId="0" applyFont="1" applyFill="1" applyBorder="1"/>
    <xf numFmtId="0" fontId="1" fillId="19" borderId="11" xfId="0" applyFont="1" applyFill="1" applyBorder="1"/>
    <xf numFmtId="0" fontId="24" fillId="0" borderId="2" xfId="0" applyFont="1" applyFill="1" applyBorder="1"/>
    <xf numFmtId="2" fontId="1" fillId="19" borderId="2" xfId="0" applyNumberFormat="1" applyFont="1" applyFill="1" applyBorder="1"/>
    <xf numFmtId="0" fontId="0" fillId="19" borderId="0" xfId="0" applyFill="1" applyBorder="1"/>
    <xf numFmtId="168" fontId="0" fillId="0" borderId="0" xfId="0" applyNumberFormat="1" applyBorder="1"/>
    <xf numFmtId="0" fontId="1" fillId="27" borderId="0" xfId="0" applyFont="1" applyFill="1" applyBorder="1"/>
    <xf numFmtId="0" fontId="4" fillId="26" borderId="0" xfId="0" applyFont="1" applyFill="1"/>
    <xf numFmtId="3" fontId="0" fillId="19" borderId="0" xfId="0" applyNumberFormat="1" applyFill="1"/>
    <xf numFmtId="0" fontId="0" fillId="19" borderId="0" xfId="0" applyNumberFormat="1" applyFill="1"/>
    <xf numFmtId="0" fontId="37" fillId="26" borderId="0" xfId="0" applyFont="1" applyFill="1"/>
    <xf numFmtId="0" fontId="35" fillId="0" borderId="0" xfId="0" applyFont="1" applyBorder="1"/>
    <xf numFmtId="3" fontId="0" fillId="0" borderId="0" xfId="0" applyNumberFormat="1" applyFill="1" applyBorder="1"/>
    <xf numFmtId="3" fontId="0" fillId="0" borderId="47" xfId="0" applyNumberFormat="1" applyBorder="1"/>
    <xf numFmtId="3" fontId="0" fillId="22" borderId="6" xfId="0" applyNumberFormat="1" applyFill="1" applyBorder="1"/>
    <xf numFmtId="0" fontId="38" fillId="26" borderId="0" xfId="0" applyFont="1" applyFill="1"/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Border="1"/>
    <xf numFmtId="0" fontId="0" fillId="0" borderId="4" xfId="0" applyFont="1" applyBorder="1" applyAlignment="1">
      <alignment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39" fillId="0" borderId="0" xfId="0" applyFont="1" applyAlignment="1"/>
    <xf numFmtId="0" fontId="4" fillId="11" borderId="0" xfId="0" applyFont="1" applyFill="1" applyBorder="1"/>
    <xf numFmtId="9" fontId="0" fillId="0" borderId="0" xfId="2" applyFont="1" applyBorder="1"/>
    <xf numFmtId="0" fontId="40" fillId="3" borderId="0" xfId="0" applyFont="1" applyFill="1"/>
    <xf numFmtId="3" fontId="41" fillId="0" borderId="0" xfId="0" applyNumberFormat="1" applyFont="1"/>
    <xf numFmtId="3" fontId="22" fillId="0" borderId="0" xfId="0" applyNumberFormat="1" applyFont="1"/>
    <xf numFmtId="0" fontId="39" fillId="0" borderId="0" xfId="0" applyFont="1"/>
    <xf numFmtId="0" fontId="0" fillId="11" borderId="0" xfId="0" applyFill="1"/>
    <xf numFmtId="0" fontId="0" fillId="0" borderId="0" xfId="0" applyFill="1" applyBorder="1"/>
    <xf numFmtId="0" fontId="0" fillId="28" borderId="5" xfId="0" applyFill="1" applyBorder="1"/>
    <xf numFmtId="0" fontId="0" fillId="28" borderId="4" xfId="0" applyFill="1" applyBorder="1" applyAlignment="1">
      <alignment horizontal="left" vertical="center"/>
    </xf>
    <xf numFmtId="0" fontId="0" fillId="28" borderId="6" xfId="0" applyFill="1" applyBorder="1"/>
    <xf numFmtId="3" fontId="0" fillId="28" borderId="3" xfId="0" applyNumberFormat="1" applyFill="1" applyBorder="1"/>
    <xf numFmtId="0" fontId="0" fillId="28" borderId="3" xfId="0" applyFill="1" applyBorder="1"/>
    <xf numFmtId="3" fontId="0" fillId="28" borderId="5" xfId="0" applyNumberFormat="1" applyFill="1" applyBorder="1"/>
    <xf numFmtId="3" fontId="0" fillId="13" borderId="5" xfId="0" applyNumberFormat="1" applyFill="1" applyBorder="1"/>
    <xf numFmtId="3" fontId="0" fillId="13" borderId="3" xfId="0" applyNumberFormat="1" applyFill="1" applyBorder="1"/>
    <xf numFmtId="4" fontId="0" fillId="0" borderId="0" xfId="0" applyNumberFormat="1" applyFill="1" applyBorder="1"/>
    <xf numFmtId="3" fontId="0" fillId="22" borderId="5" xfId="0" applyNumberFormat="1" applyFill="1" applyBorder="1"/>
    <xf numFmtId="3" fontId="0" fillId="22" borderId="3" xfId="0" applyNumberFormat="1" applyFill="1" applyBorder="1"/>
    <xf numFmtId="3" fontId="37" fillId="26" borderId="0" xfId="0" applyNumberFormat="1" applyFont="1" applyFill="1"/>
    <xf numFmtId="3" fontId="0" fillId="22" borderId="0" xfId="0" applyNumberFormat="1" applyFill="1"/>
    <xf numFmtId="3" fontId="0" fillId="0" borderId="0" xfId="0" applyNumberFormat="1" applyFont="1" applyFill="1"/>
    <xf numFmtId="3" fontId="0" fillId="0" borderId="16" xfId="0" applyNumberFormat="1" applyBorder="1" applyAlignment="1">
      <alignment horizontal="left" vertical="center"/>
    </xf>
    <xf numFmtId="0" fontId="42" fillId="7" borderId="0" xfId="0" applyFont="1" applyFill="1"/>
    <xf numFmtId="0" fontId="43" fillId="0" borderId="0" xfId="0" applyFont="1"/>
    <xf numFmtId="3" fontId="43" fillId="0" borderId="0" xfId="0" applyNumberFormat="1" applyFont="1"/>
    <xf numFmtId="168" fontId="43" fillId="0" borderId="0" xfId="0" applyNumberFormat="1" applyFont="1"/>
    <xf numFmtId="1" fontId="42" fillId="0" borderId="0" xfId="0" applyNumberFormat="1" applyFont="1"/>
    <xf numFmtId="0" fontId="34" fillId="28" borderId="0" xfId="0" applyFont="1" applyFill="1"/>
    <xf numFmtId="0" fontId="0" fillId="28" borderId="0" xfId="0" applyFill="1"/>
    <xf numFmtId="0" fontId="24" fillId="0" borderId="9" xfId="0" applyFont="1" applyBorder="1"/>
    <xf numFmtId="0" fontId="24" fillId="0" borderId="0" xfId="0" applyFont="1" applyBorder="1"/>
    <xf numFmtId="9" fontId="0" fillId="0" borderId="0" xfId="2" applyFont="1" applyFill="1"/>
    <xf numFmtId="167" fontId="0" fillId="0" borderId="0" xfId="2" applyNumberFormat="1" applyFont="1" applyFill="1"/>
    <xf numFmtId="0" fontId="0" fillId="0" borderId="9" xfId="0" applyFill="1" applyBorder="1"/>
    <xf numFmtId="0" fontId="22" fillId="0" borderId="0" xfId="0" applyFont="1" applyBorder="1"/>
    <xf numFmtId="3" fontId="0" fillId="4" borderId="12" xfId="0" applyNumberFormat="1" applyFill="1" applyBorder="1"/>
    <xf numFmtId="0" fontId="0" fillId="0" borderId="32" xfId="0" applyFont="1" applyBorder="1"/>
    <xf numFmtId="0" fontId="1" fillId="28" borderId="0" xfId="0" applyFont="1" applyFill="1"/>
    <xf numFmtId="9" fontId="0" fillId="16" borderId="0" xfId="2" applyFont="1" applyFill="1"/>
    <xf numFmtId="9" fontId="24" fillId="0" borderId="0" xfId="2" applyFont="1"/>
    <xf numFmtId="3" fontId="0" fillId="0" borderId="11" xfId="0" applyNumberFormat="1" applyFont="1" applyBorder="1"/>
    <xf numFmtId="9" fontId="1" fillId="0" borderId="0" xfId="2" applyFont="1"/>
    <xf numFmtId="1" fontId="41" fillId="0" borderId="0" xfId="0" applyNumberFormat="1" applyFont="1"/>
    <xf numFmtId="0" fontId="44" fillId="0" borderId="0" xfId="0" applyFont="1"/>
    <xf numFmtId="0" fontId="1" fillId="7" borderId="0" xfId="0" applyFont="1" applyFill="1" applyBorder="1"/>
    <xf numFmtId="1" fontId="1" fillId="7" borderId="0" xfId="0" applyNumberFormat="1" applyFont="1" applyFill="1" applyBorder="1"/>
    <xf numFmtId="0" fontId="46" fillId="7" borderId="0" xfId="0" applyFont="1" applyFill="1" applyBorder="1"/>
    <xf numFmtId="0" fontId="45" fillId="0" borderId="0" xfId="0" applyFont="1" applyBorder="1"/>
    <xf numFmtId="3" fontId="45" fillId="0" borderId="0" xfId="0" applyNumberFormat="1" applyFont="1"/>
    <xf numFmtId="0" fontId="0" fillId="0" borderId="0" xfId="0" applyFont="1" applyBorder="1"/>
    <xf numFmtId="0" fontId="0" fillId="14" borderId="41" xfId="0" applyFill="1" applyBorder="1" applyAlignment="1">
      <alignment horizontal="right"/>
    </xf>
    <xf numFmtId="0" fontId="0" fillId="15" borderId="41" xfId="0" applyFill="1" applyBorder="1" applyAlignment="1">
      <alignment horizontal="center"/>
    </xf>
    <xf numFmtId="0" fontId="0" fillId="14" borderId="0" xfId="0" applyFill="1" applyAlignment="1">
      <alignment horizontal="right"/>
    </xf>
    <xf numFmtId="2" fontId="0" fillId="15" borderId="0" xfId="0" applyNumberFormat="1" applyFill="1" applyAlignment="1">
      <alignment horizontal="right"/>
    </xf>
    <xf numFmtId="0" fontId="0" fillId="14" borderId="3" xfId="0" applyFill="1" applyBorder="1" applyAlignment="1">
      <alignment horizontal="right"/>
    </xf>
    <xf numFmtId="0" fontId="0" fillId="15" borderId="3" xfId="0" applyFill="1" applyBorder="1" applyAlignment="1">
      <alignment horizontal="right"/>
    </xf>
    <xf numFmtId="2" fontId="0" fillId="15" borderId="3" xfId="0" applyNumberFormat="1" applyFill="1" applyBorder="1" applyAlignment="1">
      <alignment horizontal="right"/>
    </xf>
    <xf numFmtId="2" fontId="0" fillId="0" borderId="0" xfId="0" applyNumberFormat="1" applyAlignment="1">
      <alignment horizontal="right"/>
    </xf>
    <xf numFmtId="1" fontId="4" fillId="2" borderId="0" xfId="0" applyNumberFormat="1" applyFont="1" applyFill="1" applyBorder="1"/>
    <xf numFmtId="0" fontId="1" fillId="25" borderId="0" xfId="0" applyFont="1" applyFill="1" applyAlignment="1">
      <alignment horizontal="right"/>
    </xf>
    <xf numFmtId="0" fontId="0" fillId="0" borderId="0" xfId="0"/>
    <xf numFmtId="169" fontId="0" fillId="0" borderId="0" xfId="4" applyNumberFormat="1" applyFont="1"/>
    <xf numFmtId="0" fontId="1" fillId="0" borderId="0" xfId="0" applyFont="1" applyFill="1" applyBorder="1"/>
    <xf numFmtId="10" fontId="0" fillId="0" borderId="0" xfId="2" applyNumberFormat="1" applyFont="1" applyFill="1"/>
    <xf numFmtId="1" fontId="25" fillId="0" borderId="0" xfId="0" applyNumberFormat="1" applyFont="1" applyFill="1" applyBorder="1"/>
    <xf numFmtId="1" fontId="0" fillId="0" borderId="0" xfId="0" applyNumberFormat="1" applyFill="1" applyBorder="1"/>
    <xf numFmtId="0" fontId="0" fillId="13" borderId="0" xfId="0" applyFill="1" applyBorder="1"/>
    <xf numFmtId="0" fontId="26" fillId="13" borderId="0" xfId="0" applyFont="1" applyFill="1" applyBorder="1"/>
    <xf numFmtId="0" fontId="24" fillId="0" borderId="0" xfId="0" applyFont="1" applyFill="1" applyBorder="1"/>
    <xf numFmtId="0" fontId="0" fillId="29" borderId="0" xfId="0" applyFill="1"/>
    <xf numFmtId="0" fontId="1" fillId="29" borderId="0" xfId="0" applyFont="1" applyFill="1"/>
    <xf numFmtId="3" fontId="1" fillId="0" borderId="0" xfId="0" applyNumberFormat="1" applyFont="1" applyBorder="1"/>
    <xf numFmtId="0" fontId="0" fillId="30" borderId="0" xfId="0" applyFill="1"/>
    <xf numFmtId="0" fontId="1" fillId="4" borderId="0" xfId="0" applyFont="1" applyFill="1"/>
    <xf numFmtId="0" fontId="0" fillId="4" borderId="0" xfId="0" applyFill="1"/>
    <xf numFmtId="9" fontId="0" fillId="0" borderId="0" xfId="0" applyNumberFormat="1"/>
    <xf numFmtId="0" fontId="1" fillId="30" borderId="0" xfId="0" applyFont="1" applyFill="1"/>
    <xf numFmtId="0" fontId="0" fillId="0" borderId="11" xfId="0" applyFont="1" applyBorder="1"/>
    <xf numFmtId="0" fontId="1" fillId="13" borderId="0" xfId="0" applyFont="1" applyFill="1" applyAlignment="1">
      <alignment horizontal="right"/>
    </xf>
    <xf numFmtId="2" fontId="47" fillId="0" borderId="0" xfId="0" applyNumberFormat="1" applyFont="1"/>
    <xf numFmtId="0" fontId="47" fillId="0" borderId="0" xfId="0" applyFont="1"/>
    <xf numFmtId="164" fontId="0" fillId="0" borderId="0" xfId="0" applyNumberFormat="1" applyFill="1"/>
    <xf numFmtId="3" fontId="0" fillId="13" borderId="0" xfId="0" applyNumberFormat="1" applyFill="1"/>
    <xf numFmtId="164" fontId="0" fillId="29" borderId="0" xfId="0" applyNumberFormat="1" applyFill="1"/>
    <xf numFmtId="0" fontId="1" fillId="13" borderId="0" xfId="0" applyFont="1" applyFill="1" applyAlignment="1">
      <alignment horizontal="center"/>
    </xf>
    <xf numFmtId="0" fontId="0" fillId="0" borderId="0" xfId="0"/>
    <xf numFmtId="167" fontId="0" fillId="0" borderId="0" xfId="2" applyNumberFormat="1" applyFont="1"/>
    <xf numFmtId="43" fontId="0" fillId="0" borderId="0" xfId="5" applyFont="1"/>
    <xf numFmtId="0" fontId="48" fillId="0" borderId="0" xfId="0" applyFont="1"/>
    <xf numFmtId="2" fontId="48" fillId="0" borderId="0" xfId="0" applyNumberFormat="1" applyFont="1"/>
    <xf numFmtId="2" fontId="1" fillId="13" borderId="0" xfId="0" applyNumberFormat="1" applyFont="1" applyFill="1"/>
    <xf numFmtId="3" fontId="0" fillId="14" borderId="0" xfId="0" applyNumberFormat="1" applyFont="1" applyFill="1" applyAlignment="1">
      <alignment horizontal="right"/>
    </xf>
    <xf numFmtId="3" fontId="0" fillId="14" borderId="0" xfId="0" applyNumberFormat="1" applyFill="1" applyAlignment="1">
      <alignment horizontal="right"/>
    </xf>
    <xf numFmtId="0" fontId="49" fillId="23" borderId="0" xfId="0" applyFont="1" applyFill="1"/>
    <xf numFmtId="9" fontId="0" fillId="0" borderId="0" xfId="2" applyNumberFormat="1" applyFont="1"/>
    <xf numFmtId="0" fontId="27" fillId="12" borderId="0" xfId="0" applyFont="1" applyFill="1"/>
    <xf numFmtId="168" fontId="0" fillId="0" borderId="36" xfId="0" applyNumberFormat="1" applyBorder="1"/>
    <xf numFmtId="168" fontId="0" fillId="0" borderId="37" xfId="0" applyNumberFormat="1" applyBorder="1"/>
    <xf numFmtId="168" fontId="1" fillId="0" borderId="26" xfId="0" applyNumberFormat="1" applyFont="1" applyBorder="1"/>
    <xf numFmtId="168" fontId="0" fillId="0" borderId="30" xfId="0" applyNumberFormat="1" applyBorder="1"/>
    <xf numFmtId="168" fontId="0" fillId="0" borderId="30" xfId="0" applyNumberFormat="1" applyFill="1" applyBorder="1"/>
    <xf numFmtId="168" fontId="1" fillId="0" borderId="31" xfId="0" applyNumberFormat="1" applyFont="1" applyBorder="1"/>
    <xf numFmtId="2" fontId="24" fillId="0" borderId="0" xfId="0" applyNumberFormat="1" applyFont="1"/>
    <xf numFmtId="169" fontId="0" fillId="0" borderId="0" xfId="6" applyNumberFormat="1" applyFont="1" applyFill="1" applyBorder="1"/>
    <xf numFmtId="169" fontId="0" fillId="0" borderId="0" xfId="0" applyNumberFormat="1"/>
    <xf numFmtId="3" fontId="1" fillId="0" borderId="0" xfId="0" applyNumberFormat="1" applyFont="1" applyAlignment="1">
      <alignment horizontal="right"/>
    </xf>
    <xf numFmtId="171" fontId="0" fillId="0" borderId="0" xfId="3" applyNumberFormat="1" applyFont="1" applyAlignment="1">
      <alignment vertical="top"/>
    </xf>
    <xf numFmtId="171" fontId="0" fillId="0" borderId="17" xfId="3" applyNumberFormat="1" applyFont="1" applyBorder="1" applyAlignment="1">
      <alignment vertical="top"/>
    </xf>
    <xf numFmtId="171" fontId="0" fillId="0" borderId="4" xfId="3" applyNumberFormat="1" applyFont="1" applyBorder="1" applyAlignment="1">
      <alignment vertical="top"/>
    </xf>
    <xf numFmtId="171" fontId="51" fillId="3" borderId="48" xfId="3" applyNumberFormat="1" applyFont="1" applyFill="1" applyBorder="1" applyAlignment="1">
      <alignment vertical="top"/>
    </xf>
    <xf numFmtId="171" fontId="0" fillId="3" borderId="4" xfId="3" applyNumberFormat="1" applyFont="1" applyFill="1" applyBorder="1" applyAlignment="1">
      <alignment vertical="top"/>
    </xf>
    <xf numFmtId="171" fontId="0" fillId="15" borderId="46" xfId="3" applyNumberFormat="1" applyFont="1" applyFill="1" applyBorder="1" applyAlignment="1">
      <alignment vertical="top"/>
    </xf>
    <xf numFmtId="171" fontId="0" fillId="15" borderId="4" xfId="3" applyNumberFormat="1" applyFont="1" applyFill="1" applyBorder="1" applyAlignment="1">
      <alignment vertical="top"/>
    </xf>
    <xf numFmtId="171" fontId="0" fillId="15" borderId="17" xfId="3" applyNumberFormat="1" applyFont="1" applyFill="1" applyBorder="1" applyAlignment="1">
      <alignment vertical="top"/>
    </xf>
    <xf numFmtId="171" fontId="0" fillId="15" borderId="16" xfId="3" applyNumberFormat="1" applyFont="1" applyFill="1" applyBorder="1" applyAlignment="1">
      <alignment vertical="top"/>
    </xf>
    <xf numFmtId="171" fontId="0" fillId="0" borderId="16" xfId="3" applyNumberFormat="1" applyFont="1" applyBorder="1" applyAlignment="1">
      <alignment vertical="top"/>
    </xf>
    <xf numFmtId="171" fontId="0" fillId="0" borderId="46" xfId="3" applyNumberFormat="1" applyFont="1" applyBorder="1" applyAlignment="1">
      <alignment vertical="top"/>
    </xf>
    <xf numFmtId="170" fontId="0" fillId="0" borderId="17" xfId="3" applyNumberFormat="1" applyFont="1" applyBorder="1" applyAlignment="1">
      <alignment vertical="top"/>
    </xf>
    <xf numFmtId="170" fontId="0" fillId="0" borderId="16" xfId="3" applyNumberFormat="1" applyFont="1" applyBorder="1" applyAlignment="1">
      <alignment vertical="top"/>
    </xf>
    <xf numFmtId="166" fontId="0" fillId="0" borderId="0" xfId="3" applyFont="1" applyAlignment="1">
      <alignment vertical="top"/>
    </xf>
    <xf numFmtId="170" fontId="0" fillId="0" borderId="46" xfId="3" applyNumberFormat="1" applyFont="1" applyBorder="1" applyAlignment="1">
      <alignment vertical="top"/>
    </xf>
    <xf numFmtId="3" fontId="54" fillId="0" borderId="0" xfId="3" applyNumberFormat="1" applyFont="1" applyFill="1" applyBorder="1" applyAlignment="1">
      <alignment horizontal="right" vertical="top"/>
    </xf>
    <xf numFmtId="172" fontId="0" fillId="0" borderId="0" xfId="3" applyNumberFormat="1" applyFont="1" applyFill="1" applyBorder="1" applyAlignment="1">
      <alignment vertical="top"/>
    </xf>
    <xf numFmtId="172" fontId="55" fillId="0" borderId="0" xfId="3" applyNumberFormat="1" applyFont="1" applyFill="1" applyBorder="1" applyAlignment="1">
      <alignment vertical="top"/>
    </xf>
    <xf numFmtId="166" fontId="56" fillId="31" borderId="4" xfId="3" applyFont="1" applyFill="1" applyBorder="1" applyAlignment="1">
      <alignment vertical="top"/>
    </xf>
    <xf numFmtId="166" fontId="17" fillId="32" borderId="4" xfId="3" applyFont="1" applyFill="1" applyBorder="1" applyAlignment="1">
      <alignment vertical="top"/>
    </xf>
    <xf numFmtId="166" fontId="57" fillId="22" borderId="4" xfId="3" applyFont="1" applyFill="1" applyBorder="1" applyAlignment="1">
      <alignment vertical="top"/>
    </xf>
    <xf numFmtId="173" fontId="55" fillId="20" borderId="12" xfId="3" applyNumberFormat="1" applyFont="1" applyFill="1" applyBorder="1" applyAlignment="1">
      <alignment vertical="top"/>
    </xf>
    <xf numFmtId="173" fontId="55" fillId="20" borderId="2" xfId="3" applyNumberFormat="1" applyFont="1" applyFill="1" applyBorder="1" applyAlignment="1">
      <alignment vertical="top"/>
    </xf>
    <xf numFmtId="174" fontId="8" fillId="20" borderId="0" xfId="3" applyNumberFormat="1" applyFont="1" applyFill="1" applyBorder="1" applyAlignment="1">
      <alignment vertical="top"/>
    </xf>
    <xf numFmtId="174" fontId="8" fillId="20" borderId="0" xfId="3" applyNumberFormat="1" applyFont="1" applyFill="1" applyAlignment="1">
      <alignment vertical="top"/>
    </xf>
    <xf numFmtId="166" fontId="60" fillId="20" borderId="4" xfId="3" applyFont="1" applyFill="1" applyBorder="1" applyAlignment="1">
      <alignment horizontal="center" vertical="top"/>
    </xf>
    <xf numFmtId="166" fontId="60" fillId="20" borderId="6" xfId="3" applyFont="1" applyFill="1" applyBorder="1" applyAlignment="1">
      <alignment horizontal="center" vertical="top"/>
    </xf>
    <xf numFmtId="166" fontId="8" fillId="20" borderId="49" xfId="3" applyFont="1" applyFill="1" applyBorder="1" applyAlignment="1">
      <alignment horizontal="center" vertical="top"/>
    </xf>
    <xf numFmtId="172" fontId="8" fillId="20" borderId="0" xfId="3" applyNumberFormat="1" applyFont="1" applyFill="1" applyBorder="1" applyAlignment="1">
      <alignment horizontal="right" vertical="top"/>
    </xf>
    <xf numFmtId="172" fontId="8" fillId="20" borderId="0" xfId="3" applyNumberFormat="1" applyFont="1" applyFill="1" applyBorder="1" applyAlignment="1">
      <alignment horizontal="left" vertical="top"/>
    </xf>
    <xf numFmtId="172" fontId="0" fillId="20" borderId="20" xfId="7" applyNumberFormat="1" applyFont="1" applyFill="1" applyBorder="1" applyAlignment="1">
      <alignment vertical="top"/>
    </xf>
    <xf numFmtId="172" fontId="0" fillId="20" borderId="18" xfId="7" applyNumberFormat="1" applyFont="1" applyFill="1" applyBorder="1" applyAlignment="1">
      <alignment vertical="top"/>
    </xf>
    <xf numFmtId="172" fontId="0" fillId="20" borderId="0" xfId="3" applyNumberFormat="1" applyFont="1" applyFill="1" applyBorder="1" applyAlignment="1">
      <alignment vertical="top"/>
    </xf>
    <xf numFmtId="172" fontId="56" fillId="20" borderId="0" xfId="3" applyNumberFormat="1" applyFont="1" applyFill="1" applyBorder="1" applyAlignment="1">
      <alignment vertical="top"/>
    </xf>
    <xf numFmtId="172" fontId="55" fillId="20" borderId="0" xfId="3" applyNumberFormat="1" applyFont="1" applyFill="1" applyBorder="1" applyAlignment="1">
      <alignment vertical="top"/>
    </xf>
    <xf numFmtId="166" fontId="8" fillId="20" borderId="17" xfId="3" applyFont="1" applyFill="1" applyBorder="1" applyAlignment="1">
      <alignment vertical="top"/>
    </xf>
    <xf numFmtId="166" fontId="17" fillId="0" borderId="46" xfId="3" applyFont="1" applyBorder="1" applyAlignment="1">
      <alignment vertical="top"/>
    </xf>
    <xf numFmtId="4" fontId="0" fillId="15" borderId="4" xfId="3" applyNumberFormat="1" applyFont="1" applyFill="1" applyBorder="1" applyAlignment="1">
      <alignment horizontal="center" vertical="top"/>
    </xf>
    <xf numFmtId="166" fontId="17" fillId="32" borderId="46" xfId="3" applyFont="1" applyFill="1" applyBorder="1" applyAlignment="1">
      <alignment vertical="top"/>
    </xf>
    <xf numFmtId="166" fontId="57" fillId="22" borderId="46" xfId="3" applyFont="1" applyFill="1" applyBorder="1" applyAlignment="1">
      <alignment vertical="top"/>
    </xf>
    <xf numFmtId="166" fontId="56" fillId="31" borderId="17" xfId="3" applyFont="1" applyFill="1" applyBorder="1" applyAlignment="1">
      <alignment vertical="top"/>
    </xf>
    <xf numFmtId="171" fontId="66" fillId="0" borderId="0" xfId="3" applyNumberFormat="1" applyFont="1" applyFill="1" applyAlignment="1">
      <alignment vertical="top"/>
    </xf>
    <xf numFmtId="166" fontId="57" fillId="22" borderId="17" xfId="3" applyFont="1" applyFill="1" applyBorder="1" applyAlignment="1">
      <alignment vertical="top"/>
    </xf>
    <xf numFmtId="171" fontId="56" fillId="31" borderId="17" xfId="3" applyNumberFormat="1" applyFont="1" applyFill="1" applyBorder="1" applyAlignment="1">
      <alignment vertical="top"/>
    </xf>
    <xf numFmtId="166" fontId="17" fillId="0" borderId="17" xfId="3" applyFont="1" applyBorder="1" applyAlignment="1">
      <alignment vertical="top"/>
    </xf>
    <xf numFmtId="166" fontId="17" fillId="0" borderId="16" xfId="3" applyFont="1" applyBorder="1" applyAlignment="1">
      <alignment vertical="top"/>
    </xf>
    <xf numFmtId="166" fontId="17" fillId="31" borderId="17" xfId="3" applyFont="1" applyFill="1" applyBorder="1" applyAlignment="1">
      <alignment vertical="top"/>
    </xf>
    <xf numFmtId="9" fontId="70" fillId="31" borderId="17" xfId="7" applyFont="1" applyFill="1" applyBorder="1" applyAlignment="1">
      <alignment vertical="top"/>
    </xf>
    <xf numFmtId="9" fontId="0" fillId="31" borderId="17" xfId="7" applyFont="1" applyFill="1" applyBorder="1" applyAlignment="1">
      <alignment vertical="top"/>
    </xf>
    <xf numFmtId="171" fontId="17" fillId="31" borderId="17" xfId="3" applyNumberFormat="1" applyFont="1" applyFill="1" applyBorder="1" applyAlignment="1">
      <alignment vertical="top"/>
    </xf>
    <xf numFmtId="170" fontId="0" fillId="31" borderId="17" xfId="3" applyNumberFormat="1" applyFont="1" applyFill="1" applyBorder="1" applyAlignment="1">
      <alignment vertical="top"/>
    </xf>
    <xf numFmtId="3" fontId="70" fillId="31" borderId="17" xfId="3" applyNumberFormat="1" applyFont="1" applyFill="1" applyBorder="1" applyAlignment="1">
      <alignment vertical="top"/>
    </xf>
    <xf numFmtId="3" fontId="0" fillId="31" borderId="17" xfId="3" applyNumberFormat="1" applyFont="1" applyFill="1" applyBorder="1" applyAlignment="1">
      <alignment vertical="top"/>
    </xf>
    <xf numFmtId="9" fontId="70" fillId="0" borderId="17" xfId="7" applyFont="1" applyBorder="1" applyAlignment="1">
      <alignment vertical="top"/>
    </xf>
    <xf numFmtId="9" fontId="0" fillId="0" borderId="17" xfId="7" applyFont="1" applyBorder="1" applyAlignment="1">
      <alignment vertical="top"/>
    </xf>
    <xf numFmtId="171" fontId="17" fillId="0" borderId="17" xfId="3" applyNumberFormat="1" applyFont="1" applyBorder="1" applyAlignment="1">
      <alignment vertical="top"/>
    </xf>
    <xf numFmtId="170" fontId="0" fillId="0" borderId="17" xfId="3" applyNumberFormat="1" applyFont="1" applyFill="1" applyBorder="1" applyAlignment="1">
      <alignment vertical="top"/>
    </xf>
    <xf numFmtId="174" fontId="0" fillId="0" borderId="17" xfId="3" applyNumberFormat="1" applyFont="1" applyBorder="1" applyAlignment="1">
      <alignment vertical="top"/>
    </xf>
    <xf numFmtId="174" fontId="0" fillId="0" borderId="17" xfId="3" applyNumberFormat="1" applyFont="1" applyFill="1" applyBorder="1" applyAlignment="1">
      <alignment vertical="top"/>
    </xf>
    <xf numFmtId="3" fontId="70" fillId="0" borderId="17" xfId="3" applyNumberFormat="1" applyFont="1" applyBorder="1" applyAlignment="1">
      <alignment vertical="top"/>
    </xf>
    <xf numFmtId="3" fontId="0" fillId="0" borderId="17" xfId="3" applyNumberFormat="1" applyFont="1" applyBorder="1" applyAlignment="1">
      <alignment vertical="top"/>
    </xf>
    <xf numFmtId="9" fontId="70" fillId="0" borderId="16" xfId="7" applyFont="1" applyBorder="1" applyAlignment="1">
      <alignment vertical="top"/>
    </xf>
    <xf numFmtId="9" fontId="0" fillId="0" borderId="16" xfId="7" applyFont="1" applyBorder="1" applyAlignment="1">
      <alignment vertical="top"/>
    </xf>
    <xf numFmtId="171" fontId="17" fillId="0" borderId="16" xfId="3" applyNumberFormat="1" applyFont="1" applyBorder="1" applyAlignment="1">
      <alignment vertical="top"/>
    </xf>
    <xf numFmtId="170" fontId="0" fillId="0" borderId="16" xfId="3" applyNumberFormat="1" applyFont="1" applyFill="1" applyBorder="1" applyAlignment="1">
      <alignment vertical="top"/>
    </xf>
    <xf numFmtId="3" fontId="70" fillId="0" borderId="16" xfId="3" applyNumberFormat="1" applyFont="1" applyBorder="1" applyAlignment="1">
      <alignment vertical="top"/>
    </xf>
    <xf numFmtId="3" fontId="0" fillId="0" borderId="16" xfId="3" applyNumberFormat="1" applyFont="1" applyBorder="1" applyAlignment="1">
      <alignment vertical="top"/>
    </xf>
    <xf numFmtId="9" fontId="70" fillId="0" borderId="46" xfId="7" applyFont="1" applyBorder="1" applyAlignment="1">
      <alignment vertical="top"/>
    </xf>
    <xf numFmtId="9" fontId="0" fillId="0" borderId="46" xfId="7" applyFont="1" applyBorder="1" applyAlignment="1">
      <alignment vertical="top"/>
    </xf>
    <xf numFmtId="171" fontId="17" fillId="0" borderId="46" xfId="3" applyNumberFormat="1" applyFont="1" applyBorder="1" applyAlignment="1">
      <alignment vertical="top"/>
    </xf>
    <xf numFmtId="170" fontId="0" fillId="0" borderId="46" xfId="3" applyNumberFormat="1" applyFont="1" applyFill="1" applyBorder="1" applyAlignment="1">
      <alignment vertical="top"/>
    </xf>
    <xf numFmtId="174" fontId="0" fillId="0" borderId="46" xfId="3" applyNumberFormat="1" applyFont="1" applyBorder="1" applyAlignment="1">
      <alignment vertical="top"/>
    </xf>
    <xf numFmtId="174" fontId="0" fillId="0" borderId="46" xfId="3" applyNumberFormat="1" applyFont="1" applyFill="1" applyBorder="1" applyAlignment="1">
      <alignment vertical="top"/>
    </xf>
    <xf numFmtId="3" fontId="70" fillId="0" borderId="46" xfId="3" applyNumberFormat="1" applyFont="1" applyBorder="1" applyAlignment="1">
      <alignment vertical="top"/>
    </xf>
    <xf numFmtId="3" fontId="0" fillId="0" borderId="46" xfId="3" applyNumberFormat="1" applyFont="1" applyBorder="1" applyAlignment="1">
      <alignment vertical="top"/>
    </xf>
    <xf numFmtId="170" fontId="0" fillId="17" borderId="17" xfId="3" applyNumberFormat="1" applyFont="1" applyFill="1" applyBorder="1" applyAlignment="1">
      <alignment vertical="top"/>
    </xf>
    <xf numFmtId="170" fontId="17" fillId="0" borderId="16" xfId="3" applyNumberFormat="1" applyFont="1" applyFill="1" applyBorder="1" applyAlignment="1">
      <alignment vertical="top"/>
    </xf>
    <xf numFmtId="170" fontId="17" fillId="0" borderId="46" xfId="3" applyNumberFormat="1" applyFont="1" applyFill="1" applyBorder="1" applyAlignment="1">
      <alignment vertical="top"/>
    </xf>
    <xf numFmtId="171" fontId="71" fillId="0" borderId="0" xfId="3" applyNumberFormat="1" applyFont="1" applyFill="1" applyAlignment="1">
      <alignment vertical="top"/>
    </xf>
    <xf numFmtId="171" fontId="18" fillId="0" borderId="0" xfId="3" applyNumberFormat="1" applyFont="1" applyFill="1" applyAlignment="1">
      <alignment vertical="top"/>
    </xf>
    <xf numFmtId="3" fontId="0" fillId="0" borderId="3" xfId="3" applyNumberFormat="1" applyFont="1" applyBorder="1" applyAlignment="1">
      <alignment horizontal="center" vertical="top"/>
    </xf>
    <xf numFmtId="175" fontId="18" fillId="0" borderId="0" xfId="3" applyNumberFormat="1" applyFont="1" applyFill="1" applyAlignment="1">
      <alignment vertical="top"/>
    </xf>
    <xf numFmtId="166" fontId="18" fillId="0" borderId="0" xfId="3" applyFont="1" applyFill="1" applyAlignment="1">
      <alignment vertical="top"/>
    </xf>
    <xf numFmtId="3" fontId="0" fillId="0" borderId="4" xfId="3" applyNumberFormat="1" applyFont="1" applyBorder="1" applyAlignment="1">
      <alignment horizontal="center" vertical="top"/>
    </xf>
    <xf numFmtId="3" fontId="0" fillId="15" borderId="4" xfId="3" applyNumberFormat="1" applyFont="1" applyFill="1" applyBorder="1" applyAlignment="1">
      <alignment vertical="top"/>
    </xf>
    <xf numFmtId="170" fontId="66" fillId="3" borderId="0" xfId="3" applyNumberFormat="1" applyFont="1" applyFill="1" applyAlignment="1">
      <alignment vertical="top"/>
    </xf>
    <xf numFmtId="170" fontId="57" fillId="22" borderId="17" xfId="3" applyNumberFormat="1" applyFont="1" applyFill="1" applyBorder="1" applyAlignment="1">
      <alignment vertical="top"/>
    </xf>
    <xf numFmtId="166" fontId="0" fillId="31" borderId="17" xfId="3" applyFont="1" applyFill="1" applyBorder="1" applyAlignment="1">
      <alignment vertical="top"/>
    </xf>
    <xf numFmtId="174" fontId="0" fillId="0" borderId="16" xfId="3" applyNumberFormat="1" applyFont="1" applyBorder="1" applyAlignment="1">
      <alignment vertical="top"/>
    </xf>
    <xf numFmtId="174" fontId="0" fillId="31" borderId="17" xfId="3" applyNumberFormat="1" applyFont="1" applyFill="1" applyBorder="1" applyAlignment="1">
      <alignment vertical="top"/>
    </xf>
    <xf numFmtId="166" fontId="0" fillId="15" borderId="4" xfId="3" applyFont="1" applyFill="1" applyBorder="1" applyAlignment="1">
      <alignment vertical="top"/>
    </xf>
    <xf numFmtId="9" fontId="0" fillId="15" borderId="4" xfId="7" applyFont="1" applyFill="1" applyBorder="1" applyAlignment="1">
      <alignment vertical="top"/>
    </xf>
    <xf numFmtId="4" fontId="0" fillId="15" borderId="4" xfId="3" applyNumberFormat="1" applyFont="1" applyFill="1" applyBorder="1" applyAlignment="1">
      <alignment vertical="top"/>
    </xf>
    <xf numFmtId="166" fontId="0" fillId="0" borderId="16" xfId="3" applyFont="1" applyBorder="1" applyAlignment="1">
      <alignment vertical="top"/>
    </xf>
    <xf numFmtId="166" fontId="0" fillId="0" borderId="46" xfId="3" applyFont="1" applyBorder="1" applyAlignment="1">
      <alignment vertical="top"/>
    </xf>
    <xf numFmtId="170" fontId="0" fillId="15" borderId="4" xfId="3" applyNumberFormat="1" applyFont="1" applyFill="1" applyBorder="1" applyAlignment="1">
      <alignment vertical="top"/>
    </xf>
    <xf numFmtId="170" fontId="1" fillId="3" borderId="0" xfId="3" applyNumberFormat="1" applyFont="1" applyFill="1" applyAlignment="1">
      <alignment vertical="top"/>
    </xf>
    <xf numFmtId="170" fontId="0" fillId="3" borderId="0" xfId="3" applyNumberFormat="1" applyFont="1" applyFill="1" applyAlignment="1">
      <alignment vertical="top"/>
    </xf>
    <xf numFmtId="170" fontId="0" fillId="0" borderId="0" xfId="3" applyNumberFormat="1" applyFont="1" applyAlignment="1">
      <alignment vertical="top"/>
    </xf>
    <xf numFmtId="170" fontId="0" fillId="0" borderId="0" xfId="3" applyNumberFormat="1" applyFont="1" applyFill="1" applyAlignment="1">
      <alignment vertical="top"/>
    </xf>
    <xf numFmtId="170" fontId="0" fillId="34" borderId="17" xfId="3" applyNumberFormat="1" applyFont="1" applyFill="1" applyBorder="1" applyAlignment="1">
      <alignment vertical="top"/>
    </xf>
    <xf numFmtId="170" fontId="57" fillId="34" borderId="17" xfId="3" applyNumberFormat="1" applyFont="1" applyFill="1" applyBorder="1" applyAlignment="1">
      <alignment vertical="top"/>
    </xf>
    <xf numFmtId="166" fontId="70" fillId="31" borderId="17" xfId="3" applyFont="1" applyFill="1" applyBorder="1" applyAlignment="1">
      <alignment vertical="top"/>
    </xf>
    <xf numFmtId="170" fontId="17" fillId="34" borderId="17" xfId="3" applyNumberFormat="1" applyFont="1" applyFill="1" applyBorder="1" applyAlignment="1">
      <alignment vertical="top"/>
    </xf>
    <xf numFmtId="170" fontId="17" fillId="34" borderId="16" xfId="3" applyNumberFormat="1" applyFont="1" applyFill="1" applyBorder="1" applyAlignment="1">
      <alignment vertical="top"/>
    </xf>
    <xf numFmtId="170" fontId="17" fillId="17" borderId="17" xfId="3" applyNumberFormat="1" applyFont="1" applyFill="1" applyBorder="1" applyAlignment="1">
      <alignment vertical="top"/>
    </xf>
    <xf numFmtId="174" fontId="0" fillId="17" borderId="17" xfId="3" applyNumberFormat="1" applyFont="1" applyFill="1" applyBorder="1" applyAlignment="1">
      <alignment vertical="top"/>
    </xf>
    <xf numFmtId="174" fontId="70" fillId="0" borderId="17" xfId="3" applyNumberFormat="1" applyFont="1" applyBorder="1" applyAlignment="1">
      <alignment vertical="top"/>
    </xf>
    <xf numFmtId="170" fontId="0" fillId="17" borderId="16" xfId="3" applyNumberFormat="1" applyFont="1" applyFill="1" applyBorder="1" applyAlignment="1">
      <alignment vertical="top"/>
    </xf>
    <xf numFmtId="170" fontId="17" fillId="17" borderId="16" xfId="3" applyNumberFormat="1" applyFont="1" applyFill="1" applyBorder="1" applyAlignment="1">
      <alignment vertical="top"/>
    </xf>
    <xf numFmtId="170" fontId="0" fillId="34" borderId="16" xfId="3" applyNumberFormat="1" applyFont="1" applyFill="1" applyBorder="1" applyAlignment="1">
      <alignment vertical="top"/>
    </xf>
    <xf numFmtId="174" fontId="70" fillId="0" borderId="16" xfId="3" applyNumberFormat="1" applyFont="1" applyBorder="1" applyAlignment="1">
      <alignment vertical="top"/>
    </xf>
    <xf numFmtId="170" fontId="0" fillId="17" borderId="46" xfId="3" applyNumberFormat="1" applyFont="1" applyFill="1" applyBorder="1" applyAlignment="1">
      <alignment vertical="top"/>
    </xf>
    <xf numFmtId="170" fontId="17" fillId="17" borderId="46" xfId="3" applyNumberFormat="1" applyFont="1" applyFill="1" applyBorder="1" applyAlignment="1">
      <alignment vertical="top"/>
    </xf>
    <xf numFmtId="170" fontId="0" fillId="34" borderId="46" xfId="3" applyNumberFormat="1" applyFont="1" applyFill="1" applyBorder="1" applyAlignment="1">
      <alignment vertical="top"/>
    </xf>
    <xf numFmtId="174" fontId="0" fillId="17" borderId="46" xfId="3" applyNumberFormat="1" applyFont="1" applyFill="1" applyBorder="1" applyAlignment="1">
      <alignment vertical="top"/>
    </xf>
    <xf numFmtId="174" fontId="70" fillId="0" borderId="46" xfId="3" applyNumberFormat="1" applyFont="1" applyBorder="1" applyAlignment="1">
      <alignment vertical="top"/>
    </xf>
    <xf numFmtId="174" fontId="70" fillId="31" borderId="17" xfId="3" applyNumberFormat="1" applyFont="1" applyFill="1" applyBorder="1" applyAlignment="1">
      <alignment vertical="top"/>
    </xf>
    <xf numFmtId="174" fontId="0" fillId="17" borderId="16" xfId="3" applyNumberFormat="1" applyFont="1" applyFill="1" applyBorder="1" applyAlignment="1">
      <alignment vertical="top"/>
    </xf>
    <xf numFmtId="174" fontId="0" fillId="0" borderId="16" xfId="3" applyNumberFormat="1" applyFont="1" applyFill="1" applyBorder="1" applyAlignment="1">
      <alignment vertical="top"/>
    </xf>
    <xf numFmtId="166" fontId="70" fillId="0" borderId="16" xfId="3" applyFont="1" applyBorder="1" applyAlignment="1">
      <alignment vertical="top"/>
    </xf>
    <xf numFmtId="166" fontId="70" fillId="0" borderId="46" xfId="3" applyFont="1" applyBorder="1" applyAlignment="1">
      <alignment vertical="top"/>
    </xf>
    <xf numFmtId="3" fontId="74" fillId="0" borderId="0" xfId="3" applyNumberFormat="1" applyFont="1" applyFill="1" applyBorder="1" applyAlignment="1">
      <alignment horizontal="right" vertical="top"/>
    </xf>
    <xf numFmtId="170" fontId="17" fillId="34" borderId="4" xfId="3" applyNumberFormat="1" applyFont="1" applyFill="1" applyBorder="1" applyAlignment="1">
      <alignment vertical="top"/>
    </xf>
    <xf numFmtId="171" fontId="0" fillId="15" borderId="4" xfId="3" applyNumberFormat="1" applyFont="1" applyFill="1" applyBorder="1" applyAlignment="1">
      <alignment horizontal="center" vertical="top"/>
    </xf>
    <xf numFmtId="176" fontId="0" fillId="15" borderId="4" xfId="7" applyNumberFormat="1" applyFont="1" applyFill="1" applyBorder="1" applyAlignment="1">
      <alignment horizontal="center" vertical="top"/>
    </xf>
    <xf numFmtId="176" fontId="0" fillId="15" borderId="5" xfId="7" applyNumberFormat="1" applyFont="1" applyFill="1" applyBorder="1" applyAlignment="1">
      <alignment horizontal="center" vertical="top"/>
    </xf>
    <xf numFmtId="170" fontId="17" fillId="34" borderId="0" xfId="3" applyNumberFormat="1" applyFont="1" applyFill="1" applyBorder="1" applyAlignment="1">
      <alignment vertical="top"/>
    </xf>
    <xf numFmtId="170" fontId="17" fillId="34" borderId="0" xfId="3" quotePrefix="1" applyNumberFormat="1" applyFont="1" applyFill="1" applyBorder="1" applyAlignment="1">
      <alignment vertical="top"/>
    </xf>
    <xf numFmtId="9" fontId="0" fillId="15" borderId="4" xfId="7" applyFont="1" applyFill="1" applyBorder="1" applyAlignment="1">
      <alignment horizontal="center" vertical="top"/>
    </xf>
    <xf numFmtId="9" fontId="0" fillId="15" borderId="5" xfId="7" applyFont="1" applyFill="1" applyBorder="1" applyAlignment="1">
      <alignment horizontal="center" vertical="top"/>
    </xf>
    <xf numFmtId="3" fontId="0" fillId="9" borderId="0" xfId="0" applyNumberFormat="1" applyFill="1"/>
    <xf numFmtId="3" fontId="0" fillId="19" borderId="3" xfId="0" applyNumberFormat="1" applyFill="1" applyBorder="1"/>
    <xf numFmtId="0" fontId="0" fillId="0" borderId="46" xfId="0" applyBorder="1"/>
    <xf numFmtId="0" fontId="0" fillId="0" borderId="4" xfId="0" applyBorder="1"/>
    <xf numFmtId="0" fontId="78" fillId="2" borderId="0" xfId="0" applyFont="1" applyFill="1"/>
    <xf numFmtId="0" fontId="13" fillId="14" borderId="0" xfId="0" applyFont="1" applyFill="1" applyAlignment="1">
      <alignment horizontal="right"/>
    </xf>
    <xf numFmtId="2" fontId="13" fillId="15" borderId="0" xfId="0" applyNumberFormat="1" applyFont="1" applyFill="1" applyAlignment="1">
      <alignment horizontal="right"/>
    </xf>
    <xf numFmtId="3" fontId="0" fillId="0" borderId="11" xfId="0" applyNumberFormat="1" applyFill="1" applyBorder="1"/>
    <xf numFmtId="3" fontId="0" fillId="0" borderId="2" xfId="0" applyNumberFormat="1" applyFill="1" applyBorder="1"/>
    <xf numFmtId="1" fontId="0" fillId="0" borderId="12" xfId="0" applyNumberFormat="1" applyFont="1" applyBorder="1"/>
    <xf numFmtId="3" fontId="0" fillId="17" borderId="6" xfId="0" applyNumberFormat="1" applyFill="1" applyBorder="1"/>
    <xf numFmtId="2" fontId="0" fillId="13" borderId="0" xfId="0" applyNumberFormat="1" applyFill="1"/>
    <xf numFmtId="2" fontId="0" fillId="0" borderId="0" xfId="0" applyNumberFormat="1" applyFont="1"/>
    <xf numFmtId="168" fontId="0" fillId="0" borderId="0" xfId="0" applyNumberFormat="1" applyFont="1"/>
    <xf numFmtId="2" fontId="26" fillId="0" borderId="0" xfId="0" applyNumberFormat="1" applyFont="1"/>
    <xf numFmtId="9" fontId="26" fillId="0" borderId="0" xfId="0" applyNumberFormat="1" applyFont="1"/>
    <xf numFmtId="3" fontId="26" fillId="0" borderId="0" xfId="0" applyNumberFormat="1" applyFont="1"/>
    <xf numFmtId="3" fontId="46" fillId="0" borderId="0" xfId="0" applyNumberFormat="1" applyFont="1"/>
    <xf numFmtId="3" fontId="1" fillId="3" borderId="0" xfId="0" applyNumberFormat="1" applyFont="1" applyFill="1"/>
    <xf numFmtId="9" fontId="1" fillId="3" borderId="0" xfId="2" applyNumberFormat="1" applyFont="1" applyFill="1"/>
    <xf numFmtId="2" fontId="1" fillId="3" borderId="0" xfId="0" applyNumberFormat="1" applyFont="1" applyFill="1"/>
    <xf numFmtId="9" fontId="1" fillId="3" borderId="0" xfId="2" applyFont="1" applyFill="1"/>
    <xf numFmtId="0" fontId="80" fillId="0" borderId="0" xfId="0" applyFont="1"/>
    <xf numFmtId="0" fontId="15" fillId="2" borderId="0" xfId="0" applyFont="1" applyFill="1"/>
    <xf numFmtId="0" fontId="27" fillId="2" borderId="0" xfId="0" applyFont="1" applyFill="1"/>
    <xf numFmtId="3" fontId="1" fillId="0" borderId="9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2" xfId="0" applyNumberFormat="1" applyBorder="1" applyAlignment="1">
      <alignment vertical="center"/>
    </xf>
    <xf numFmtId="3" fontId="0" fillId="0" borderId="5" xfId="0" applyNumberFormat="1" applyBorder="1" applyAlignment="1">
      <alignment horizontal="center" vertical="center" wrapText="1"/>
    </xf>
    <xf numFmtId="3" fontId="1" fillId="5" borderId="15" xfId="0" applyNumberFormat="1" applyFont="1" applyFill="1" applyBorder="1" applyAlignment="1">
      <alignment vertical="center"/>
    </xf>
    <xf numFmtId="3" fontId="1" fillId="5" borderId="8" xfId="0" applyNumberFormat="1" applyFont="1" applyFill="1" applyBorder="1" applyAlignment="1">
      <alignment horizontal="center" vertical="center"/>
    </xf>
    <xf numFmtId="3" fontId="1" fillId="5" borderId="13" xfId="0" applyNumberFormat="1" applyFont="1" applyFill="1" applyBorder="1" applyAlignment="1">
      <alignment horizontal="center" vertical="center"/>
    </xf>
    <xf numFmtId="3" fontId="1" fillId="5" borderId="41" xfId="0" applyNumberFormat="1" applyFont="1" applyFill="1" applyBorder="1" applyAlignment="1">
      <alignment horizontal="center" vertical="center"/>
    </xf>
    <xf numFmtId="3" fontId="1" fillId="5" borderId="14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3" fontId="1" fillId="5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Font="1" applyAlignment="1">
      <alignment vertical="center"/>
    </xf>
    <xf numFmtId="3" fontId="0" fillId="0" borderId="9" xfId="0" applyNumberFormat="1" applyBorder="1" applyAlignment="1">
      <alignment vertical="center"/>
    </xf>
    <xf numFmtId="3" fontId="0" fillId="0" borderId="45" xfId="0" applyNumberFormat="1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0" fillId="0" borderId="44" xfId="0" applyNumberFormat="1" applyBorder="1" applyAlignment="1">
      <alignment vertical="center"/>
    </xf>
    <xf numFmtId="3" fontId="0" fillId="0" borderId="47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173" fontId="0" fillId="0" borderId="9" xfId="0" applyNumberFormat="1" applyBorder="1" applyAlignment="1">
      <alignment vertical="center"/>
    </xf>
    <xf numFmtId="173" fontId="0" fillId="0" borderId="16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9" fontId="0" fillId="0" borderId="9" xfId="2" applyFont="1" applyBorder="1" applyAlignment="1">
      <alignment vertical="center"/>
    </xf>
    <xf numFmtId="3" fontId="0" fillId="0" borderId="10" xfId="0" applyNumberFormat="1" applyBorder="1" applyAlignment="1">
      <alignment vertical="center"/>
    </xf>
    <xf numFmtId="0" fontId="1" fillId="14" borderId="9" xfId="0" applyFont="1" applyFill="1" applyBorder="1" applyAlignment="1">
      <alignment vertical="center"/>
    </xf>
    <xf numFmtId="0" fontId="1" fillId="14" borderId="0" xfId="0" applyFont="1" applyFill="1" applyAlignment="1">
      <alignment vertical="center"/>
    </xf>
    <xf numFmtId="3" fontId="1" fillId="14" borderId="9" xfId="0" applyNumberFormat="1" applyFont="1" applyFill="1" applyBorder="1" applyAlignment="1">
      <alignment vertical="center"/>
    </xf>
    <xf numFmtId="3" fontId="1" fillId="14" borderId="0" xfId="0" applyNumberFormat="1" applyFont="1" applyFill="1" applyBorder="1" applyAlignment="1">
      <alignment vertical="center"/>
    </xf>
    <xf numFmtId="0" fontId="1" fillId="0" borderId="9" xfId="0" applyFont="1" applyBorder="1" applyAlignment="1">
      <alignment vertical="center"/>
    </xf>
    <xf numFmtId="173" fontId="1" fillId="14" borderId="9" xfId="0" applyNumberFormat="1" applyFont="1" applyFill="1" applyBorder="1" applyAlignment="1">
      <alignment vertical="center"/>
    </xf>
    <xf numFmtId="173" fontId="1" fillId="14" borderId="16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9" fontId="1" fillId="14" borderId="9" xfId="2" applyFont="1" applyFill="1" applyBorder="1" applyAlignment="1">
      <alignment vertical="center"/>
    </xf>
    <xf numFmtId="3" fontId="1" fillId="14" borderId="10" xfId="0" applyNumberFormat="1" applyFont="1" applyFill="1" applyBorder="1" applyAlignment="1">
      <alignment vertical="center"/>
    </xf>
    <xf numFmtId="3" fontId="0" fillId="0" borderId="0" xfId="0" applyNumberFormat="1" applyFont="1" applyFill="1" applyAlignment="1">
      <alignment vertical="center"/>
    </xf>
    <xf numFmtId="3" fontId="0" fillId="0" borderId="9" xfId="0" applyNumberFormat="1" applyFill="1" applyBorder="1" applyAlignment="1">
      <alignment vertical="center"/>
    </xf>
    <xf numFmtId="3" fontId="0" fillId="0" borderId="0" xfId="0" applyNumberFormat="1" applyFill="1" applyBorder="1" applyAlignment="1">
      <alignment vertical="center"/>
    </xf>
    <xf numFmtId="173" fontId="0" fillId="0" borderId="9" xfId="0" applyNumberFormat="1" applyFill="1" applyBorder="1" applyAlignment="1">
      <alignment vertical="center"/>
    </xf>
    <xf numFmtId="173" fontId="0" fillId="0" borderId="16" xfId="0" applyNumberFormat="1" applyFill="1" applyBorder="1" applyAlignment="1">
      <alignment vertical="center"/>
    </xf>
    <xf numFmtId="9" fontId="0" fillId="0" borderId="9" xfId="2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3" fontId="1" fillId="14" borderId="11" xfId="0" applyNumberFormat="1" applyFont="1" applyFill="1" applyBorder="1" applyAlignment="1">
      <alignment vertical="center"/>
    </xf>
    <xf numFmtId="3" fontId="1" fillId="14" borderId="2" xfId="0" applyNumberFormat="1" applyFont="1" applyFill="1" applyBorder="1" applyAlignment="1">
      <alignment vertical="center"/>
    </xf>
    <xf numFmtId="0" fontId="1" fillId="5" borderId="5" xfId="0" applyFont="1" applyFill="1" applyBorder="1" applyAlignment="1">
      <alignment vertical="center"/>
    </xf>
    <xf numFmtId="0" fontId="1" fillId="5" borderId="3" xfId="0" applyFont="1" applyFill="1" applyBorder="1" applyAlignment="1">
      <alignment vertical="center"/>
    </xf>
    <xf numFmtId="3" fontId="1" fillId="5" borderId="3" xfId="0" applyNumberFormat="1" applyFont="1" applyFill="1" applyBorder="1" applyAlignment="1">
      <alignment vertical="center"/>
    </xf>
    <xf numFmtId="173" fontId="1" fillId="5" borderId="5" xfId="0" applyNumberFormat="1" applyFont="1" applyFill="1" applyBorder="1" applyAlignment="1">
      <alignment vertical="center"/>
    </xf>
    <xf numFmtId="173" fontId="1" fillId="5" borderId="4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9" fontId="0" fillId="0" borderId="0" xfId="2" applyFont="1" applyAlignment="1">
      <alignment vertical="center"/>
    </xf>
    <xf numFmtId="3" fontId="1" fillId="5" borderId="5" xfId="0" applyNumberFormat="1" applyFont="1" applyFill="1" applyBorder="1" applyAlignment="1">
      <alignment vertical="center"/>
    </xf>
    <xf numFmtId="3" fontId="1" fillId="5" borderId="6" xfId="0" applyNumberFormat="1" applyFont="1" applyFill="1" applyBorder="1" applyAlignment="1">
      <alignment vertical="center"/>
    </xf>
    <xf numFmtId="9" fontId="1" fillId="5" borderId="5" xfId="2" applyNumberFormat="1" applyFont="1" applyFill="1" applyBorder="1" applyAlignment="1">
      <alignment vertical="center"/>
    </xf>
    <xf numFmtId="3" fontId="0" fillId="29" borderId="0" xfId="0" applyNumberFormat="1" applyFill="1"/>
    <xf numFmtId="0" fontId="81" fillId="2" borderId="0" xfId="0" applyFont="1" applyFill="1"/>
    <xf numFmtId="3" fontId="0" fillId="0" borderId="9" xfId="0" applyNumberFormat="1" applyFill="1" applyBorder="1"/>
    <xf numFmtId="0" fontId="0" fillId="0" borderId="12" xfId="0" applyFont="1" applyBorder="1"/>
    <xf numFmtId="4" fontId="0" fillId="0" borderId="5" xfId="0" applyNumberFormat="1" applyBorder="1" applyAlignment="1">
      <alignment horizontal="center" wrapText="1"/>
    </xf>
    <xf numFmtId="3" fontId="0" fillId="0" borderId="52" xfId="0" applyNumberFormat="1" applyBorder="1"/>
    <xf numFmtId="3" fontId="0" fillId="0" borderId="16" xfId="0" applyNumberFormat="1" applyBorder="1"/>
    <xf numFmtId="3" fontId="0" fillId="0" borderId="4" xfId="0" applyNumberFormat="1" applyBorder="1" applyAlignment="1">
      <alignment horizontal="center" vertical="center" wrapText="1"/>
    </xf>
    <xf numFmtId="4" fontId="0" fillId="4" borderId="15" xfId="0" applyNumberFormat="1" applyFill="1" applyBorder="1"/>
    <xf numFmtId="3" fontId="0" fillId="28" borderId="4" xfId="0" applyNumberFormat="1" applyFill="1" applyBorder="1"/>
    <xf numFmtId="3" fontId="0" fillId="4" borderId="4" xfId="0" applyNumberFormat="1" applyFill="1" applyBorder="1"/>
    <xf numFmtId="3" fontId="0" fillId="13" borderId="4" xfId="0" applyNumberFormat="1" applyFill="1" applyBorder="1"/>
    <xf numFmtId="4" fontId="0" fillId="4" borderId="53" xfId="0" applyNumberFormat="1" applyFill="1" applyBorder="1"/>
    <xf numFmtId="3" fontId="0" fillId="0" borderId="46" xfId="0" applyNumberFormat="1" applyBorder="1"/>
    <xf numFmtId="3" fontId="0" fillId="0" borderId="17" xfId="0" applyNumberFormat="1" applyBorder="1"/>
    <xf numFmtId="3" fontId="0" fillId="4" borderId="17" xfId="0" applyNumberFormat="1" applyFill="1" applyBorder="1"/>
    <xf numFmtId="4" fontId="0" fillId="0" borderId="4" xfId="0" applyNumberFormat="1" applyBorder="1" applyAlignment="1">
      <alignment horizontal="center" wrapText="1"/>
    </xf>
    <xf numFmtId="2" fontId="22" fillId="0" borderId="0" xfId="0" applyNumberFormat="1" applyFont="1" applyBorder="1"/>
    <xf numFmtId="3" fontId="0" fillId="4" borderId="53" xfId="0" applyNumberFormat="1" applyFill="1" applyBorder="1"/>
    <xf numFmtId="3" fontId="0" fillId="17" borderId="4" xfId="0" applyNumberFormat="1" applyFill="1" applyBorder="1"/>
    <xf numFmtId="4" fontId="0" fillId="4" borderId="4" xfId="0" applyNumberFormat="1" applyFill="1" applyBorder="1"/>
    <xf numFmtId="4" fontId="0" fillId="17" borderId="4" xfId="0" applyNumberFormat="1" applyFill="1" applyBorder="1"/>
    <xf numFmtId="3" fontId="0" fillId="4" borderId="15" xfId="0" applyNumberFormat="1" applyFill="1" applyBorder="1"/>
    <xf numFmtId="4" fontId="0" fillId="0" borderId="5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3" fontId="0" fillId="0" borderId="51" xfId="0" applyNumberFormat="1" applyBorder="1"/>
    <xf numFmtId="3" fontId="0" fillId="22" borderId="4" xfId="0" applyNumberFormat="1" applyFill="1" applyBorder="1"/>
    <xf numFmtId="0" fontId="0" fillId="4" borderId="53" xfId="0" applyFill="1" applyBorder="1"/>
    <xf numFmtId="0" fontId="0" fillId="4" borderId="7" xfId="0" applyFont="1" applyFill="1" applyBorder="1"/>
    <xf numFmtId="0" fontId="0" fillId="4" borderId="53" xfId="0" applyFont="1" applyFill="1" applyBorder="1"/>
    <xf numFmtId="0" fontId="0" fillId="4" borderId="16" xfId="0" applyFill="1" applyBorder="1"/>
    <xf numFmtId="3" fontId="0" fillId="4" borderId="46" xfId="0" applyNumberFormat="1" applyFill="1" applyBorder="1"/>
    <xf numFmtId="0" fontId="0" fillId="4" borderId="46" xfId="0" applyFill="1" applyBorder="1"/>
    <xf numFmtId="0" fontId="4" fillId="8" borderId="19" xfId="0" applyFont="1" applyFill="1" applyBorder="1"/>
    <xf numFmtId="0" fontId="4" fillId="8" borderId="18" xfId="0" applyFont="1" applyFill="1" applyBorder="1"/>
    <xf numFmtId="0" fontId="4" fillId="8" borderId="46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167" fontId="26" fillId="0" borderId="0" xfId="2" applyNumberFormat="1" applyFont="1" applyFill="1" applyAlignment="1">
      <alignment vertical="center"/>
    </xf>
    <xf numFmtId="167" fontId="26" fillId="0" borderId="0" xfId="0" applyNumberFormat="1" applyFont="1" applyFill="1" applyAlignment="1">
      <alignment vertical="center"/>
    </xf>
    <xf numFmtId="4" fontId="0" fillId="19" borderId="0" xfId="0" applyNumberFormat="1" applyFill="1" applyBorder="1"/>
    <xf numFmtId="0" fontId="0" fillId="0" borderId="0" xfId="0"/>
    <xf numFmtId="169" fontId="0" fillId="0" borderId="0" xfId="5" applyNumberFormat="1" applyFont="1"/>
    <xf numFmtId="0" fontId="9" fillId="0" borderId="0" xfId="0" applyFont="1"/>
    <xf numFmtId="1" fontId="0" fillId="0" borderId="0" xfId="2" applyNumberFormat="1" applyFont="1"/>
    <xf numFmtId="0" fontId="0" fillId="0" borderId="10" xfId="0" applyFill="1" applyBorder="1"/>
    <xf numFmtId="3" fontId="0" fillId="0" borderId="16" xfId="0" applyNumberFormat="1" applyFill="1" applyBorder="1"/>
    <xf numFmtId="1" fontId="26" fillId="0" borderId="0" xfId="0" applyNumberFormat="1" applyFont="1" applyFill="1"/>
    <xf numFmtId="1" fontId="46" fillId="0" borderId="0" xfId="0" applyNumberFormat="1" applyFont="1" applyFill="1"/>
    <xf numFmtId="1" fontId="26" fillId="0" borderId="0" xfId="0" applyNumberFormat="1" applyFont="1"/>
    <xf numFmtId="1" fontId="4" fillId="11" borderId="0" xfId="0" applyNumberFormat="1" applyFont="1" applyFill="1"/>
    <xf numFmtId="3" fontId="0" fillId="0" borderId="0" xfId="2" applyNumberFormat="1" applyFont="1"/>
    <xf numFmtId="1" fontId="4" fillId="2" borderId="0" xfId="0" applyNumberFormat="1" applyFont="1" applyFill="1"/>
    <xf numFmtId="9" fontId="13" fillId="0" borderId="0" xfId="2" applyFont="1"/>
    <xf numFmtId="3" fontId="1" fillId="0" borderId="0" xfId="2" applyNumberFormat="1" applyFont="1"/>
    <xf numFmtId="177" fontId="0" fillId="0" borderId="0" xfId="2" applyNumberFormat="1" applyFont="1"/>
    <xf numFmtId="2" fontId="0" fillId="15" borderId="0" xfId="0" applyNumberFormat="1" applyFont="1" applyFill="1" applyAlignment="1">
      <alignment horizontal="right"/>
    </xf>
    <xf numFmtId="0" fontId="0" fillId="35" borderId="0" xfId="0" applyFill="1"/>
    <xf numFmtId="3" fontId="0" fillId="35" borderId="0" xfId="0" applyNumberFormat="1" applyFill="1"/>
    <xf numFmtId="3" fontId="24" fillId="0" borderId="11" xfId="0" applyNumberFormat="1" applyFont="1" applyBorder="1"/>
    <xf numFmtId="3" fontId="0" fillId="14" borderId="0" xfId="0" applyNumberFormat="1" applyFill="1" applyBorder="1"/>
    <xf numFmtId="9" fontId="0" fillId="14" borderId="0" xfId="2" applyFont="1" applyFill="1" applyBorder="1"/>
    <xf numFmtId="178" fontId="0" fillId="0" borderId="0" xfId="2" applyNumberFormat="1" applyFont="1"/>
    <xf numFmtId="11" fontId="0" fillId="0" borderId="0" xfId="0" applyNumberFormat="1" applyFill="1"/>
    <xf numFmtId="0" fontId="1" fillId="0" borderId="0" xfId="0" applyFont="1" applyFill="1" applyAlignment="1"/>
    <xf numFmtId="3" fontId="0" fillId="0" borderId="0" xfId="0" quotePrefix="1" applyNumberFormat="1" applyBorder="1"/>
    <xf numFmtId="164" fontId="1" fillId="0" borderId="0" xfId="0" applyNumberFormat="1" applyFont="1" applyBorder="1"/>
    <xf numFmtId="10" fontId="0" fillId="0" borderId="0" xfId="2" applyNumberFormat="1" applyFont="1"/>
    <xf numFmtId="0" fontId="25" fillId="0" borderId="0" xfId="0" applyFont="1"/>
    <xf numFmtId="3" fontId="25" fillId="0" borderId="0" xfId="0" applyNumberFormat="1" applyFont="1"/>
    <xf numFmtId="1" fontId="0" fillId="14" borderId="0" xfId="0" applyNumberFormat="1" applyFont="1" applyFill="1" applyBorder="1"/>
    <xf numFmtId="1" fontId="0" fillId="14" borderId="0" xfId="0" applyNumberFormat="1" applyFill="1" applyBorder="1"/>
    <xf numFmtId="0" fontId="61" fillId="3" borderId="0" xfId="0" applyFont="1" applyFill="1" applyAlignment="1">
      <alignment vertical="top"/>
    </xf>
    <xf numFmtId="0" fontId="1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170" fontId="0" fillId="3" borderId="0" xfId="0" applyNumberFormat="1" applyFill="1" applyAlignment="1">
      <alignment vertical="top"/>
    </xf>
    <xf numFmtId="0" fontId="82" fillId="3" borderId="0" xfId="0" applyFont="1" applyFill="1" applyAlignment="1">
      <alignment horizontal="right" vertical="top"/>
    </xf>
    <xf numFmtId="0" fontId="13" fillId="3" borderId="0" xfId="0" applyFont="1" applyFill="1" applyAlignment="1">
      <alignment horizontal="right" vertical="top"/>
    </xf>
    <xf numFmtId="0" fontId="0" fillId="30" borderId="0" xfId="0" applyFill="1" applyAlignment="1">
      <alignment vertical="top"/>
    </xf>
    <xf numFmtId="0" fontId="0" fillId="0" borderId="0" xfId="0" applyAlignment="1">
      <alignment vertical="top"/>
    </xf>
    <xf numFmtId="0" fontId="8" fillId="3" borderId="0" xfId="0" applyFont="1" applyFill="1" applyAlignment="1">
      <alignment vertical="top"/>
    </xf>
    <xf numFmtId="0" fontId="0" fillId="5" borderId="4" xfId="0" applyFill="1" applyBorder="1" applyAlignment="1">
      <alignment vertical="top"/>
    </xf>
    <xf numFmtId="0" fontId="0" fillId="3" borderId="0" xfId="0" applyFill="1" applyAlignment="1">
      <alignment horizontal="center" vertical="top"/>
    </xf>
    <xf numFmtId="0" fontId="0" fillId="5" borderId="5" xfId="0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5" borderId="4" xfId="0" applyFill="1" applyBorder="1" applyAlignment="1">
      <alignment horizontal="center" vertical="top"/>
    </xf>
    <xf numFmtId="0" fontId="0" fillId="5" borderId="3" xfId="0" applyFill="1" applyBorder="1" applyAlignment="1">
      <alignment vertical="top"/>
    </xf>
    <xf numFmtId="0" fontId="50" fillId="3" borderId="0" xfId="0" applyFont="1" applyFill="1" applyAlignment="1">
      <alignment vertical="top"/>
    </xf>
    <xf numFmtId="0" fontId="76" fillId="3" borderId="0" xfId="0" applyFont="1" applyFill="1" applyAlignment="1">
      <alignment vertical="top"/>
    </xf>
    <xf numFmtId="0" fontId="75" fillId="3" borderId="0" xfId="0" applyFont="1" applyFill="1" applyAlignment="1">
      <alignment vertical="top"/>
    </xf>
    <xf numFmtId="0" fontId="77" fillId="3" borderId="0" xfId="0" applyFont="1" applyFill="1" applyAlignment="1">
      <alignment vertical="top"/>
    </xf>
    <xf numFmtId="170" fontId="75" fillId="3" borderId="0" xfId="0" applyNumberFormat="1" applyFont="1" applyFill="1" applyAlignment="1">
      <alignment vertical="top"/>
    </xf>
    <xf numFmtId="175" fontId="83" fillId="3" borderId="0" xfId="0" applyNumberFormat="1" applyFont="1" applyFill="1" applyAlignment="1">
      <alignment vertical="top"/>
    </xf>
    <xf numFmtId="0" fontId="84" fillId="3" borderId="0" xfId="0" applyFont="1" applyFill="1" applyAlignment="1">
      <alignment horizontal="right" vertical="top"/>
    </xf>
    <xf numFmtId="0" fontId="85" fillId="3" borderId="0" xfId="0" applyFont="1" applyFill="1" applyAlignment="1">
      <alignment horizontal="right" vertical="top"/>
    </xf>
    <xf numFmtId="0" fontId="76" fillId="30" borderId="0" xfId="0" applyFont="1" applyFill="1" applyAlignment="1">
      <alignment vertical="top"/>
    </xf>
    <xf numFmtId="0" fontId="75" fillId="30" borderId="0" xfId="0" applyFont="1" applyFill="1" applyAlignment="1">
      <alignment vertical="top"/>
    </xf>
    <xf numFmtId="0" fontId="75" fillId="0" borderId="0" xfId="0" applyFont="1" applyAlignment="1">
      <alignment vertical="top"/>
    </xf>
    <xf numFmtId="0" fontId="65" fillId="0" borderId="0" xfId="0" applyFont="1" applyAlignment="1">
      <alignment vertical="top"/>
    </xf>
    <xf numFmtId="0" fontId="57" fillId="0" borderId="0" xfId="0" applyFont="1" applyAlignment="1">
      <alignment vertical="top"/>
    </xf>
    <xf numFmtId="0" fontId="46" fillId="0" borderId="0" xfId="0" applyFont="1" applyAlignment="1">
      <alignment vertical="top"/>
    </xf>
    <xf numFmtId="0" fontId="73" fillId="0" borderId="0" xfId="0" applyFont="1" applyAlignment="1">
      <alignment horizontal="right" vertical="top"/>
    </xf>
    <xf numFmtId="170" fontId="46" fillId="0" borderId="0" xfId="0" applyNumberFormat="1" applyFont="1" applyAlignment="1">
      <alignment vertical="top"/>
    </xf>
    <xf numFmtId="0" fontId="65" fillId="22" borderId="0" xfId="0" applyFont="1" applyFill="1" applyAlignment="1">
      <alignment vertical="top"/>
    </xf>
    <xf numFmtId="0" fontId="1" fillId="0" borderId="0" xfId="0" applyFont="1" applyAlignment="1">
      <alignment vertical="top"/>
    </xf>
    <xf numFmtId="170" fontId="1" fillId="0" borderId="0" xfId="0" applyNumberFormat="1" applyFont="1" applyAlignment="1">
      <alignment vertical="top"/>
    </xf>
    <xf numFmtId="0" fontId="1" fillId="30" borderId="0" xfId="0" applyFont="1" applyFill="1" applyAlignment="1">
      <alignment vertical="top"/>
    </xf>
    <xf numFmtId="3" fontId="86" fillId="30" borderId="0" xfId="3" applyNumberFormat="1" applyFont="1" applyFill="1" applyBorder="1" applyAlignment="1">
      <alignment horizontal="right" vertical="top"/>
    </xf>
    <xf numFmtId="170" fontId="0" fillId="5" borderId="4" xfId="0" applyNumberForma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right" vertical="top"/>
    </xf>
    <xf numFmtId="0" fontId="0" fillId="30" borderId="4" xfId="0" applyFill="1" applyBorder="1" applyAlignment="1">
      <alignment horizontal="center" vertical="top"/>
    </xf>
    <xf numFmtId="0" fontId="0" fillId="3" borderId="4" xfId="0" applyFill="1" applyBorder="1" applyAlignment="1">
      <alignment vertical="top"/>
    </xf>
    <xf numFmtId="0" fontId="0" fillId="0" borderId="19" xfId="0" applyBorder="1" applyAlignment="1">
      <alignment vertical="top"/>
    </xf>
    <xf numFmtId="0" fontId="0" fillId="15" borderId="18" xfId="0" applyFill="1" applyBorder="1" applyAlignment="1">
      <alignment vertical="top"/>
    </xf>
    <xf numFmtId="170" fontId="70" fillId="0" borderId="46" xfId="3" applyNumberFormat="1" applyFont="1" applyBorder="1" applyAlignment="1">
      <alignment vertical="top"/>
    </xf>
    <xf numFmtId="172" fontId="54" fillId="0" borderId="0" xfId="0" applyNumberFormat="1" applyFont="1" applyAlignment="1">
      <alignment vertical="top"/>
    </xf>
    <xf numFmtId="0" fontId="0" fillId="0" borderId="9" xfId="0" applyBorder="1" applyAlignment="1">
      <alignment vertical="top"/>
    </xf>
    <xf numFmtId="0" fontId="0" fillId="15" borderId="0" xfId="0" applyFill="1" applyAlignment="1">
      <alignment vertical="top"/>
    </xf>
    <xf numFmtId="170" fontId="70" fillId="0" borderId="16" xfId="3" applyNumberFormat="1" applyFont="1" applyBorder="1" applyAlignment="1">
      <alignment vertical="top"/>
    </xf>
    <xf numFmtId="0" fontId="0" fillId="0" borderId="4" xfId="0" applyBorder="1" applyAlignment="1">
      <alignment vertical="top"/>
    </xf>
    <xf numFmtId="170" fontId="0" fillId="0" borderId="4" xfId="3" applyNumberFormat="1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0" fillId="15" borderId="2" xfId="0" applyFill="1" applyBorder="1" applyAlignment="1">
      <alignment vertical="top"/>
    </xf>
    <xf numFmtId="170" fontId="70" fillId="31" borderId="17" xfId="3" applyNumberFormat="1" applyFont="1" applyFill="1" applyBorder="1" applyAlignment="1">
      <alignment vertical="top"/>
    </xf>
    <xf numFmtId="0" fontId="67" fillId="0" borderId="11" xfId="0" applyFont="1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2" xfId="0" applyBorder="1" applyAlignment="1">
      <alignment vertical="top"/>
    </xf>
    <xf numFmtId="170" fontId="70" fillId="0" borderId="17" xfId="3" applyNumberFormat="1" applyFont="1" applyBorder="1" applyAlignment="1">
      <alignment vertical="top"/>
    </xf>
    <xf numFmtId="0" fontId="0" fillId="31" borderId="11" xfId="0" applyFill="1" applyBorder="1" applyAlignment="1">
      <alignment vertical="top"/>
    </xf>
    <xf numFmtId="0" fontId="0" fillId="31" borderId="2" xfId="0" applyFill="1" applyBorder="1" applyAlignment="1">
      <alignment vertical="top"/>
    </xf>
    <xf numFmtId="0" fontId="57" fillId="22" borderId="11" xfId="0" applyFont="1" applyFill="1" applyBorder="1" applyAlignment="1">
      <alignment vertical="top"/>
    </xf>
    <xf numFmtId="0" fontId="57" fillId="22" borderId="2" xfId="0" applyFont="1" applyFill="1" applyBorder="1" applyAlignment="1">
      <alignment vertical="top"/>
    </xf>
    <xf numFmtId="170" fontId="0" fillId="0" borderId="0" xfId="0" applyNumberFormat="1" applyAlignment="1">
      <alignment vertical="top"/>
    </xf>
    <xf numFmtId="0" fontId="18" fillId="0" borderId="5" xfId="0" applyFont="1" applyBorder="1" applyAlignment="1">
      <alignment vertical="top"/>
    </xf>
    <xf numFmtId="9" fontId="18" fillId="0" borderId="4" xfId="0" applyNumberFormat="1" applyFont="1" applyBorder="1" applyAlignment="1">
      <alignment vertical="top"/>
    </xf>
    <xf numFmtId="9" fontId="69" fillId="0" borderId="4" xfId="0" applyNumberFormat="1" applyFont="1" applyBorder="1" applyAlignment="1">
      <alignment vertical="top"/>
    </xf>
    <xf numFmtId="170" fontId="18" fillId="0" borderId="4" xfId="3" applyNumberFormat="1" applyFont="1" applyFill="1" applyBorder="1" applyAlignment="1">
      <alignment vertical="top"/>
    </xf>
    <xf numFmtId="170" fontId="69" fillId="0" borderId="4" xfId="3" applyNumberFormat="1" applyFont="1" applyFill="1" applyBorder="1" applyAlignment="1">
      <alignment vertical="top"/>
    </xf>
    <xf numFmtId="9" fontId="17" fillId="31" borderId="17" xfId="7" applyFont="1" applyFill="1" applyBorder="1" applyAlignment="1">
      <alignment vertical="top"/>
    </xf>
    <xf numFmtId="170" fontId="17" fillId="31" borderId="17" xfId="3" applyNumberFormat="1" applyFont="1" applyFill="1" applyBorder="1" applyAlignment="1">
      <alignment vertical="top"/>
    </xf>
    <xf numFmtId="0" fontId="68" fillId="0" borderId="0" xfId="0" applyFont="1" applyAlignment="1">
      <alignment vertical="top"/>
    </xf>
    <xf numFmtId="0" fontId="56" fillId="0" borderId="0" xfId="0" applyFont="1" applyAlignment="1">
      <alignment vertical="top"/>
    </xf>
    <xf numFmtId="0" fontId="74" fillId="0" borderId="0" xfId="0" applyFont="1" applyAlignment="1">
      <alignment vertical="top"/>
    </xf>
    <xf numFmtId="0" fontId="62" fillId="3" borderId="0" xfId="0" applyFont="1" applyFill="1" applyAlignment="1">
      <alignment horizontal="center" vertical="top" textRotation="90"/>
    </xf>
    <xf numFmtId="0" fontId="68" fillId="3" borderId="0" xfId="0" applyFont="1" applyFill="1" applyAlignment="1">
      <alignment vertical="top"/>
    </xf>
    <xf numFmtId="0" fontId="8" fillId="0" borderId="0" xfId="0" applyFont="1" applyAlignment="1">
      <alignment vertical="top"/>
    </xf>
    <xf numFmtId="170" fontId="54" fillId="0" borderId="0" xfId="0" applyNumberFormat="1" applyFont="1" applyAlignment="1">
      <alignment vertical="top"/>
    </xf>
    <xf numFmtId="9" fontId="17" fillId="0" borderId="46" xfId="7" applyFont="1" applyBorder="1" applyAlignment="1">
      <alignment vertical="top"/>
    </xf>
    <xf numFmtId="0" fontId="17" fillId="30" borderId="0" xfId="0" applyFont="1" applyFill="1" applyAlignment="1">
      <alignment vertical="top"/>
    </xf>
    <xf numFmtId="0" fontId="17" fillId="0" borderId="19" xfId="0" applyFont="1" applyBorder="1" applyAlignment="1">
      <alignment vertical="top"/>
    </xf>
    <xf numFmtId="0" fontId="17" fillId="15" borderId="18" xfId="0" applyFont="1" applyFill="1" applyBorder="1" applyAlignment="1">
      <alignment vertical="top"/>
    </xf>
    <xf numFmtId="170" fontId="17" fillId="0" borderId="46" xfId="3" applyNumberFormat="1" applyFont="1" applyBorder="1" applyAlignment="1">
      <alignment vertical="top"/>
    </xf>
    <xf numFmtId="9" fontId="17" fillId="0" borderId="16" xfId="7" applyFont="1" applyBorder="1" applyAlignment="1">
      <alignment vertical="top"/>
    </xf>
    <xf numFmtId="0" fontId="17" fillId="0" borderId="9" xfId="0" applyFont="1" applyBorder="1" applyAlignment="1">
      <alignment vertical="top"/>
    </xf>
    <xf numFmtId="0" fontId="17" fillId="15" borderId="0" xfId="0" applyFont="1" applyFill="1" applyAlignment="1">
      <alignment vertical="top"/>
    </xf>
    <xf numFmtId="170" fontId="17" fillId="0" borderId="16" xfId="3" applyNumberFormat="1" applyFont="1" applyBorder="1" applyAlignment="1">
      <alignment vertical="top"/>
    </xf>
    <xf numFmtId="0" fontId="17" fillId="0" borderId="11" xfId="0" applyFont="1" applyBorder="1" applyAlignment="1">
      <alignment vertical="top"/>
    </xf>
    <xf numFmtId="0" fontId="17" fillId="15" borderId="2" xfId="0" applyFont="1" applyFill="1" applyBorder="1" applyAlignment="1">
      <alignment vertical="top"/>
    </xf>
    <xf numFmtId="0" fontId="17" fillId="0" borderId="18" xfId="0" applyFont="1" applyBorder="1" applyAlignment="1">
      <alignment vertical="top"/>
    </xf>
    <xf numFmtId="0" fontId="17" fillId="0" borderId="0" xfId="0" applyFont="1" applyAlignment="1">
      <alignment vertical="top"/>
    </xf>
    <xf numFmtId="9" fontId="17" fillId="0" borderId="17" xfId="7" applyFont="1" applyBorder="1" applyAlignment="1">
      <alignment vertical="top"/>
    </xf>
    <xf numFmtId="0" fontId="17" fillId="0" borderId="2" xfId="0" applyFont="1" applyBorder="1" applyAlignment="1">
      <alignment vertical="top"/>
    </xf>
    <xf numFmtId="170" fontId="17" fillId="0" borderId="17" xfId="3" applyNumberFormat="1" applyFont="1" applyBorder="1" applyAlignment="1">
      <alignment vertical="top"/>
    </xf>
    <xf numFmtId="0" fontId="17" fillId="31" borderId="11" xfId="0" applyFont="1" applyFill="1" applyBorder="1" applyAlignment="1">
      <alignment vertical="top"/>
    </xf>
    <xf numFmtId="0" fontId="17" fillId="31" borderId="2" xfId="0" applyFont="1" applyFill="1" applyBorder="1" applyAlignment="1">
      <alignment vertical="top"/>
    </xf>
    <xf numFmtId="172" fontId="54" fillId="3" borderId="0" xfId="0" applyNumberFormat="1" applyFont="1" applyFill="1" applyAlignment="1">
      <alignment vertical="top"/>
    </xf>
    <xf numFmtId="0" fontId="64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30" fillId="0" borderId="0" xfId="0" applyFont="1" applyAlignment="1">
      <alignment vertical="top"/>
    </xf>
    <xf numFmtId="0" fontId="46" fillId="33" borderId="0" xfId="0" applyFont="1" applyFill="1" applyAlignment="1">
      <alignment vertical="top"/>
    </xf>
    <xf numFmtId="0" fontId="46" fillId="32" borderId="0" xfId="0" applyFont="1" applyFill="1" applyAlignment="1">
      <alignment vertical="top"/>
    </xf>
    <xf numFmtId="0" fontId="0" fillId="0" borderId="5" xfId="0" applyBorder="1" applyAlignment="1">
      <alignment vertical="top"/>
    </xf>
    <xf numFmtId="0" fontId="72" fillId="0" borderId="0" xfId="0" applyFont="1" applyAlignment="1">
      <alignment vertical="top"/>
    </xf>
    <xf numFmtId="0" fontId="30" fillId="3" borderId="0" xfId="0" applyFont="1" applyFill="1" applyAlignment="1">
      <alignment vertical="top"/>
    </xf>
    <xf numFmtId="0" fontId="54" fillId="0" borderId="0" xfId="0" applyFont="1" applyAlignment="1">
      <alignment vertical="top"/>
    </xf>
    <xf numFmtId="0" fontId="0" fillId="22" borderId="0" xfId="0" applyFill="1" applyAlignment="1">
      <alignment vertical="top"/>
    </xf>
    <xf numFmtId="0" fontId="51" fillId="0" borderId="0" xfId="0" applyFont="1" applyAlignment="1">
      <alignment vertical="top"/>
    </xf>
    <xf numFmtId="9" fontId="0" fillId="0" borderId="0" xfId="0" applyNumberFormat="1" applyAlignment="1">
      <alignment vertical="top"/>
    </xf>
    <xf numFmtId="9" fontId="0" fillId="0" borderId="0" xfId="7" applyFont="1" applyFill="1" applyAlignment="1">
      <alignment vertical="top"/>
    </xf>
    <xf numFmtId="175" fontId="1" fillId="3" borderId="0" xfId="0" applyNumberFormat="1" applyFont="1" applyFill="1" applyAlignment="1">
      <alignment vertical="top"/>
    </xf>
    <xf numFmtId="166" fontId="1" fillId="3" borderId="0" xfId="0" applyNumberFormat="1" applyFont="1" applyFill="1" applyAlignment="1">
      <alignment vertical="top"/>
    </xf>
    <xf numFmtId="171" fontId="66" fillId="35" borderId="0" xfId="3" applyNumberFormat="1" applyFont="1" applyFill="1" applyAlignment="1">
      <alignment vertical="top"/>
    </xf>
    <xf numFmtId="9" fontId="54" fillId="30" borderId="0" xfId="7" applyFont="1" applyFill="1" applyAlignment="1">
      <alignment vertical="top"/>
    </xf>
    <xf numFmtId="170" fontId="0" fillId="22" borderId="0" xfId="0" applyNumberFormat="1" applyFill="1" applyAlignment="1">
      <alignment vertical="top"/>
    </xf>
    <xf numFmtId="0" fontId="82" fillId="0" borderId="0" xfId="0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0" fontId="0" fillId="0" borderId="16" xfId="0" applyBorder="1" applyAlignment="1">
      <alignment vertical="top"/>
    </xf>
    <xf numFmtId="170" fontId="70" fillId="0" borderId="16" xfId="3" applyNumberFormat="1" applyFont="1" applyFill="1" applyBorder="1" applyAlignment="1">
      <alignment vertical="top"/>
    </xf>
    <xf numFmtId="0" fontId="0" fillId="0" borderId="17" xfId="0" applyBorder="1" applyAlignment="1">
      <alignment vertical="top"/>
    </xf>
    <xf numFmtId="0" fontId="54" fillId="30" borderId="0" xfId="0" applyFont="1" applyFill="1" applyAlignment="1">
      <alignment vertical="top"/>
    </xf>
    <xf numFmtId="0" fontId="70" fillId="30" borderId="0" xfId="0" applyFont="1" applyFill="1" applyAlignment="1">
      <alignment vertical="top"/>
    </xf>
    <xf numFmtId="0" fontId="13" fillId="30" borderId="0" xfId="0" applyFont="1" applyFill="1" applyAlignment="1">
      <alignment horizontal="right" vertical="top"/>
    </xf>
    <xf numFmtId="172" fontId="0" fillId="0" borderId="46" xfId="3" applyNumberFormat="1" applyFont="1" applyBorder="1" applyAlignment="1">
      <alignment vertical="top"/>
    </xf>
    <xf numFmtId="172" fontId="70" fillId="0" borderId="46" xfId="3" applyNumberFormat="1" applyFont="1" applyBorder="1" applyAlignment="1">
      <alignment vertical="top"/>
    </xf>
    <xf numFmtId="172" fontId="0" fillId="0" borderId="16" xfId="3" applyNumberFormat="1" applyFont="1" applyFill="1" applyBorder="1" applyAlignment="1">
      <alignment vertical="top"/>
    </xf>
    <xf numFmtId="172" fontId="70" fillId="0" borderId="16" xfId="3" applyNumberFormat="1" applyFont="1" applyFill="1" applyBorder="1" applyAlignment="1">
      <alignment vertical="top"/>
    </xf>
    <xf numFmtId="172" fontId="0" fillId="0" borderId="17" xfId="3" applyNumberFormat="1" applyFont="1" applyBorder="1" applyAlignment="1">
      <alignment vertical="top"/>
    </xf>
    <xf numFmtId="172" fontId="70" fillId="0" borderId="17" xfId="3" applyNumberFormat="1" applyFont="1" applyBorder="1" applyAlignment="1">
      <alignment vertical="top"/>
    </xf>
    <xf numFmtId="172" fontId="0" fillId="31" borderId="17" xfId="3" applyNumberFormat="1" applyFont="1" applyFill="1" applyBorder="1" applyAlignment="1">
      <alignment vertical="top"/>
    </xf>
    <xf numFmtId="172" fontId="17" fillId="31" borderId="17" xfId="3" applyNumberFormat="1" applyFont="1" applyFill="1" applyBorder="1" applyAlignment="1">
      <alignment vertical="top"/>
    </xf>
    <xf numFmtId="0" fontId="56" fillId="31" borderId="11" xfId="0" applyFont="1" applyFill="1" applyBorder="1" applyAlignment="1">
      <alignment vertical="top"/>
    </xf>
    <xf numFmtId="0" fontId="56" fillId="31" borderId="2" xfId="0" applyFont="1" applyFill="1" applyBorder="1" applyAlignment="1">
      <alignment vertical="top"/>
    </xf>
    <xf numFmtId="0" fontId="0" fillId="32" borderId="5" xfId="0" applyFill="1" applyBorder="1" applyAlignment="1">
      <alignment vertical="top"/>
    </xf>
    <xf numFmtId="0" fontId="0" fillId="32" borderId="3" xfId="0" applyFill="1" applyBorder="1" applyAlignment="1">
      <alignment vertical="top"/>
    </xf>
    <xf numFmtId="171" fontId="0" fillId="0" borderId="0" xfId="0" applyNumberFormat="1" applyAlignment="1">
      <alignment vertical="top"/>
    </xf>
    <xf numFmtId="179" fontId="0" fillId="0" borderId="0" xfId="0" applyNumberFormat="1" applyAlignment="1">
      <alignment vertical="top"/>
    </xf>
    <xf numFmtId="0" fontId="57" fillId="22" borderId="5" xfId="0" applyFont="1" applyFill="1" applyBorder="1" applyAlignment="1">
      <alignment vertical="top"/>
    </xf>
    <xf numFmtId="0" fontId="57" fillId="22" borderId="3" xfId="0" applyFont="1" applyFill="1" applyBorder="1" applyAlignment="1">
      <alignment vertical="top"/>
    </xf>
    <xf numFmtId="0" fontId="63" fillId="0" borderId="0" xfId="0" applyFont="1" applyAlignment="1">
      <alignment vertical="top"/>
    </xf>
    <xf numFmtId="0" fontId="56" fillId="31" borderId="3" xfId="0" applyFont="1" applyFill="1" applyBorder="1" applyAlignment="1">
      <alignment vertical="top"/>
    </xf>
    <xf numFmtId="179" fontId="1" fillId="3" borderId="0" xfId="0" applyNumberFormat="1" applyFont="1" applyFill="1" applyAlignment="1">
      <alignment vertical="top"/>
    </xf>
    <xf numFmtId="172" fontId="54" fillId="35" borderId="0" xfId="0" applyNumberFormat="1" applyFont="1" applyFill="1" applyAlignment="1">
      <alignment vertical="top"/>
    </xf>
    <xf numFmtId="0" fontId="61" fillId="20" borderId="0" xfId="0" applyFont="1" applyFill="1" applyAlignment="1">
      <alignment vertical="top"/>
    </xf>
    <xf numFmtId="0" fontId="0" fillId="20" borderId="0" xfId="0" applyFill="1" applyAlignment="1">
      <alignment vertical="top"/>
    </xf>
    <xf numFmtId="179" fontId="0" fillId="20" borderId="0" xfId="0" applyNumberFormat="1" applyFill="1" applyAlignment="1">
      <alignment vertical="top"/>
    </xf>
    <xf numFmtId="167" fontId="0" fillId="20" borderId="0" xfId="7" applyNumberFormat="1" applyFont="1" applyFill="1" applyAlignment="1">
      <alignment vertical="top"/>
    </xf>
    <xf numFmtId="0" fontId="57" fillId="22" borderId="19" xfId="0" applyFont="1" applyFill="1" applyBorder="1" applyAlignment="1">
      <alignment vertical="top"/>
    </xf>
    <xf numFmtId="0" fontId="57" fillId="22" borderId="18" xfId="0" applyFont="1" applyFill="1" applyBorder="1" applyAlignment="1">
      <alignment vertical="top"/>
    </xf>
    <xf numFmtId="0" fontId="57" fillId="20" borderId="0" xfId="0" applyFont="1" applyFill="1" applyAlignment="1">
      <alignment vertical="top"/>
    </xf>
    <xf numFmtId="0" fontId="57" fillId="22" borderId="18" xfId="0" applyFont="1" applyFill="1" applyBorder="1" applyAlignment="1">
      <alignment horizontal="right" vertical="top"/>
    </xf>
    <xf numFmtId="0" fontId="57" fillId="22" borderId="9" xfId="0" applyFont="1" applyFill="1" applyBorder="1" applyAlignment="1">
      <alignment vertical="top"/>
    </xf>
    <xf numFmtId="0" fontId="57" fillId="22" borderId="0" xfId="0" applyFont="1" applyFill="1" applyAlignment="1">
      <alignment horizontal="right" vertical="top"/>
    </xf>
    <xf numFmtId="166" fontId="57" fillId="22" borderId="16" xfId="3" applyFont="1" applyFill="1" applyBorder="1" applyAlignment="1">
      <alignment vertical="top"/>
    </xf>
    <xf numFmtId="0" fontId="57" fillId="22" borderId="0" xfId="0" applyFont="1" applyFill="1" applyAlignment="1">
      <alignment vertical="top"/>
    </xf>
    <xf numFmtId="0" fontId="0" fillId="20" borderId="5" xfId="0" applyFill="1" applyBorder="1" applyAlignment="1">
      <alignment vertical="top"/>
    </xf>
    <xf numFmtId="0" fontId="0" fillId="20" borderId="3" xfId="0" applyFill="1" applyBorder="1" applyAlignment="1">
      <alignment vertical="top"/>
    </xf>
    <xf numFmtId="0" fontId="0" fillId="32" borderId="19" xfId="0" applyFill="1" applyBorder="1" applyAlignment="1">
      <alignment vertical="top"/>
    </xf>
    <xf numFmtId="0" fontId="0" fillId="32" borderId="18" xfId="0" applyFill="1" applyBorder="1" applyAlignment="1">
      <alignment vertical="top"/>
    </xf>
    <xf numFmtId="0" fontId="8" fillId="20" borderId="11" xfId="0" applyFont="1" applyFill="1" applyBorder="1" applyAlignment="1">
      <alignment vertical="top"/>
    </xf>
    <xf numFmtId="0" fontId="8" fillId="20" borderId="2" xfId="0" applyFont="1" applyFill="1" applyBorder="1" applyAlignment="1">
      <alignment vertical="top"/>
    </xf>
    <xf numFmtId="166" fontId="8" fillId="20" borderId="0" xfId="0" applyNumberFormat="1" applyFont="1" applyFill="1" applyAlignment="1">
      <alignment vertical="top"/>
    </xf>
    <xf numFmtId="166" fontId="8" fillId="20" borderId="11" xfId="0" applyNumberFormat="1" applyFont="1" applyFill="1" applyBorder="1" applyAlignment="1">
      <alignment vertical="top"/>
    </xf>
    <xf numFmtId="166" fontId="8" fillId="20" borderId="2" xfId="0" applyNumberFormat="1" applyFont="1" applyFill="1" applyBorder="1" applyAlignment="1">
      <alignment vertical="top"/>
    </xf>
    <xf numFmtId="0" fontId="0" fillId="20" borderId="0" xfId="0" applyFill="1" applyAlignment="1">
      <alignment horizontal="left" vertical="top"/>
    </xf>
    <xf numFmtId="0" fontId="8" fillId="20" borderId="0" xfId="0" applyFont="1" applyFill="1" applyAlignment="1">
      <alignment vertical="top"/>
    </xf>
    <xf numFmtId="0" fontId="8" fillId="20" borderId="0" xfId="0" applyFont="1" applyFill="1" applyAlignment="1">
      <alignment horizontal="right" vertical="top"/>
    </xf>
    <xf numFmtId="0" fontId="0" fillId="5" borderId="50" xfId="0" applyFill="1" applyBorder="1" applyAlignment="1">
      <alignment horizontal="center" vertical="top"/>
    </xf>
    <xf numFmtId="0" fontId="51" fillId="20" borderId="6" xfId="0" applyFont="1" applyFill="1" applyBorder="1" applyAlignment="1">
      <alignment horizontal="center" vertical="top"/>
    </xf>
    <xf numFmtId="0" fontId="51" fillId="20" borderId="4" xfId="0" applyFont="1" applyFill="1" applyBorder="1" applyAlignment="1">
      <alignment horizontal="center" vertical="top"/>
    </xf>
    <xf numFmtId="175" fontId="56" fillId="20" borderId="0" xfId="3" applyNumberFormat="1" applyFont="1" applyFill="1" applyBorder="1" applyAlignment="1">
      <alignment vertical="top"/>
    </xf>
    <xf numFmtId="0" fontId="0" fillId="20" borderId="19" xfId="0" applyFill="1" applyBorder="1" applyAlignment="1">
      <alignment horizontal="left" vertical="top"/>
    </xf>
    <xf numFmtId="0" fontId="0" fillId="20" borderId="18" xfId="0" applyFill="1" applyBorder="1" applyAlignment="1">
      <alignment horizontal="right" vertical="top"/>
    </xf>
    <xf numFmtId="0" fontId="59" fillId="20" borderId="11" xfId="0" applyFont="1" applyFill="1" applyBorder="1" applyAlignment="1">
      <alignment vertical="top"/>
    </xf>
    <xf numFmtId="0" fontId="55" fillId="20" borderId="2" xfId="0" applyFont="1" applyFill="1" applyBorder="1" applyAlignment="1">
      <alignment horizontal="right" vertical="top"/>
    </xf>
    <xf numFmtId="0" fontId="51" fillId="20" borderId="0" xfId="0" applyFont="1" applyFill="1" applyAlignment="1">
      <alignment horizontal="right" vertical="top"/>
    </xf>
    <xf numFmtId="9" fontId="51" fillId="20" borderId="17" xfId="0" applyNumberFormat="1" applyFont="1" applyFill="1" applyBorder="1" applyAlignment="1">
      <alignment horizontal="center" vertical="top"/>
    </xf>
    <xf numFmtId="9" fontId="51" fillId="20" borderId="0" xfId="0" applyNumberFormat="1" applyFont="1" applyFill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right" vertical="top"/>
    </xf>
    <xf numFmtId="9" fontId="51" fillId="0" borderId="0" xfId="0" applyNumberFormat="1" applyFont="1" applyAlignment="1">
      <alignment horizontal="center" vertical="top"/>
    </xf>
    <xf numFmtId="166" fontId="0" fillId="0" borderId="4" xfId="0" applyNumberFormat="1" applyBorder="1" applyAlignment="1">
      <alignment vertical="top"/>
    </xf>
    <xf numFmtId="175" fontId="0" fillId="0" borderId="0" xfId="3" applyNumberFormat="1" applyFont="1" applyFill="1" applyBorder="1" applyAlignment="1">
      <alignment vertical="top"/>
    </xf>
    <xf numFmtId="175" fontId="55" fillId="0" borderId="0" xfId="3" applyNumberFormat="1" applyFont="1" applyFill="1" applyBorder="1" applyAlignment="1">
      <alignment vertical="top"/>
    </xf>
    <xf numFmtId="0" fontId="87" fillId="0" borderId="0" xfId="0" applyFont="1" applyAlignment="1">
      <alignment horizontal="right" vertical="top"/>
    </xf>
    <xf numFmtId="0" fontId="55" fillId="0" borderId="0" xfId="0" applyFont="1" applyAlignment="1">
      <alignment horizontal="right" vertical="top"/>
    </xf>
    <xf numFmtId="0" fontId="53" fillId="0" borderId="0" xfId="0" applyFont="1" applyAlignment="1">
      <alignment vertical="top"/>
    </xf>
    <xf numFmtId="0" fontId="0" fillId="3" borderId="5" xfId="0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15" borderId="20" xfId="0" applyFill="1" applyBorder="1" applyAlignment="1">
      <alignment vertical="top"/>
    </xf>
    <xf numFmtId="3" fontId="0" fillId="0" borderId="46" xfId="0" applyNumberFormat="1" applyBorder="1" applyAlignment="1">
      <alignment vertical="top"/>
    </xf>
    <xf numFmtId="0" fontId="0" fillId="15" borderId="10" xfId="0" applyFill="1" applyBorder="1" applyAlignment="1">
      <alignment vertical="top"/>
    </xf>
    <xf numFmtId="3" fontId="0" fillId="0" borderId="16" xfId="0" applyNumberFormat="1" applyBorder="1" applyAlignment="1">
      <alignment vertical="top"/>
    </xf>
    <xf numFmtId="0" fontId="0" fillId="15" borderId="12" xfId="0" applyFill="1" applyBorder="1" applyAlignment="1">
      <alignment vertical="top"/>
    </xf>
    <xf numFmtId="3" fontId="0" fillId="0" borderId="17" xfId="0" applyNumberFormat="1" applyBorder="1" applyAlignment="1">
      <alignment vertical="top"/>
    </xf>
    <xf numFmtId="0" fontId="8" fillId="0" borderId="0" xfId="0" applyFont="1" applyAlignment="1">
      <alignment horizontal="right" vertical="top"/>
    </xf>
    <xf numFmtId="0" fontId="52" fillId="0" borderId="0" xfId="0" applyFont="1" applyAlignment="1">
      <alignment horizontal="right" vertical="top"/>
    </xf>
    <xf numFmtId="0" fontId="18" fillId="0" borderId="0" xfId="0" applyFont="1" applyAlignment="1">
      <alignment horizontal="right" vertical="top"/>
    </xf>
    <xf numFmtId="0" fontId="0" fillId="0" borderId="6" xfId="0" applyBorder="1" applyAlignment="1">
      <alignment vertical="top"/>
    </xf>
    <xf numFmtId="0" fontId="0" fillId="5" borderId="48" xfId="0" applyFill="1" applyBorder="1" applyAlignment="1">
      <alignment horizontal="center" vertical="top"/>
    </xf>
    <xf numFmtId="0" fontId="0" fillId="15" borderId="6" xfId="0" applyFill="1" applyBorder="1" applyAlignment="1">
      <alignment vertical="top"/>
    </xf>
    <xf numFmtId="0" fontId="0" fillId="0" borderId="0" xfId="0" applyAlignment="1">
      <alignment horizontal="right" vertical="top"/>
    </xf>
    <xf numFmtId="0" fontId="0" fillId="3" borderId="19" xfId="0" applyFill="1" applyBorder="1" applyAlignment="1">
      <alignment horizontal="left" vertical="top"/>
    </xf>
    <xf numFmtId="0" fontId="0" fillId="3" borderId="9" xfId="0" applyFill="1" applyBorder="1" applyAlignment="1">
      <alignment vertical="top"/>
    </xf>
    <xf numFmtId="0" fontId="0" fillId="3" borderId="11" xfId="0" applyFill="1" applyBorder="1" applyAlignment="1">
      <alignment horizontal="left" vertical="top"/>
    </xf>
    <xf numFmtId="0" fontId="0" fillId="15" borderId="6" xfId="0" applyFill="1" applyBorder="1" applyAlignment="1">
      <alignment horizontal="left" vertical="top"/>
    </xf>
    <xf numFmtId="180" fontId="0" fillId="0" borderId="9" xfId="0" applyNumberFormat="1" applyBorder="1"/>
    <xf numFmtId="180" fontId="0" fillId="0" borderId="0" xfId="0" applyNumberFormat="1" applyBorder="1"/>
    <xf numFmtId="180" fontId="0" fillId="0" borderId="47" xfId="0" applyNumberFormat="1" applyBorder="1"/>
    <xf numFmtId="180" fontId="0" fillId="0" borderId="11" xfId="0" applyNumberFormat="1" applyBorder="1"/>
    <xf numFmtId="180" fontId="0" fillId="0" borderId="2" xfId="0" applyNumberFormat="1" applyBorder="1"/>
    <xf numFmtId="180" fontId="0" fillId="0" borderId="12" xfId="0" applyNumberFormat="1" applyBorder="1"/>
    <xf numFmtId="180" fontId="0" fillId="4" borderId="11" xfId="0" applyNumberFormat="1" applyFill="1" applyBorder="1"/>
    <xf numFmtId="180" fontId="0" fillId="4" borderId="3" xfId="0" applyNumberFormat="1" applyFill="1" applyBorder="1"/>
    <xf numFmtId="180" fontId="0" fillId="4" borderId="6" xfId="0" applyNumberFormat="1" applyFill="1" applyBorder="1"/>
    <xf numFmtId="180" fontId="0" fillId="0" borderId="5" xfId="0" applyNumberFormat="1" applyBorder="1"/>
    <xf numFmtId="180" fontId="0" fillId="0" borderId="3" xfId="0" applyNumberFormat="1" applyBorder="1"/>
    <xf numFmtId="180" fontId="0" fillId="4" borderId="5" xfId="0" applyNumberFormat="1" applyFill="1" applyBorder="1"/>
    <xf numFmtId="180" fontId="0" fillId="4" borderId="2" xfId="0" applyNumberFormat="1" applyFill="1" applyBorder="1"/>
    <xf numFmtId="180" fontId="0" fillId="0" borderId="6" xfId="0" applyNumberFormat="1" applyBorder="1"/>
    <xf numFmtId="180" fontId="0" fillId="0" borderId="10" xfId="0" applyNumberFormat="1" applyBorder="1"/>
    <xf numFmtId="180" fontId="0" fillId="0" borderId="16" xfId="0" applyNumberFormat="1" applyBorder="1"/>
    <xf numFmtId="180" fontId="0" fillId="0" borderId="17" xfId="0" applyNumberFormat="1" applyBorder="1"/>
    <xf numFmtId="180" fontId="0" fillId="19" borderId="5" xfId="0" applyNumberFormat="1" applyFill="1" applyBorder="1"/>
    <xf numFmtId="180" fontId="0" fillId="19" borderId="3" xfId="0" applyNumberFormat="1" applyFill="1" applyBorder="1"/>
    <xf numFmtId="180" fontId="0" fillId="4" borderId="17" xfId="0" applyNumberFormat="1" applyFill="1" applyBorder="1"/>
    <xf numFmtId="180" fontId="0" fillId="19" borderId="4" xfId="0" applyNumberFormat="1" applyFill="1" applyBorder="1"/>
    <xf numFmtId="180" fontId="0" fillId="0" borderId="19" xfId="0" applyNumberFormat="1" applyBorder="1"/>
    <xf numFmtId="180" fontId="0" fillId="0" borderId="18" xfId="0" applyNumberFormat="1" applyBorder="1"/>
    <xf numFmtId="180" fontId="0" fillId="0" borderId="46" xfId="0" applyNumberFormat="1" applyBorder="1"/>
    <xf numFmtId="180" fontId="0" fillId="4" borderId="4" xfId="0" applyNumberFormat="1" applyFill="1" applyBorder="1"/>
    <xf numFmtId="180" fontId="0" fillId="19" borderId="6" xfId="0" applyNumberFormat="1" applyFill="1" applyBorder="1"/>
    <xf numFmtId="180" fontId="0" fillId="4" borderId="12" xfId="0" applyNumberFormat="1" applyFill="1" applyBorder="1"/>
    <xf numFmtId="170" fontId="51" fillId="0" borderId="0" xfId="0" applyNumberFormat="1" applyFont="1" applyAlignment="1">
      <alignment horizontal="right" vertical="top"/>
    </xf>
    <xf numFmtId="3" fontId="26" fillId="0" borderId="0" xfId="0" applyNumberFormat="1" applyFont="1" applyBorder="1"/>
    <xf numFmtId="3" fontId="26" fillId="0" borderId="9" xfId="0" applyNumberFormat="1" applyFont="1" applyBorder="1"/>
    <xf numFmtId="3" fontId="26" fillId="0" borderId="11" xfId="0" applyNumberFormat="1" applyFont="1" applyBorder="1"/>
    <xf numFmtId="168" fontId="0" fillId="0" borderId="0" xfId="0" applyNumberFormat="1" applyFill="1"/>
    <xf numFmtId="180" fontId="0" fillId="0" borderId="3" xfId="0" applyNumberFormat="1" applyFill="1" applyBorder="1"/>
    <xf numFmtId="3" fontId="11" fillId="0" borderId="0" xfId="0" applyNumberFormat="1" applyFont="1" applyBorder="1"/>
    <xf numFmtId="3" fontId="11" fillId="0" borderId="9" xfId="0" applyNumberFormat="1" applyFont="1" applyBorder="1"/>
    <xf numFmtId="3" fontId="11" fillId="0" borderId="11" xfId="0" applyNumberFormat="1" applyFont="1" applyBorder="1"/>
    <xf numFmtId="1" fontId="0" fillId="0" borderId="0" xfId="0" applyNumberFormat="1" applyFont="1" applyFill="1"/>
    <xf numFmtId="3" fontId="24" fillId="3" borderId="0" xfId="0" applyNumberFormat="1" applyFont="1" applyFill="1" applyAlignment="1">
      <alignment vertical="top"/>
    </xf>
    <xf numFmtId="0" fontId="24" fillId="3" borderId="0" xfId="0" applyFont="1" applyFill="1" applyAlignment="1">
      <alignment vertical="top"/>
    </xf>
    <xf numFmtId="10" fontId="0" fillId="14" borderId="0" xfId="2" applyNumberFormat="1" applyFont="1" applyFill="1"/>
    <xf numFmtId="177" fontId="0" fillId="0" borderId="25" xfId="0" applyNumberFormat="1" applyBorder="1"/>
    <xf numFmtId="4" fontId="1" fillId="3" borderId="0" xfId="0" applyNumberFormat="1" applyFont="1" applyFill="1"/>
    <xf numFmtId="3" fontId="11" fillId="0" borderId="0" xfId="0" applyNumberFormat="1" applyFont="1" applyFill="1" applyBorder="1"/>
    <xf numFmtId="3" fontId="24" fillId="0" borderId="0" xfId="0" applyNumberFormat="1" applyFont="1" applyFill="1" applyBorder="1"/>
    <xf numFmtId="9" fontId="0" fillId="0" borderId="0" xfId="0" applyNumberFormat="1" applyAlignment="1">
      <alignment vertical="center"/>
    </xf>
    <xf numFmtId="0" fontId="0" fillId="0" borderId="0" xfId="0" quotePrefix="1"/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0" fillId="6" borderId="40" xfId="0" applyFill="1" applyBorder="1" applyAlignment="1">
      <alignment horizontal="center"/>
    </xf>
    <xf numFmtId="0" fontId="0" fillId="6" borderId="0" xfId="0" applyFill="1" applyAlignment="1">
      <alignment horizontal="center"/>
    </xf>
    <xf numFmtId="170" fontId="17" fillId="17" borderId="0" xfId="3" quotePrefix="1" applyNumberFormat="1" applyFont="1" applyFill="1" applyBorder="1" applyAlignment="1">
      <alignment horizontal="left" vertical="top" wrapText="1"/>
    </xf>
    <xf numFmtId="0" fontId="62" fillId="3" borderId="0" xfId="0" applyFont="1" applyFill="1" applyAlignment="1">
      <alignment horizontal="center" vertical="top" textRotation="90"/>
    </xf>
    <xf numFmtId="0" fontId="0" fillId="3" borderId="5" xfId="0" applyFill="1" applyBorder="1" applyAlignment="1">
      <alignment horizontal="left" vertical="top"/>
    </xf>
    <xf numFmtId="0" fontId="0" fillId="3" borderId="3" xfId="0" applyFill="1" applyBorder="1" applyAlignment="1">
      <alignment horizontal="left" vertical="top"/>
    </xf>
    <xf numFmtId="0" fontId="0" fillId="5" borderId="5" xfId="0" applyFill="1" applyBorder="1" applyAlignment="1">
      <alignment horizontal="left" vertical="top"/>
    </xf>
    <xf numFmtId="0" fontId="0" fillId="5" borderId="6" xfId="0" applyFill="1" applyBorder="1" applyAlignment="1">
      <alignment horizontal="left" vertical="top"/>
    </xf>
    <xf numFmtId="4" fontId="0" fillId="15" borderId="5" xfId="3" applyNumberFormat="1" applyFont="1" applyFill="1" applyBorder="1" applyAlignment="1">
      <alignment horizontal="center" vertical="top"/>
    </xf>
    <xf numFmtId="4" fontId="0" fillId="15" borderId="6" xfId="3" applyNumberFormat="1" applyFont="1" applyFill="1" applyBorder="1" applyAlignment="1">
      <alignment horizontal="center" vertical="top"/>
    </xf>
    <xf numFmtId="0" fontId="0" fillId="5" borderId="3" xfId="0" applyFill="1" applyBorder="1" applyAlignment="1">
      <alignment horizontal="left" vertical="top"/>
    </xf>
    <xf numFmtId="0" fontId="0" fillId="30" borderId="5" xfId="0" applyFill="1" applyBorder="1" applyAlignment="1">
      <alignment horizontal="left" vertical="top"/>
    </xf>
    <xf numFmtId="0" fontId="0" fillId="30" borderId="3" xfId="0" applyFill="1" applyBorder="1" applyAlignment="1">
      <alignment horizontal="left" vertical="top"/>
    </xf>
    <xf numFmtId="0" fontId="62" fillId="32" borderId="0" xfId="0" applyFont="1" applyFill="1" applyAlignment="1">
      <alignment horizontal="center" vertical="top" textRotation="90"/>
    </xf>
    <xf numFmtId="0" fontId="0" fillId="3" borderId="6" xfId="0" applyFill="1" applyBorder="1" applyAlignment="1">
      <alignment horizontal="left" vertical="top"/>
    </xf>
    <xf numFmtId="0" fontId="62" fillId="22" borderId="0" xfId="0" applyFont="1" applyFill="1" applyAlignment="1">
      <alignment horizontal="center" vertical="top" textRotation="90"/>
    </xf>
    <xf numFmtId="0" fontId="0" fillId="3" borderId="11" xfId="0" applyFill="1" applyBorder="1" applyAlignment="1">
      <alignment horizontal="left" vertical="top"/>
    </xf>
    <xf numFmtId="0" fontId="0" fillId="3" borderId="2" xfId="0" applyFill="1" applyBorder="1" applyAlignment="1">
      <alignment horizontal="left" vertical="top"/>
    </xf>
    <xf numFmtId="0" fontId="0" fillId="3" borderId="12" xfId="0" applyFill="1" applyBorder="1" applyAlignment="1">
      <alignment horizontal="left" vertical="top"/>
    </xf>
    <xf numFmtId="0" fontId="58" fillId="20" borderId="5" xfId="0" applyFont="1" applyFill="1" applyBorder="1" applyAlignment="1">
      <alignment horizontal="left" vertical="top"/>
    </xf>
    <xf numFmtId="0" fontId="58" fillId="20" borderId="3" xfId="0" applyFont="1" applyFill="1" applyBorder="1" applyAlignment="1">
      <alignment horizontal="left" vertical="top"/>
    </xf>
    <xf numFmtId="0" fontId="50" fillId="30" borderId="0" xfId="0" applyFont="1" applyFill="1" applyAlignment="1">
      <alignment horizontal="center" vertical="top" textRotation="90"/>
    </xf>
    <xf numFmtId="0" fontId="58" fillId="0" borderId="5" xfId="0" applyFont="1" applyBorder="1" applyAlignment="1">
      <alignment horizontal="left" vertical="top"/>
    </xf>
    <xf numFmtId="0" fontId="58" fillId="0" borderId="3" xfId="0" applyFont="1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50" fillId="20" borderId="0" xfId="0" applyFont="1" applyFill="1" applyAlignment="1">
      <alignment horizontal="center" vertical="top" textRotation="90"/>
    </xf>
    <xf numFmtId="0" fontId="58" fillId="20" borderId="6" xfId="0" applyFont="1" applyFill="1" applyBorder="1" applyAlignment="1">
      <alignment horizontal="left" vertical="top"/>
    </xf>
    <xf numFmtId="4" fontId="0" fillId="0" borderId="5" xfId="0" applyNumberFormat="1" applyBorder="1" applyAlignment="1">
      <alignment horizontal="center" wrapText="1"/>
    </xf>
    <xf numFmtId="4" fontId="0" fillId="0" borderId="3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0" fontId="24" fillId="0" borderId="0" xfId="0" applyFont="1" applyAlignment="1">
      <alignment horizontal="center"/>
    </xf>
    <xf numFmtId="0" fontId="8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19" borderId="9" xfId="0" applyFont="1" applyFill="1" applyBorder="1" applyAlignment="1">
      <alignment horizontal="center"/>
    </xf>
    <xf numFmtId="0" fontId="1" fillId="19" borderId="0" xfId="0" applyFont="1" applyFill="1" applyBorder="1" applyAlignment="1">
      <alignment horizontal="center"/>
    </xf>
    <xf numFmtId="0" fontId="1" fillId="27" borderId="0" xfId="0" applyFont="1" applyFill="1" applyBorder="1" applyAlignment="1">
      <alignment horizontal="center"/>
    </xf>
    <xf numFmtId="0" fontId="0" fillId="7" borderId="4" xfId="0" applyFont="1" applyFill="1" applyBorder="1" applyAlignment="1">
      <alignment horizontal="center" vertical="center" wrapText="1"/>
    </xf>
    <xf numFmtId="0" fontId="1" fillId="14" borderId="39" xfId="0" applyFont="1" applyFill="1" applyBorder="1" applyAlignment="1">
      <alignment horizontal="center"/>
    </xf>
  </cellXfs>
  <cellStyles count="10">
    <cellStyle name="Milliers" xfId="6" builtinId="3"/>
    <cellStyle name="Milliers 2" xfId="3" xr:uid="{07042373-9B84-4A6D-8F14-30504BEF5AFD}"/>
    <cellStyle name="Milliers 3" xfId="4" xr:uid="{F8CA7FF3-69DE-4444-960E-AA81DB78FA47}"/>
    <cellStyle name="Milliers 4" xfId="5" xr:uid="{6CA6923A-D0F5-4F02-BC52-1B05A38FFB1E}"/>
    <cellStyle name="Milliers 5" xfId="9" xr:uid="{38CABEC1-5A20-44EA-B875-1CCF0FC16E66}"/>
    <cellStyle name="Normal" xfId="0" builtinId="0"/>
    <cellStyle name="Normal 2" xfId="1" xr:uid="{ADB2DB16-3344-4B05-A29B-DE68FAB1569A}"/>
    <cellStyle name="Pourcentage" xfId="2" builtinId="5"/>
    <cellStyle name="Pourcentage 2" xfId="7" xr:uid="{0F2C8BF1-AE9B-4736-A631-33F3BABA3647}"/>
    <cellStyle name="Обычный_CRF2002 (1)" xfId="8" xr:uid="{CB8CB865-250C-404B-A1F5-E31832F81FFC}"/>
  </cellStyles>
  <dxfs count="13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01879670562186E-2"/>
          <c:y val="2.9393599138757626E-2"/>
          <c:w val="0.91629331898409794"/>
          <c:h val="0.76034396793088899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6">
                <a:tint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'Agriculture - Calcul'!#REF!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760-4B50-B583-3EA935C79F41}"/>
            </c:ext>
          </c:extLst>
        </c:ser>
        <c:ser>
          <c:idx val="1"/>
          <c:order val="1"/>
          <c:spPr>
            <a:solidFill>
              <a:schemeClr val="accent6">
                <a:tint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'Agriculture - Calcul'!#REF!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760-4B50-B583-3EA935C79F41}"/>
            </c:ext>
          </c:extLst>
        </c:ser>
        <c:ser>
          <c:idx val="2"/>
          <c:order val="2"/>
          <c:spPr>
            <a:solidFill>
              <a:schemeClr val="accent6">
                <a:shade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'Agriculture - Calcul'!#REF!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D760-4B50-B583-3EA935C79F41}"/>
            </c:ext>
          </c:extLst>
        </c:ser>
        <c:ser>
          <c:idx val="3"/>
          <c:order val="3"/>
          <c:spPr>
            <a:solidFill>
              <a:schemeClr val="accent6">
                <a:shade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'Agriculture - Calcul'!#REF!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'Agriculture - Calcul'!#REF!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D760-4B50-B583-3EA935C79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6308424"/>
        <c:axId val="1146303024"/>
      </c:barChart>
      <c:catAx>
        <c:axId val="1146308424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6303024"/>
        <c:crossesAt val="0"/>
        <c:auto val="1"/>
        <c:lblAlgn val="ctr"/>
        <c:lblOffset val="100"/>
        <c:noMultiLvlLbl val="0"/>
      </c:catAx>
      <c:valAx>
        <c:axId val="114630302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6308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32279901663877"/>
          <c:y val="4.6189376443418015E-2"/>
          <c:w val="0.82854099119962943"/>
          <c:h val="0.792724627666345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'Calcul - Forêt et sols'!$B$27</c:f>
              <c:strCache>
                <c:ptCount val="1"/>
                <c:pt idx="0">
                  <c:v>Surface forestière existante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sols'!$C$8:$G$8</c:f>
              <c:numCache>
                <c:formatCode>General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sols'!$C$27:$G$27</c:f>
              <c:numCache>
                <c:formatCode>0.00</c:formatCode>
                <c:ptCount val="5"/>
                <c:pt idx="0">
                  <c:v>-1272.9158406867484</c:v>
                </c:pt>
                <c:pt idx="2">
                  <c:v>-2393.5256781613839</c:v>
                </c:pt>
                <c:pt idx="3">
                  <c:v>-1507.0506961677818</c:v>
                </c:pt>
                <c:pt idx="4">
                  <c:v>393.41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F-4320-8635-627419EBD47C}"/>
            </c:ext>
          </c:extLst>
        </c:ser>
        <c:ser>
          <c:idx val="1"/>
          <c:order val="1"/>
          <c:tx>
            <c:strRef>
              <c:f>'Calcul - Forêt et sols'!$B$28</c:f>
              <c:strCache>
                <c:ptCount val="1"/>
                <c:pt idx="0">
                  <c:v>Nouvelles surfaces forestières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sols'!$C$8:$G$8</c:f>
              <c:numCache>
                <c:formatCode>General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sols'!$C$28:$G$28</c:f>
              <c:numCache>
                <c:formatCode>0.00</c:formatCode>
                <c:ptCount val="5"/>
                <c:pt idx="0">
                  <c:v>-632.45311005245219</c:v>
                </c:pt>
                <c:pt idx="2">
                  <c:v>-624.72126349315897</c:v>
                </c:pt>
                <c:pt idx="3">
                  <c:v>-613.79999999999995</c:v>
                </c:pt>
                <c:pt idx="4">
                  <c:v>-785.62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EF-4320-8635-627419EBD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9227352"/>
        <c:axId val="529227712"/>
      </c:barChart>
      <c:catAx>
        <c:axId val="529227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227712"/>
        <c:crosses val="autoZero"/>
        <c:auto val="1"/>
        <c:lblAlgn val="ctr"/>
        <c:lblOffset val="100"/>
        <c:noMultiLvlLbl val="0"/>
      </c:catAx>
      <c:valAx>
        <c:axId val="52922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Captages des forêts suisses</a:t>
                </a:r>
                <a:r>
                  <a:rPr lang="fr-CH" baseline="0"/>
                  <a:t> - NIR [kT]</a:t>
                </a:r>
                <a:endParaRPr lang="fr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CH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227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Comparaison</a:t>
            </a:r>
            <a:r>
              <a:rPr lang="fr-CH" baseline="0"/>
              <a:t> - Prise en compte du type de forêt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Calcul par zone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'Calcul - Forêt et sols'!$C$54:$G$54</c:f>
              <c:numCache>
                <c:formatCode>General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sols'!$C$70:$G$70</c:f>
              <c:numCache>
                <c:formatCode>#,##0</c:formatCode>
                <c:ptCount val="5"/>
                <c:pt idx="0">
                  <c:v>-39163.870759452344</c:v>
                </c:pt>
                <c:pt idx="1">
                  <c:v>0</c:v>
                </c:pt>
                <c:pt idx="2">
                  <c:v>-138048.23204665139</c:v>
                </c:pt>
                <c:pt idx="3">
                  <c:v>-44080.159053206022</c:v>
                </c:pt>
                <c:pt idx="4">
                  <c:v>129641.39811609148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F4-4143-8D8C-56C52EA12D00}"/>
            </c:ext>
          </c:extLst>
        </c:ser>
        <c:ser>
          <c:idx val="1"/>
          <c:order val="1"/>
          <c:tx>
            <c:v>Calcul forêt moyenne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'Calcul - Forêt et sols'!$C$54:$G$54</c:f>
              <c:numCache>
                <c:formatCode>General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sols'!$C$71:$G$71</c:f>
              <c:numCache>
                <c:formatCode>#,##0</c:formatCode>
                <c:ptCount val="5"/>
                <c:pt idx="0">
                  <c:v>-50178.551539150707</c:v>
                </c:pt>
                <c:pt idx="1">
                  <c:v>0</c:v>
                </c:pt>
                <c:pt idx="2">
                  <c:v>-94353.175412684592</c:v>
                </c:pt>
                <c:pt idx="3">
                  <c:v>-59408.186003066403</c:v>
                </c:pt>
                <c:pt idx="4">
                  <c:v>15508.286824655264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F4-4143-8D8C-56C52EA1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7822712"/>
        <c:axId val="1157822352"/>
      </c:barChart>
      <c:catAx>
        <c:axId val="1157822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7822352"/>
        <c:crosses val="autoZero"/>
        <c:auto val="1"/>
        <c:lblAlgn val="ctr"/>
        <c:lblOffset val="100"/>
        <c:noMultiLvlLbl val="0"/>
      </c:catAx>
      <c:valAx>
        <c:axId val="115782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7822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Evolution</a:t>
            </a:r>
            <a:r>
              <a:rPr lang="fr-CH" baseline="0"/>
              <a:t> paturâge et culture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'Calcul - Forêt et sols'!$B$108</c:f>
              <c:strCache>
                <c:ptCount val="1"/>
                <c:pt idx="0">
                  <c:v>Culture 4B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sols'!$C$108:$G$108</c:f>
              <c:numCache>
                <c:formatCode>0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sols'!$C$112:$G$112</c:f>
              <c:numCache>
                <c:formatCode>#,##0</c:formatCode>
                <c:ptCount val="5"/>
                <c:pt idx="0">
                  <c:v>54098.256958893333</c:v>
                </c:pt>
                <c:pt idx="2">
                  <c:v>208056.8363714306</c:v>
                </c:pt>
                <c:pt idx="3">
                  <c:v>-88666.764121721237</c:v>
                </c:pt>
                <c:pt idx="4">
                  <c:v>53427.585558957035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6-4D87-8A3D-575E4D54C28A}"/>
            </c:ext>
          </c:extLst>
        </c:ser>
        <c:ser>
          <c:idx val="1"/>
          <c:order val="1"/>
          <c:tx>
            <c:strRef>
              <c:f>'Calcul - Forêt et sols'!$B$115</c:f>
              <c:strCache>
                <c:ptCount val="1"/>
                <c:pt idx="0">
                  <c:v>Pâturage 4C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'Calcul - Forêt et sols'!$C$108:$G$108</c:f>
              <c:numCache>
                <c:formatCode>0</c:formatCode>
                <c:ptCount val="5"/>
                <c:pt idx="0">
                  <c:v>1990</c:v>
                </c:pt>
                <c:pt idx="2">
                  <c:v>2015</c:v>
                </c:pt>
                <c:pt idx="3">
                  <c:v>2019</c:v>
                </c:pt>
                <c:pt idx="4">
                  <c:v>2023</c:v>
                </c:pt>
              </c:numCache>
            </c:numRef>
          </c:cat>
          <c:val>
            <c:numRef>
              <c:f>'Calcul - Forêt et sols'!$C$119:$G$119</c:f>
              <c:numCache>
                <c:formatCode>#,##0</c:formatCode>
                <c:ptCount val="5"/>
                <c:pt idx="0">
                  <c:v>-23808.52395910017</c:v>
                </c:pt>
                <c:pt idx="1">
                  <c:v>0</c:v>
                </c:pt>
                <c:pt idx="2">
                  <c:v>107159.08470401802</c:v>
                </c:pt>
                <c:pt idx="3">
                  <c:v>317.12313728485105</c:v>
                </c:pt>
                <c:pt idx="4">
                  <c:v>40163.806554466217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6-4D87-8A3D-575E4D54C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7324624"/>
        <c:axId val="867325704"/>
      </c:barChart>
      <c:catAx>
        <c:axId val="8673246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7325704"/>
        <c:crosses val="autoZero"/>
        <c:auto val="1"/>
        <c:lblAlgn val="ctr"/>
        <c:lblOffset val="100"/>
        <c:noMultiLvlLbl val="0"/>
      </c:catAx>
      <c:valAx>
        <c:axId val="867325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 sz="1100"/>
                  <a:t>Emissions/Captation de GES [tCO2eq]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7324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Emissions / Captation des sols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8041447944007"/>
          <c:y val="0.17092165898617515"/>
          <c:w val="0.79458552055992993"/>
          <c:h val="0.616758590660038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'Calcul - Forêt et sols'!$B$141</c:f>
              <c:strCache>
                <c:ptCount val="1"/>
                <c:pt idx="0">
                  <c:v>Surfaces forestières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'Calcul - Forêt et sols'!$C$140:$E$140</c:f>
              <c:numCache>
                <c:formatCode>General</c:formatCode>
                <c:ptCount val="3"/>
                <c:pt idx="0">
                  <c:v>2015</c:v>
                </c:pt>
                <c:pt idx="1">
                  <c:v>2019</c:v>
                </c:pt>
                <c:pt idx="2">
                  <c:v>2023</c:v>
                </c:pt>
              </c:numCache>
            </c:numRef>
          </c:cat>
          <c:val>
            <c:numRef>
              <c:f>'Calcul - Forêt et sols'!$C$141:$E$141</c:f>
              <c:numCache>
                <c:formatCode>#,##0</c:formatCode>
                <c:ptCount val="3"/>
                <c:pt idx="0">
                  <c:v>-197538.46491091768</c:v>
                </c:pt>
                <c:pt idx="1">
                  <c:v>-90243.098718632202</c:v>
                </c:pt>
                <c:pt idx="2">
                  <c:v>65291.909429579813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AB-4D32-819B-65CBFBEA19AB}"/>
            </c:ext>
          </c:extLst>
        </c:ser>
        <c:ser>
          <c:idx val="1"/>
          <c:order val="1"/>
          <c:tx>
            <c:strRef>
              <c:f>'Calcul - Forêt et sols'!$B$142</c:f>
              <c:strCache>
                <c:ptCount val="1"/>
                <c:pt idx="0">
                  <c:v>Culture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sols'!$C$140:$E$140</c:f>
              <c:numCache>
                <c:formatCode>General</c:formatCode>
                <c:ptCount val="3"/>
                <c:pt idx="0">
                  <c:v>2015</c:v>
                </c:pt>
                <c:pt idx="1">
                  <c:v>2019</c:v>
                </c:pt>
                <c:pt idx="2">
                  <c:v>2023</c:v>
                </c:pt>
              </c:numCache>
            </c:numRef>
          </c:cat>
          <c:val>
            <c:numRef>
              <c:f>'Calcul - Forêt et sols'!$C$142:$E$142</c:f>
              <c:numCache>
                <c:formatCode>#,##0</c:formatCode>
                <c:ptCount val="3"/>
                <c:pt idx="0">
                  <c:v>208056.8363714306</c:v>
                </c:pt>
                <c:pt idx="1">
                  <c:v>-88666.764121721237</c:v>
                </c:pt>
                <c:pt idx="2">
                  <c:v>53427.585558957035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AB-4D32-819B-65CBFBEA19AB}"/>
            </c:ext>
          </c:extLst>
        </c:ser>
        <c:ser>
          <c:idx val="2"/>
          <c:order val="2"/>
          <c:tx>
            <c:strRef>
              <c:f>'Calcul - Forêt et sols'!$B$143</c:f>
              <c:strCache>
                <c:ptCount val="1"/>
                <c:pt idx="0">
                  <c:v>Pâturage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sols'!$C$140:$E$140</c:f>
              <c:numCache>
                <c:formatCode>General</c:formatCode>
                <c:ptCount val="3"/>
                <c:pt idx="0">
                  <c:v>2015</c:v>
                </c:pt>
                <c:pt idx="1">
                  <c:v>2019</c:v>
                </c:pt>
                <c:pt idx="2">
                  <c:v>2023</c:v>
                </c:pt>
              </c:numCache>
            </c:numRef>
          </c:cat>
          <c:val>
            <c:numRef>
              <c:f>'Calcul - Forêt et sols'!$C$143:$E$143</c:f>
              <c:numCache>
                <c:formatCode>#,##0</c:formatCode>
                <c:ptCount val="3"/>
                <c:pt idx="0">
                  <c:v>107159.08470401802</c:v>
                </c:pt>
                <c:pt idx="1">
                  <c:v>317.12313728485105</c:v>
                </c:pt>
                <c:pt idx="2">
                  <c:v>40163.806554466217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AB-4D32-819B-65CBFBEA19AB}"/>
            </c:ext>
          </c:extLst>
        </c:ser>
        <c:ser>
          <c:idx val="3"/>
          <c:order val="3"/>
          <c:tx>
            <c:strRef>
              <c:f>'Calcul - Forêt et sols'!$B$144</c:f>
              <c:strCache>
                <c:ptCount val="1"/>
                <c:pt idx="0">
                  <c:v>Autres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sols'!$C$140:$E$140</c:f>
              <c:numCache>
                <c:formatCode>General</c:formatCode>
                <c:ptCount val="3"/>
                <c:pt idx="0">
                  <c:v>2015</c:v>
                </c:pt>
                <c:pt idx="1">
                  <c:v>2019</c:v>
                </c:pt>
                <c:pt idx="2">
                  <c:v>2023</c:v>
                </c:pt>
              </c:numCache>
            </c:numRef>
          </c:cat>
          <c:val>
            <c:numRef>
              <c:f>'Calcul - Forêt et sols'!$C$144:$E$144</c:f>
              <c:numCache>
                <c:formatCode>#,##0</c:formatCode>
                <c:ptCount val="3"/>
                <c:pt idx="0">
                  <c:v>16771.71439560995</c:v>
                </c:pt>
                <c:pt idx="1">
                  <c:v>15542.930137890664</c:v>
                </c:pt>
                <c:pt idx="2">
                  <c:v>11855.674024269571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AB-4D32-819B-65CBFBEA1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0721128"/>
        <c:axId val="760719688"/>
      </c:barChart>
      <c:catAx>
        <c:axId val="760721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0719688"/>
        <c:crosses val="autoZero"/>
        <c:auto val="1"/>
        <c:lblAlgn val="ctr"/>
        <c:lblOffset val="100"/>
        <c:noMultiLvlLbl val="0"/>
      </c:catAx>
      <c:valAx>
        <c:axId val="76071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Emissions de GES [tCO2eq]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60721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Emissions</a:t>
            </a:r>
            <a:r>
              <a:rPr lang="en-US" baseline="0"/>
              <a:t> / Captation des sols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'Calcul - Forêt et sols'!$B$145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'Calcul - Forêt et sols'!$C$140:$E$140</c:f>
              <c:numCache>
                <c:formatCode>General</c:formatCode>
                <c:ptCount val="3"/>
                <c:pt idx="0">
                  <c:v>2015</c:v>
                </c:pt>
                <c:pt idx="1">
                  <c:v>2019</c:v>
                </c:pt>
                <c:pt idx="2">
                  <c:v>2023</c:v>
                </c:pt>
              </c:numCache>
            </c:numRef>
          </c:cat>
          <c:val>
            <c:numRef>
              <c:f>'Calcul - Forêt et sols'!$C$145:$E$145</c:f>
              <c:numCache>
                <c:formatCode>#,##0</c:formatCode>
                <c:ptCount val="3"/>
                <c:pt idx="0">
                  <c:v>134449.17056014089</c:v>
                </c:pt>
                <c:pt idx="1">
                  <c:v>-163049.80956517794</c:v>
                </c:pt>
                <c:pt idx="2">
                  <c:v>170738.97556727263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34-4701-A173-99F8B9BB9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5981072"/>
        <c:axId val="775983232"/>
      </c:barChart>
      <c:catAx>
        <c:axId val="77598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5983232"/>
        <c:crosses val="autoZero"/>
        <c:auto val="1"/>
        <c:lblAlgn val="ctr"/>
        <c:lblOffset val="100"/>
        <c:noMultiLvlLbl val="0"/>
      </c:catAx>
      <c:valAx>
        <c:axId val="77598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Emissions de GES [tCO2eq]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598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371475</xdr:colOff>
      <xdr:row>5</xdr:row>
      <xdr:rowOff>57150</xdr:rowOff>
    </xdr:from>
    <xdr:to>
      <xdr:col>13</xdr:col>
      <xdr:colOff>0</xdr:colOff>
      <xdr:row>14</xdr:row>
      <xdr:rowOff>76201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49A9736-C522-4C46-897C-255F1858E206}"/>
            </a:ext>
          </a:extLst>
        </xdr:cNvPr>
        <xdr:cNvSpPr txBox="1"/>
      </xdr:nvSpPr>
      <xdr:spPr>
        <a:xfrm>
          <a:off x="8848725" y="1295400"/>
          <a:ext cx="4962525" cy="16478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1100"/>
            <a:t>RegEner</a:t>
          </a:r>
          <a:r>
            <a:rPr lang="fr-CH" sz="1100" baseline="0"/>
            <a:t> 2024 (version 2025-03-05) décorrigé climatiquement pour refléter la consommation de 2023 à l'aide de la méthode par degrés-jours communaux fournies par MétéoSuisse, et du référentiel calculé sur une moyenne 2016-2022.  Uniquement les consommations 'Chauffage' ont été décorrigées.</a:t>
          </a:r>
        </a:p>
        <a:p>
          <a:endParaRPr lang="fr-CH" sz="1100" baseline="0"/>
        </a:p>
        <a:p>
          <a:endParaRPr lang="fr-CH" sz="1100" baseline="0"/>
        </a:p>
        <a:p>
          <a:r>
            <a:rPr lang="fr-CH" sz="1100" u="sng" baseline="0"/>
            <a:t>Script à la DGE-DIREN </a:t>
          </a:r>
          <a:r>
            <a:rPr lang="fr-CH" sz="1100" baseline="0"/>
            <a:t>: </a:t>
          </a:r>
          <a:br>
            <a:rPr lang="fr-CH" sz="1100" baseline="0"/>
          </a:br>
          <a:r>
            <a:rPr lang="fr-CH" sz="1100" i="1" baseline="0"/>
            <a:t>P:\DIREN\11 POLITIQUE ENERG\11.08 Indicateurs et stat\9 Demandes d'informations\2025-03-24_OCDC_bilan_c_mix_CAD_regener_decorrige</a:t>
          </a:r>
        </a:p>
        <a:p>
          <a:endParaRPr lang="fr-CH" sz="1100" baseline="0"/>
        </a:p>
        <a:p>
          <a:endParaRPr lang="fr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357095</xdr:colOff>
      <xdr:row>202</xdr:row>
      <xdr:rowOff>26707</xdr:rowOff>
    </xdr:from>
    <xdr:to>
      <xdr:col>15</xdr:col>
      <xdr:colOff>440205</xdr:colOff>
      <xdr:row>219</xdr:row>
      <xdr:rowOff>9525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EBF9D8C2-1128-EB46-DB12-590F168060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377825</xdr:colOff>
      <xdr:row>9</xdr:row>
      <xdr:rowOff>30163</xdr:rowOff>
    </xdr:from>
    <xdr:to>
      <xdr:col>18</xdr:col>
      <xdr:colOff>673100</xdr:colOff>
      <xdr:row>23</xdr:row>
      <xdr:rowOff>142876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B06E68E-752A-253F-4C2A-A63F414542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628650</xdr:colOff>
      <xdr:row>54</xdr:row>
      <xdr:rowOff>169862</xdr:rowOff>
    </xdr:from>
    <xdr:to>
      <xdr:col>18</xdr:col>
      <xdr:colOff>619125</xdr:colOff>
      <xdr:row>70</xdr:row>
      <xdr:rowOff>11112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09A84F7-7D77-4B0E-F849-E2AFC448DE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609601</xdr:colOff>
      <xdr:row>104</xdr:row>
      <xdr:rowOff>179386</xdr:rowOff>
    </xdr:from>
    <xdr:to>
      <xdr:col>17</xdr:col>
      <xdr:colOff>606426</xdr:colOff>
      <xdr:row>124</xdr:row>
      <xdr:rowOff>95250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2C2D877C-9DD6-6308-56EA-2E17520C76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168275</xdr:colOff>
      <xdr:row>140</xdr:row>
      <xdr:rowOff>125412</xdr:rowOff>
    </xdr:from>
    <xdr:to>
      <xdr:col>11</xdr:col>
      <xdr:colOff>733425</xdr:colOff>
      <xdr:row>155</xdr:row>
      <xdr:rowOff>160337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6E53F9FD-2089-98C0-0E37-B67EE6382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1111250</xdr:colOff>
      <xdr:row>157</xdr:row>
      <xdr:rowOff>134937</xdr:rowOff>
    </xdr:from>
    <xdr:to>
      <xdr:col>12</xdr:col>
      <xdr:colOff>53975</xdr:colOff>
      <xdr:row>172</xdr:row>
      <xdr:rowOff>169862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1369A3FF-92C9-69AC-91BF-CE11E37D9B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2_30_OCDC\12_Cercle_Climat\22_Pilotage-mandats\2024_EA_OnTrack_Verification_territoire\OCDC_R&#233;sum&#233;%20revue%20Outil_2024-08-05_extract.xlsx" TargetMode="External"/><Relationship Id="rId1" Type="http://schemas.openxmlformats.org/officeDocument/2006/relationships/externalLinkPath" Target="file:///\\Nac2recinf\infprojets$\2_30_OCDC\12_Cercle_Climat\22_Pilotage-mandats\2024_EA_OnTrack_Verification_territoire\OCDC_R&#233;sum&#233;%20revue%20Outil_2024-08-05_extra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difs majeures"/>
      <sheetName val="Modifs mineures"/>
      <sheetName val="Listes"/>
      <sheetName val="OCDC_Résumé revue Outil_2024-08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19681A-5715-4E8C-B453-9BD2E9410646}" name="Source" displayName="Source" ref="C45:K48" totalsRowShown="0" dataDxfId="12">
  <autoFilter ref="C45:K48" xr:uid="{6A19681A-5715-4E8C-B453-9BD2E9410646}"/>
  <tableColumns count="9">
    <tableColumn id="11" xr3:uid="{D1C5DDE9-A02A-4A61-A0DD-E6A40DBF8C35}" name="Papier, Carton (t)" dataDxfId="11"/>
    <tableColumn id="12" xr3:uid="{ADF4455D-C925-4EDC-9954-463FCFB75273}" name="Métaux (t)" dataDxfId="10"/>
    <tableColumn id="13" xr3:uid="{010AC22B-FF60-4F4A-A4B3-EE723576D2B4}" name="Verre (t)" dataDxfId="9"/>
    <tableColumn id="14" xr3:uid="{C0A8E888-04D7-4334-A897-883AFF262253}" name="Plastiques (Hors PET) (t)" dataDxfId="8"/>
    <tableColumn id="15" xr3:uid="{57DE8C00-517E-4C2B-96E9-16B9E5969131}" name="PET (t)" dataDxfId="7"/>
    <tableColumn id="16" xr3:uid="{21281761-CA1D-4CA5-B208-AAF07D736643}" name="Déchets spéciaux (t)" dataDxfId="6"/>
    <tableColumn id="17" xr3:uid="{B0431CC0-7B3D-4E27-9590-6793A95D597C}" name="Huile (t)" dataDxfId="5"/>
    <tableColumn id="18" xr3:uid="{69D75018-6824-4E63-9D8A-716BF84A8034}" name="Appareil EE (t)" dataDxfId="4"/>
    <tableColumn id="19" xr3:uid="{866D5515-268B-41DF-99CE-8EDC1487B161}" name="Textiles (t)" dataDxfId="3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8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B2:R47"/>
  <sheetViews>
    <sheetView tabSelected="1" topLeftCell="A2" zoomScale="85" zoomScaleNormal="85" workbookViewId="0">
      <selection activeCell="C4" sqref="C4"/>
    </sheetView>
  </sheetViews>
  <sheetFormatPr baseColWidth="10" defaultColWidth="8.7265625" defaultRowHeight="14.5" x14ac:dyDescent="0.35"/>
  <cols>
    <col min="1" max="1" width="4.81640625" customWidth="1"/>
    <col min="2" max="2" width="22.81640625" customWidth="1"/>
    <col min="3" max="3" width="40.54296875" customWidth="1"/>
    <col min="4" max="4" width="18.90625" customWidth="1"/>
    <col min="5" max="6" width="12.1796875" customWidth="1"/>
    <col min="7" max="7" width="14.81640625" style="413" customWidth="1"/>
    <col min="8" max="8" width="17.08984375" customWidth="1"/>
    <col min="9" max="9" width="17.81640625" customWidth="1"/>
    <col min="10" max="10" width="17.1796875" customWidth="1"/>
    <col min="11" max="11" width="10.54296875" customWidth="1"/>
    <col min="12" max="14" width="13.54296875" customWidth="1"/>
    <col min="15" max="15" width="13.1796875" customWidth="1"/>
    <col min="16" max="16" width="12.26953125" customWidth="1"/>
  </cols>
  <sheetData>
    <row r="2" spans="2:18" s="589" customFormat="1" ht="31" x14ac:dyDescent="0.7">
      <c r="B2" s="588" t="s">
        <v>341</v>
      </c>
    </row>
    <row r="4" spans="2:18" ht="45.65" customHeight="1" x14ac:dyDescent="0.35">
      <c r="B4" s="592"/>
      <c r="C4" s="593"/>
      <c r="D4" s="964" t="s">
        <v>889</v>
      </c>
      <c r="E4" s="966"/>
      <c r="F4" s="966"/>
      <c r="G4" s="966"/>
      <c r="H4" s="965"/>
      <c r="I4" s="594" t="s">
        <v>886</v>
      </c>
      <c r="J4" s="651" t="s">
        <v>735</v>
      </c>
      <c r="K4" s="591"/>
      <c r="L4" s="964" t="s">
        <v>724</v>
      </c>
      <c r="M4" s="965"/>
      <c r="N4" s="591"/>
      <c r="O4" s="964" t="s">
        <v>725</v>
      </c>
      <c r="P4" s="966"/>
      <c r="Q4" s="10"/>
    </row>
    <row r="5" spans="2:18" ht="15" thickBot="1" x14ac:dyDescent="0.4">
      <c r="B5" s="595" t="s">
        <v>342</v>
      </c>
      <c r="C5" s="596" t="s">
        <v>340</v>
      </c>
      <c r="D5" s="597" t="s">
        <v>48</v>
      </c>
      <c r="E5" s="598" t="s">
        <v>3</v>
      </c>
      <c r="F5" s="598" t="s">
        <v>50</v>
      </c>
      <c r="G5" s="598" t="s">
        <v>750</v>
      </c>
      <c r="H5" s="599" t="s">
        <v>4</v>
      </c>
      <c r="I5" s="597" t="s">
        <v>4</v>
      </c>
      <c r="J5" s="597" t="s">
        <v>4</v>
      </c>
      <c r="K5" s="600"/>
      <c r="L5" s="597" t="s">
        <v>455</v>
      </c>
      <c r="M5" s="601" t="s">
        <v>726</v>
      </c>
      <c r="N5" s="602"/>
      <c r="O5" s="597" t="s">
        <v>455</v>
      </c>
      <c r="P5" s="601" t="s">
        <v>726</v>
      </c>
      <c r="Q5" s="10"/>
    </row>
    <row r="6" spans="2:18" ht="15" thickTop="1" x14ac:dyDescent="0.35">
      <c r="B6" s="969" t="s">
        <v>402</v>
      </c>
      <c r="C6" s="603" t="s">
        <v>686</v>
      </c>
      <c r="D6" s="604">
        <f xml:space="preserve"> 'Transports - Emissions'!G16</f>
        <v>987882.68791682774</v>
      </c>
      <c r="E6" s="605">
        <f xml:space="preserve"> 'Transports - Emissions'!H16</f>
        <v>0</v>
      </c>
      <c r="F6" s="606">
        <f xml:space="preserve"> 'Transports - Emissions'!I16</f>
        <v>0</v>
      </c>
      <c r="G6" s="606">
        <v>0</v>
      </c>
      <c r="H6" s="607">
        <f xml:space="preserve"> 'Transports - Emissions'!J16</f>
        <v>987882.68791682774</v>
      </c>
      <c r="I6" s="604">
        <f xml:space="preserve"> 'Transports - Emissions'!K16</f>
        <v>1073011.3370092211</v>
      </c>
      <c r="J6" s="608">
        <f xml:space="preserve"> 'Transports - Emissions'!L16</f>
        <v>2060894.0249260487</v>
      </c>
      <c r="K6" s="609"/>
      <c r="L6" s="610">
        <f t="shared" ref="L6:L41" si="0">H6/POP_VD_2023</f>
        <v>1.16729196034615</v>
      </c>
      <c r="M6" s="611">
        <f t="shared" ref="M6:M42" si="1">J6/POP_VD_2023</f>
        <v>2.4351727749116434</v>
      </c>
      <c r="N6" s="612"/>
      <c r="O6" s="613">
        <f t="shared" ref="O6:O36" si="2">H6/$H$41</f>
        <v>0.2516373688802695</v>
      </c>
      <c r="P6" s="613">
        <f t="shared" ref="P6:P36" si="3">J6/$J$41</f>
        <v>0.17134307163346443</v>
      </c>
      <c r="Q6" s="10"/>
    </row>
    <row r="7" spans="2:18" x14ac:dyDescent="0.35">
      <c r="B7" s="969"/>
      <c r="C7" s="603" t="s">
        <v>346</v>
      </c>
      <c r="D7" s="604">
        <f>'Transports - Emissions'!G17</f>
        <v>230929</v>
      </c>
      <c r="E7" s="606">
        <f>'Transports - Emissions'!H17</f>
        <v>0</v>
      </c>
      <c r="F7" s="606">
        <f>'Transports - Emissions'!I17</f>
        <v>0</v>
      </c>
      <c r="G7" s="606">
        <v>0</v>
      </c>
      <c r="H7" s="614">
        <f>'Transports - Emissions'!J17</f>
        <v>230929</v>
      </c>
      <c r="I7" s="604">
        <f>'Transports - Emissions'!K17</f>
        <v>353700</v>
      </c>
      <c r="J7" s="604">
        <f>'Transports - Emissions'!L17</f>
        <v>584629</v>
      </c>
      <c r="K7" s="609"/>
      <c r="L7" s="610">
        <f t="shared" si="0"/>
        <v>0.27286799172400428</v>
      </c>
      <c r="M7" s="611">
        <f t="shared" si="1"/>
        <v>0.69080341201673634</v>
      </c>
      <c r="N7" s="612"/>
      <c r="O7" s="613">
        <f t="shared" si="2"/>
        <v>5.8823144356027236E-2</v>
      </c>
      <c r="P7" s="613">
        <f t="shared" si="3"/>
        <v>4.8606152191447677E-2</v>
      </c>
      <c r="Q7" s="10"/>
    </row>
    <row r="8" spans="2:18" x14ac:dyDescent="0.35">
      <c r="B8" s="969"/>
      <c r="C8" s="603" t="s">
        <v>837</v>
      </c>
      <c r="D8" s="604">
        <f>'Transports - Emissions'!G25</f>
        <v>28302.204654263322</v>
      </c>
      <c r="E8" s="606">
        <f>'Transports - Emissions'!H25</f>
        <v>0</v>
      </c>
      <c r="F8" s="606">
        <f>'Transports - Emissions'!I25</f>
        <v>0</v>
      </c>
      <c r="G8" s="606">
        <v>0</v>
      </c>
      <c r="H8" s="614">
        <f>'Transports - Emissions'!J25</f>
        <v>28302.204654263322</v>
      </c>
      <c r="I8" s="604">
        <f>'Transports - Emissions'!K25</f>
        <v>8812.09519396631</v>
      </c>
      <c r="J8" s="604">
        <f>'Transports - Emissions'!L25</f>
        <v>37114.299848229632</v>
      </c>
      <c r="K8" s="609"/>
      <c r="L8" s="610">
        <f t="shared" si="0"/>
        <v>3.3442165104298725E-2</v>
      </c>
      <c r="M8" s="611">
        <f t="shared" si="1"/>
        <v>4.385462399191499E-2</v>
      </c>
      <c r="N8" s="612"/>
      <c r="O8" s="613">
        <f t="shared" si="2"/>
        <v>7.2092490331294784E-3</v>
      </c>
      <c r="P8" s="613">
        <f t="shared" si="3"/>
        <v>3.0856890556268555E-3</v>
      </c>
      <c r="Q8" s="10"/>
    </row>
    <row r="9" spans="2:18" x14ac:dyDescent="0.35">
      <c r="B9" s="969"/>
      <c r="C9" s="603" t="s">
        <v>890</v>
      </c>
      <c r="D9" s="604">
        <f>'Transports - Emissions'!G19</f>
        <v>0</v>
      </c>
      <c r="E9" s="606">
        <f>'Transports - Emissions'!H19</f>
        <v>0</v>
      </c>
      <c r="F9" s="606">
        <f>'Transports - Emissions'!I19</f>
        <v>0</v>
      </c>
      <c r="G9" s="606">
        <v>0</v>
      </c>
      <c r="H9" s="614">
        <f>'Transports - Emissions'!J19</f>
        <v>0</v>
      </c>
      <c r="I9" s="604">
        <f>'Transports - Emissions'!K19</f>
        <v>2115993.3183925636</v>
      </c>
      <c r="J9" s="604">
        <f>'Transports - Emissions'!L19</f>
        <v>2115993.3183925636</v>
      </c>
      <c r="K9" s="609"/>
      <c r="L9" s="610">
        <f t="shared" si="0"/>
        <v>0</v>
      </c>
      <c r="M9" s="611">
        <f t="shared" si="1"/>
        <v>2.5002786453463637</v>
      </c>
      <c r="N9" s="612"/>
      <c r="O9" s="613">
        <f t="shared" si="2"/>
        <v>0</v>
      </c>
      <c r="P9" s="613">
        <f t="shared" si="3"/>
        <v>0.17592403604657886</v>
      </c>
      <c r="Q9" s="10"/>
    </row>
    <row r="10" spans="2:18" x14ac:dyDescent="0.35">
      <c r="B10" s="615"/>
      <c r="C10" s="616" t="s">
        <v>6</v>
      </c>
      <c r="D10" s="617">
        <f>SUM(D6:D9)</f>
        <v>1247113.8925710912</v>
      </c>
      <c r="E10" s="618">
        <f>SUM(E6:E9)</f>
        <v>0</v>
      </c>
      <c r="F10" s="618">
        <f t="shared" ref="F10:J10" si="4">SUM(F6:F9)</f>
        <v>0</v>
      </c>
      <c r="G10" s="618">
        <f t="shared" si="4"/>
        <v>0</v>
      </c>
      <c r="H10" s="624">
        <f t="shared" si="4"/>
        <v>1247113.8925710912</v>
      </c>
      <c r="I10" s="617">
        <f t="shared" si="4"/>
        <v>3551516.7505957512</v>
      </c>
      <c r="J10" s="617">
        <f t="shared" si="4"/>
        <v>4798630.6431668419</v>
      </c>
      <c r="K10" s="619"/>
      <c r="L10" s="620">
        <f t="shared" si="0"/>
        <v>1.4736021171744531</v>
      </c>
      <c r="M10" s="621">
        <f t="shared" si="1"/>
        <v>5.6701094562666583</v>
      </c>
      <c r="N10" s="622"/>
      <c r="O10" s="623">
        <f t="shared" si="2"/>
        <v>0.31766976226942628</v>
      </c>
      <c r="P10" s="623">
        <f t="shared" si="3"/>
        <v>0.39895894892711781</v>
      </c>
      <c r="Q10" s="10"/>
    </row>
    <row r="11" spans="2:18" x14ac:dyDescent="0.35">
      <c r="B11" s="969" t="s">
        <v>171</v>
      </c>
      <c r="C11" s="603" t="s">
        <v>345</v>
      </c>
      <c r="D11" s="604">
        <f>'Chaleur du batiment - Emissions'!G17</f>
        <v>1333422.7862162467</v>
      </c>
      <c r="E11" s="606">
        <f>'Chaleur du batiment - Emissions'!H17</f>
        <v>0</v>
      </c>
      <c r="F11" s="606">
        <f>'Chaleur du batiment - Emissions'!I17</f>
        <v>0</v>
      </c>
      <c r="G11" s="606">
        <v>0</v>
      </c>
      <c r="H11" s="614">
        <f>'Chaleur du batiment - Emissions'!J17</f>
        <v>1333422.7862162467</v>
      </c>
      <c r="I11" s="604">
        <f>'Chaleur du batiment - Emissions'!K17</f>
        <v>360430.02154704835</v>
      </c>
      <c r="J11" s="604">
        <f>'Chaleur du batiment - Emissions'!L17</f>
        <v>1693852.807763295</v>
      </c>
      <c r="K11" s="609"/>
      <c r="L11" s="610">
        <f t="shared" si="0"/>
        <v>1.5755855600372994</v>
      </c>
      <c r="M11" s="611">
        <f t="shared" si="1"/>
        <v>2.0014732403917925</v>
      </c>
      <c r="N11" s="612"/>
      <c r="O11" s="613">
        <f t="shared" si="2"/>
        <v>0.3396547035721556</v>
      </c>
      <c r="P11" s="613">
        <f t="shared" si="3"/>
        <v>0.14082720385758093</v>
      </c>
      <c r="Q11" s="10"/>
    </row>
    <row r="12" spans="2:18" x14ac:dyDescent="0.35">
      <c r="B12" s="969"/>
      <c r="C12" s="603" t="s">
        <v>431</v>
      </c>
      <c r="D12" s="604">
        <f>'Electricite - Emissions'!G8</f>
        <v>0</v>
      </c>
      <c r="E12" s="606">
        <f>'Electricite - Emissions'!H8</f>
        <v>0</v>
      </c>
      <c r="F12" s="606">
        <f>'Electricite - Emissions'!I8</f>
        <v>0</v>
      </c>
      <c r="G12" s="606">
        <v>0</v>
      </c>
      <c r="H12" s="614">
        <f>'Electricite - Emissions'!J8</f>
        <v>0</v>
      </c>
      <c r="I12" s="604">
        <f>'Electricite - Emissions'!K8</f>
        <v>428110.44231422688</v>
      </c>
      <c r="J12" s="604">
        <f>'Electricite - Emissions'!L8</f>
        <v>428110.44231422688</v>
      </c>
      <c r="K12" s="609"/>
      <c r="L12" s="610">
        <f t="shared" si="0"/>
        <v>0</v>
      </c>
      <c r="M12" s="611">
        <f t="shared" si="1"/>
        <v>0.50585953531327066</v>
      </c>
      <c r="N12" s="612"/>
      <c r="O12" s="613">
        <f t="shared" si="2"/>
        <v>0</v>
      </c>
      <c r="P12" s="613">
        <f t="shared" si="3"/>
        <v>3.5593173301141909E-2</v>
      </c>
      <c r="Q12" s="10"/>
    </row>
    <row r="13" spans="2:18" x14ac:dyDescent="0.35">
      <c r="B13" s="615"/>
      <c r="C13" s="616" t="s">
        <v>6</v>
      </c>
      <c r="D13" s="617">
        <f>SUM(D11:D12)</f>
        <v>1333422.7862162467</v>
      </c>
      <c r="E13" s="618">
        <f t="shared" ref="E13:J13" si="5">SUM(E11:E12)</f>
        <v>0</v>
      </c>
      <c r="F13" s="618">
        <f>SUM(F11:F12)</f>
        <v>0</v>
      </c>
      <c r="G13" s="618">
        <f>SUM(G11:G12)</f>
        <v>0</v>
      </c>
      <c r="H13" s="624">
        <f t="shared" si="5"/>
        <v>1333422.7862162467</v>
      </c>
      <c r="I13" s="617">
        <f t="shared" si="5"/>
        <v>788540.46386127523</v>
      </c>
      <c r="J13" s="617">
        <f t="shared" si="5"/>
        <v>2121963.2500775219</v>
      </c>
      <c r="K13" s="619"/>
      <c r="L13" s="620">
        <f t="shared" si="0"/>
        <v>1.5755855600372994</v>
      </c>
      <c r="M13" s="621">
        <f t="shared" si="1"/>
        <v>2.5073327757050627</v>
      </c>
      <c r="N13" s="622"/>
      <c r="O13" s="623">
        <f t="shared" si="2"/>
        <v>0.3396547035721556</v>
      </c>
      <c r="P13" s="623">
        <f t="shared" si="3"/>
        <v>0.17642037715872283</v>
      </c>
      <c r="Q13" s="10"/>
      <c r="R13" s="403"/>
    </row>
    <row r="14" spans="2:18" x14ac:dyDescent="0.35">
      <c r="B14" s="969" t="s">
        <v>135</v>
      </c>
      <c r="C14" s="603" t="s">
        <v>699</v>
      </c>
      <c r="D14" s="604">
        <f>'Industrie - Emissions'!G9</f>
        <v>0</v>
      </c>
      <c r="E14" s="606">
        <f>'Industrie - Emissions'!H9</f>
        <v>5355.1091163615765</v>
      </c>
      <c r="F14" s="606">
        <f>'Industrie - Emissions'!I9</f>
        <v>0</v>
      </c>
      <c r="G14" s="606">
        <v>0</v>
      </c>
      <c r="H14" s="614">
        <f>'Industrie - Emissions'!K9</f>
        <v>5355.1091163615765</v>
      </c>
      <c r="I14" s="604">
        <f>'Industrie - Emissions'!L9</f>
        <v>1207.4327153802012</v>
      </c>
      <c r="J14" s="604">
        <f>'Industrie - Emissions'!M9</f>
        <v>6562.541831741778</v>
      </c>
      <c r="K14" s="609"/>
      <c r="L14" s="610">
        <f t="shared" si="0"/>
        <v>6.3276499272265094E-3</v>
      </c>
      <c r="M14" s="611">
        <f t="shared" si="1"/>
        <v>7.7543643727385793E-3</v>
      </c>
      <c r="N14" s="612"/>
      <c r="O14" s="613">
        <f t="shared" si="2"/>
        <v>1.364074484339405E-3</v>
      </c>
      <c r="P14" s="613">
        <f t="shared" si="3"/>
        <v>5.456108182050201E-4</v>
      </c>
      <c r="Q14" s="10"/>
    </row>
    <row r="15" spans="2:18" x14ac:dyDescent="0.35">
      <c r="B15" s="969"/>
      <c r="C15" s="603" t="s">
        <v>373</v>
      </c>
      <c r="D15" s="604">
        <f>'Industrie - Emissions'!G10</f>
        <v>150971.31367193611</v>
      </c>
      <c r="E15" s="606">
        <f>'Industrie - Emissions'!H10</f>
        <v>0</v>
      </c>
      <c r="F15" s="606">
        <f>'Industrie - Emissions'!I10</f>
        <v>0</v>
      </c>
      <c r="G15" s="606">
        <v>0</v>
      </c>
      <c r="H15" s="614">
        <f>'Industrie - Emissions'!K10</f>
        <v>150971.31367193611</v>
      </c>
      <c r="I15" s="604">
        <f>'Industrie - Emissions'!L10</f>
        <v>18358.479796874111</v>
      </c>
      <c r="J15" s="604">
        <f>'Industrie - Emissions'!M10</f>
        <v>169329.79346881021</v>
      </c>
      <c r="K15" s="609"/>
      <c r="L15" s="610">
        <f t="shared" si="0"/>
        <v>0.17838919827997313</v>
      </c>
      <c r="M15" s="611">
        <f t="shared" si="1"/>
        <v>0.20008175968749989</v>
      </c>
      <c r="N15" s="612"/>
      <c r="O15" s="613">
        <f t="shared" si="2"/>
        <v>3.84560075942968E-2</v>
      </c>
      <c r="P15" s="613">
        <f t="shared" si="3"/>
        <v>1.4078107161792166E-2</v>
      </c>
      <c r="Q15" s="10"/>
    </row>
    <row r="16" spans="2:18" x14ac:dyDescent="0.35">
      <c r="B16" s="969"/>
      <c r="C16" s="603" t="s">
        <v>348</v>
      </c>
      <c r="D16" s="604">
        <f>'Industrie - Emissions'!G11</f>
        <v>244463.46</v>
      </c>
      <c r="E16" s="606">
        <f>'Industrie - Emissions'!H11</f>
        <v>0</v>
      </c>
      <c r="F16" s="606">
        <f>'Industrie - Emissions'!I11</f>
        <v>0</v>
      </c>
      <c r="G16" s="606">
        <v>0</v>
      </c>
      <c r="H16" s="614">
        <f>'Industrie - Emissions'!K11</f>
        <v>244463.46</v>
      </c>
      <c r="I16" s="604">
        <f>'Industrie - Emissions'!L11</f>
        <v>0</v>
      </c>
      <c r="J16" s="604">
        <f>'Industrie - Emissions'!M11</f>
        <v>244463.46</v>
      </c>
      <c r="K16" s="609"/>
      <c r="L16" s="610">
        <f t="shared" si="0"/>
        <v>0.28886044359998725</v>
      </c>
      <c r="M16" s="611">
        <f t="shared" si="1"/>
        <v>0.28886044359998725</v>
      </c>
      <c r="N16" s="612"/>
      <c r="O16" s="613">
        <f t="shared" si="2"/>
        <v>6.2270695310480233E-2</v>
      </c>
      <c r="P16" s="613">
        <f t="shared" si="3"/>
        <v>2.032473268005501E-2</v>
      </c>
      <c r="Q16" s="10"/>
    </row>
    <row r="17" spans="2:17" x14ac:dyDescent="0.35">
      <c r="B17" s="969"/>
      <c r="C17" s="603" t="s">
        <v>349</v>
      </c>
      <c r="D17" s="604">
        <f>'Industrie - Emissions'!G12</f>
        <v>53789.117885977961</v>
      </c>
      <c r="E17" s="606">
        <f>'Industrie - Emissions'!H12</f>
        <v>0</v>
      </c>
      <c r="F17" s="606">
        <f>'Industrie - Emissions'!I12</f>
        <v>0</v>
      </c>
      <c r="G17" s="606">
        <v>0</v>
      </c>
      <c r="H17" s="614">
        <f>'Industrie - Emissions'!K12</f>
        <v>53789.117885977961</v>
      </c>
      <c r="I17" s="604">
        <f>'Industrie - Emissions'!L12</f>
        <v>17088.050615931264</v>
      </c>
      <c r="J17" s="604">
        <f>'Industrie - Emissions'!M12</f>
        <v>70877.168501909226</v>
      </c>
      <c r="K17" s="609"/>
      <c r="L17" s="610">
        <f t="shared" si="0"/>
        <v>6.355775400297288E-2</v>
      </c>
      <c r="M17" s="611">
        <f t="shared" si="1"/>
        <v>8.3749163717851904E-2</v>
      </c>
      <c r="N17" s="612"/>
      <c r="O17" s="613">
        <f t="shared" si="2"/>
        <v>1.3701375947543393E-2</v>
      </c>
      <c r="P17" s="613">
        <f t="shared" si="3"/>
        <v>5.8927395649252456E-3</v>
      </c>
      <c r="Q17" s="10"/>
    </row>
    <row r="18" spans="2:17" x14ac:dyDescent="0.35">
      <c r="B18" s="969"/>
      <c r="C18" s="603" t="s">
        <v>347</v>
      </c>
      <c r="D18" s="604">
        <f>'Industrie - Emissions'!G13</f>
        <v>91459.866430599999</v>
      </c>
      <c r="E18" s="606">
        <f>'Industrie - Emissions'!H13</f>
        <v>0</v>
      </c>
      <c r="F18" s="606">
        <f>'Industrie - Emissions'!I13</f>
        <v>0</v>
      </c>
      <c r="G18" s="606">
        <v>0</v>
      </c>
      <c r="H18" s="614">
        <f>'Industrie - Emissions'!K13</f>
        <v>91459.866430599999</v>
      </c>
      <c r="I18" s="604">
        <f>'Industrie - Emissions'!L13</f>
        <v>0</v>
      </c>
      <c r="J18" s="604">
        <f>'Industrie - Emissions'!M13</f>
        <v>91459.866430599999</v>
      </c>
      <c r="K18" s="609"/>
      <c r="L18" s="610">
        <f t="shared" si="0"/>
        <v>0.10806988328128342</v>
      </c>
      <c r="M18" s="611">
        <f t="shared" si="1"/>
        <v>0.10806988328128342</v>
      </c>
      <c r="N18" s="612"/>
      <c r="O18" s="613">
        <f t="shared" si="2"/>
        <v>2.3297017376900056E-2</v>
      </c>
      <c r="P18" s="613">
        <f t="shared" si="3"/>
        <v>7.6039884903677715E-3</v>
      </c>
      <c r="Q18" s="10"/>
    </row>
    <row r="19" spans="2:17" x14ac:dyDescent="0.35">
      <c r="B19" s="969"/>
      <c r="C19" s="603" t="s">
        <v>372</v>
      </c>
      <c r="D19" s="604">
        <f>'Industrie - Emissions'!G14</f>
        <v>0</v>
      </c>
      <c r="E19" s="606">
        <f>'Industrie - Emissions'!H14</f>
        <v>0</v>
      </c>
      <c r="F19" s="606">
        <f>'Industrie - Emissions'!I14</f>
        <v>0</v>
      </c>
      <c r="G19" s="627">
        <f>'Industrie - Emissions'!K14</f>
        <v>4502.5770971797192</v>
      </c>
      <c r="H19" s="614">
        <f>'Industrie - Emissions'!K14</f>
        <v>4502.5770971797192</v>
      </c>
      <c r="I19" s="604">
        <f>'Industrie - Emissions'!L14</f>
        <v>0</v>
      </c>
      <c r="J19" s="604">
        <f>'Industrie - Emissions'!M14</f>
        <v>4502.5770971797192</v>
      </c>
      <c r="K19" s="609"/>
      <c r="L19" s="610">
        <f t="shared" si="0"/>
        <v>5.3202896565174877E-3</v>
      </c>
      <c r="M19" s="611">
        <f t="shared" si="1"/>
        <v>5.3202896565174877E-3</v>
      </c>
      <c r="N19" s="612"/>
      <c r="O19" s="613">
        <f t="shared" si="2"/>
        <v>1.1469141708557379E-3</v>
      </c>
      <c r="P19" s="613">
        <f t="shared" si="3"/>
        <v>3.7434500792681192E-4</v>
      </c>
      <c r="Q19" s="10"/>
    </row>
    <row r="20" spans="2:17" x14ac:dyDescent="0.35">
      <c r="B20" s="615"/>
      <c r="C20" s="616" t="s">
        <v>6</v>
      </c>
      <c r="D20" s="617">
        <f>SUM(D14:D19)</f>
        <v>540683.75798851415</v>
      </c>
      <c r="E20" s="618">
        <f t="shared" ref="E20:G20" si="6">SUM(E14:E19)</f>
        <v>5355.1091163615765</v>
      </c>
      <c r="F20" s="618">
        <f t="shared" si="6"/>
        <v>0</v>
      </c>
      <c r="G20" s="618">
        <f t="shared" si="6"/>
        <v>4502.5770971797192</v>
      </c>
      <c r="H20" s="624">
        <f>SUM(H14:H19)</f>
        <v>550541.44420205534</v>
      </c>
      <c r="I20" s="617">
        <f t="shared" ref="I20" si="7">SUM(I14:I19)</f>
        <v>36653.963128185576</v>
      </c>
      <c r="J20" s="617">
        <f>SUM(J14:J19)</f>
        <v>587195.40733024094</v>
      </c>
      <c r="K20" s="619"/>
      <c r="L20" s="620">
        <f t="shared" si="0"/>
        <v>0.65052521874796065</v>
      </c>
      <c r="M20" s="621">
        <f t="shared" si="1"/>
        <v>0.69383590431587849</v>
      </c>
      <c r="N20" s="622"/>
      <c r="O20" s="623">
        <f t="shared" si="2"/>
        <v>0.14023608488441561</v>
      </c>
      <c r="P20" s="623">
        <f t="shared" si="3"/>
        <v>4.8819523723272029E-2</v>
      </c>
      <c r="Q20" s="10"/>
    </row>
    <row r="21" spans="2:17" x14ac:dyDescent="0.35">
      <c r="B21" s="590" t="s">
        <v>249</v>
      </c>
      <c r="C21" s="603" t="s">
        <v>249</v>
      </c>
      <c r="D21" s="604">
        <f>'Gaz synth. - Emissions'!E14</f>
        <v>0</v>
      </c>
      <c r="E21" s="606">
        <f>'Gaz synth. - Emissions'!F14</f>
        <v>0</v>
      </c>
      <c r="F21" s="606">
        <f>'Gaz synth. - Emissions'!G14</f>
        <v>0</v>
      </c>
      <c r="G21" s="627">
        <f>'Gaz synth. - Emissions'!I14</f>
        <v>129881.17189198142</v>
      </c>
      <c r="H21" s="614">
        <f>'Gaz synth. - Emissions'!I14</f>
        <v>129881.17189198142</v>
      </c>
      <c r="I21" s="604">
        <f>'Gaz synth. - Emissions'!J14</f>
        <v>0</v>
      </c>
      <c r="J21" s="604">
        <f>'Gaz synth. - Emissions'!K14</f>
        <v>129881.17189198142</v>
      </c>
      <c r="K21" s="609"/>
      <c r="L21" s="610">
        <f t="shared" si="0"/>
        <v>0.15346887804011261</v>
      </c>
      <c r="M21" s="611">
        <f t="shared" si="1"/>
        <v>0.15346887804011261</v>
      </c>
      <c r="N21" s="612"/>
      <c r="O21" s="613">
        <f t="shared" si="2"/>
        <v>3.3083843620039105E-2</v>
      </c>
      <c r="P21" s="613">
        <f t="shared" si="3"/>
        <v>1.079834220982063E-2</v>
      </c>
      <c r="Q21" s="10"/>
    </row>
    <row r="22" spans="2:17" x14ac:dyDescent="0.35">
      <c r="B22" s="615"/>
      <c r="C22" s="616" t="s">
        <v>6</v>
      </c>
      <c r="D22" s="617">
        <f>D21</f>
        <v>0</v>
      </c>
      <c r="E22" s="618">
        <f t="shared" ref="E22:J22" si="8">E21</f>
        <v>0</v>
      </c>
      <c r="F22" s="618">
        <f t="shared" si="8"/>
        <v>0</v>
      </c>
      <c r="G22" s="618">
        <f>G21</f>
        <v>129881.17189198142</v>
      </c>
      <c r="H22" s="624">
        <f t="shared" si="8"/>
        <v>129881.17189198142</v>
      </c>
      <c r="I22" s="617">
        <f t="shared" si="8"/>
        <v>0</v>
      </c>
      <c r="J22" s="617">
        <f t="shared" si="8"/>
        <v>129881.17189198142</v>
      </c>
      <c r="K22" s="619"/>
      <c r="L22" s="620">
        <f t="shared" si="0"/>
        <v>0.15346887804011261</v>
      </c>
      <c r="M22" s="621">
        <f t="shared" si="1"/>
        <v>0.15346887804011261</v>
      </c>
      <c r="N22" s="622"/>
      <c r="O22" s="623">
        <f t="shared" si="2"/>
        <v>3.3083843620039105E-2</v>
      </c>
      <c r="P22" s="623">
        <f t="shared" si="3"/>
        <v>1.079834220982063E-2</v>
      </c>
      <c r="Q22" s="10"/>
    </row>
    <row r="23" spans="2:17" x14ac:dyDescent="0.35">
      <c r="B23" s="967" t="s">
        <v>432</v>
      </c>
      <c r="C23" s="603" t="s">
        <v>350</v>
      </c>
      <c r="D23" s="604">
        <f>'Déchets - Emissions'!G11</f>
        <v>0</v>
      </c>
      <c r="E23" s="606">
        <f>'Déchets - Emissions'!H11</f>
        <v>15245.604420255166</v>
      </c>
      <c r="F23" s="606">
        <f>'Déchets - Emissions'!I11</f>
        <v>82872.902150547321</v>
      </c>
      <c r="G23" s="606">
        <v>0</v>
      </c>
      <c r="H23" s="614">
        <f>'Déchets - Emissions'!J11</f>
        <v>98118.506570802492</v>
      </c>
      <c r="I23" s="604">
        <f>'Déchets - Emissions'!K11</f>
        <v>0</v>
      </c>
      <c r="J23" s="604">
        <f>'Déchets - Emissions'!L11</f>
        <v>98118.506570802492</v>
      </c>
      <c r="K23" s="609"/>
      <c r="L23" s="610">
        <f t="shared" si="0"/>
        <v>0.1159377983663091</v>
      </c>
      <c r="M23" s="611">
        <f t="shared" si="1"/>
        <v>0.1159377983663091</v>
      </c>
      <c r="N23" s="612"/>
      <c r="O23" s="613">
        <f t="shared" si="2"/>
        <v>2.4993132417375566E-2</v>
      </c>
      <c r="P23" s="613">
        <f t="shared" si="3"/>
        <v>8.1575889379041835E-3</v>
      </c>
      <c r="Q23" s="10"/>
    </row>
    <row r="24" spans="2:17" x14ac:dyDescent="0.35">
      <c r="B24" s="967"/>
      <c r="C24" s="603" t="s">
        <v>825</v>
      </c>
      <c r="D24" s="604">
        <f>'Déchets - Emissions'!G15</f>
        <v>0</v>
      </c>
      <c r="E24" s="606">
        <f>'Déchets - Emissions'!H15</f>
        <v>24675.943967111863</v>
      </c>
      <c r="F24" s="606">
        <f>'Déchets - Emissions'!I15</f>
        <v>0</v>
      </c>
      <c r="G24" s="606">
        <v>0</v>
      </c>
      <c r="H24" s="614">
        <f>'Déchets - Emissions'!J15</f>
        <v>24675.943967111863</v>
      </c>
      <c r="I24" s="604">
        <f>'Déchets - Emissions'!K15</f>
        <v>0</v>
      </c>
      <c r="J24" s="604">
        <f>'Déchets - Emissions'!L15</f>
        <v>24675.943967111863</v>
      </c>
      <c r="K24" s="609"/>
      <c r="L24" s="610">
        <f t="shared" si="0"/>
        <v>2.9157339590089912E-2</v>
      </c>
      <c r="M24" s="611">
        <f t="shared" si="1"/>
        <v>2.9157339590089912E-2</v>
      </c>
      <c r="N24" s="612"/>
      <c r="O24" s="613">
        <f t="shared" si="2"/>
        <v>6.2855536294647296E-3</v>
      </c>
      <c r="P24" s="613">
        <f t="shared" si="3"/>
        <v>2.0515620811370535E-3</v>
      </c>
      <c r="Q24" s="10"/>
    </row>
    <row r="25" spans="2:17" x14ac:dyDescent="0.35">
      <c r="B25" s="969"/>
      <c r="C25" s="603" t="s">
        <v>362</v>
      </c>
      <c r="D25" s="604">
        <f>'Déchets - Emissions'!G14</f>
        <v>0</v>
      </c>
      <c r="E25" s="606">
        <f>'Déchets - Emissions'!H14</f>
        <v>5717.0321600000007</v>
      </c>
      <c r="F25" s="606">
        <f>'Déchets - Emissions'!I14</f>
        <v>2116.4013000000004</v>
      </c>
      <c r="G25" s="606">
        <v>0</v>
      </c>
      <c r="H25" s="614">
        <f>'Déchets - Emissions'!J14</f>
        <v>7833.4334600000002</v>
      </c>
      <c r="I25" s="604">
        <f>'Déchets - Emissions'!K14</f>
        <v>0</v>
      </c>
      <c r="J25" s="604">
        <f>'Déchets - Emissions'!L14</f>
        <v>7833.4334600000002</v>
      </c>
      <c r="K25" s="609"/>
      <c r="L25" s="610">
        <f t="shared" si="0"/>
        <v>9.2560624977106303E-3</v>
      </c>
      <c r="M25" s="611">
        <f t="shared" si="1"/>
        <v>9.2560624977106303E-3</v>
      </c>
      <c r="N25" s="612"/>
      <c r="O25" s="613">
        <f t="shared" si="2"/>
        <v>1.9953630216253218E-3</v>
      </c>
      <c r="P25" s="613">
        <f t="shared" si="3"/>
        <v>6.5127295932692112E-4</v>
      </c>
      <c r="Q25" s="10"/>
    </row>
    <row r="26" spans="2:17" x14ac:dyDescent="0.35">
      <c r="B26" s="615"/>
      <c r="C26" s="616" t="s">
        <v>6</v>
      </c>
      <c r="D26" s="617">
        <f>SUM(D23:D25)</f>
        <v>0</v>
      </c>
      <c r="E26" s="618">
        <f t="shared" ref="E26:J26" si="9">SUM(E23:E25)</f>
        <v>45638.580547367033</v>
      </c>
      <c r="F26" s="618">
        <f t="shared" si="9"/>
        <v>84989.303450547319</v>
      </c>
      <c r="G26" s="618">
        <f t="shared" si="9"/>
        <v>0</v>
      </c>
      <c r="H26" s="624">
        <f t="shared" si="9"/>
        <v>130627.88399791435</v>
      </c>
      <c r="I26" s="617">
        <f t="shared" si="9"/>
        <v>0</v>
      </c>
      <c r="J26" s="617">
        <f t="shared" si="9"/>
        <v>130627.88399791435</v>
      </c>
      <c r="K26" s="619"/>
      <c r="L26" s="620">
        <f t="shared" si="0"/>
        <v>0.15435120045410963</v>
      </c>
      <c r="M26" s="621">
        <f t="shared" si="1"/>
        <v>0.15435120045410963</v>
      </c>
      <c r="N26" s="622"/>
      <c r="O26" s="623">
        <f t="shared" si="2"/>
        <v>3.3274049068465615E-2</v>
      </c>
      <c r="P26" s="623">
        <f t="shared" si="3"/>
        <v>1.0860423978368158E-2</v>
      </c>
      <c r="Q26" s="10"/>
    </row>
    <row r="27" spans="2:17" x14ac:dyDescent="0.35">
      <c r="B27" s="969" t="s">
        <v>0</v>
      </c>
      <c r="C27" s="603" t="s">
        <v>36</v>
      </c>
      <c r="D27" s="604">
        <f>'Agriculture - Emissions'!E10</f>
        <v>0</v>
      </c>
      <c r="E27" s="606">
        <f>'Agriculture - Emissions'!F10</f>
        <v>248199.25231204016</v>
      </c>
      <c r="F27" s="606">
        <f>'Agriculture - Emissions'!G10</f>
        <v>0</v>
      </c>
      <c r="G27" s="606">
        <v>0</v>
      </c>
      <c r="H27" s="614">
        <f>'Agriculture - Emissions'!H10</f>
        <v>248199.25231204016</v>
      </c>
      <c r="I27" s="604">
        <f>'Agriculture - Emissions'!I10</f>
        <v>0</v>
      </c>
      <c r="J27" s="604">
        <f>'Agriculture - Emissions'!J10</f>
        <v>248199.25231204016</v>
      </c>
      <c r="K27" s="609"/>
      <c r="L27" s="610">
        <f t="shared" si="0"/>
        <v>0.29327469276611351</v>
      </c>
      <c r="M27" s="611">
        <f t="shared" si="1"/>
        <v>0.29327469276611351</v>
      </c>
      <c r="N27" s="612"/>
      <c r="O27" s="613">
        <f t="shared" si="2"/>
        <v>6.3222291041008988E-2</v>
      </c>
      <c r="P27" s="613">
        <f t="shared" si="3"/>
        <v>2.063532707355014E-2</v>
      </c>
      <c r="Q27" s="10"/>
    </row>
    <row r="28" spans="2:17" s="684" customFormat="1" x14ac:dyDescent="0.35">
      <c r="B28" s="969"/>
      <c r="C28" s="603" t="s">
        <v>819</v>
      </c>
      <c r="D28" s="604">
        <f>'Agriculture - Emissions'!E11</f>
        <v>4789.230519006197</v>
      </c>
      <c r="E28" s="606">
        <f>'Agriculture - Emissions'!F11</f>
        <v>34714.208853981312</v>
      </c>
      <c r="F28" s="606">
        <f>'Agriculture - Emissions'!G11</f>
        <v>23932.812976062098</v>
      </c>
      <c r="G28" s="627">
        <v>0</v>
      </c>
      <c r="H28" s="606">
        <f>'Agriculture - Emissions'!H11</f>
        <v>63436.25234904961</v>
      </c>
      <c r="I28" s="604">
        <v>0</v>
      </c>
      <c r="J28" s="604">
        <f>H28+I28</f>
        <v>63436.25234904961</v>
      </c>
      <c r="K28" s="609"/>
      <c r="L28" s="610">
        <f t="shared" si="0"/>
        <v>7.495690355469567E-2</v>
      </c>
      <c r="M28" s="611">
        <f t="shared" si="1"/>
        <v>7.495690355469567E-2</v>
      </c>
      <c r="N28" s="612"/>
      <c r="O28" s="613">
        <f t="shared" si="2"/>
        <v>1.6158732031635339E-2</v>
      </c>
      <c r="P28" s="613">
        <f t="shared" si="3"/>
        <v>5.2741005597275971E-3</v>
      </c>
      <c r="Q28" s="10"/>
    </row>
    <row r="29" spans="2:17" x14ac:dyDescent="0.35">
      <c r="B29" s="969"/>
      <c r="C29" s="603" t="s">
        <v>820</v>
      </c>
      <c r="D29" s="604">
        <f>'Agriculture - Emissions'!E12</f>
        <v>0</v>
      </c>
      <c r="E29" s="606">
        <f>'Agriculture - Emissions'!F12</f>
        <v>0</v>
      </c>
      <c r="F29" s="606">
        <f>'Agriculture - Emissions'!G12</f>
        <v>146562.23755935265</v>
      </c>
      <c r="G29" s="627">
        <v>0</v>
      </c>
      <c r="H29" s="614">
        <f>'Agriculture - Emissions'!H12</f>
        <v>146562.23755935265</v>
      </c>
      <c r="I29" s="604">
        <f>'Agriculture - Emissions'!I11</f>
        <v>0</v>
      </c>
      <c r="J29" s="604">
        <f>H29</f>
        <v>146562.23755935265</v>
      </c>
      <c r="K29" s="609"/>
      <c r="L29" s="610">
        <f t="shared" si="0"/>
        <v>0.17317939031216084</v>
      </c>
      <c r="M29" s="611">
        <f t="shared" si="1"/>
        <v>0.17317939031216084</v>
      </c>
      <c r="N29" s="612"/>
      <c r="O29" s="613">
        <f t="shared" si="2"/>
        <v>3.7332910362475727E-2</v>
      </c>
      <c r="P29" s="613">
        <f t="shared" si="3"/>
        <v>1.2185208780831952E-2</v>
      </c>
      <c r="Q29" s="10"/>
    </row>
    <row r="30" spans="2:17" x14ac:dyDescent="0.35">
      <c r="B30" s="969"/>
      <c r="C30" s="603" t="s">
        <v>240</v>
      </c>
      <c r="D30" s="604">
        <f>'Agriculture - Emissions'!E14</f>
        <v>39457.629103506828</v>
      </c>
      <c r="E30" s="606">
        <f>'Agriculture - Emissions'!F14</f>
        <v>0</v>
      </c>
      <c r="F30" s="606">
        <f>'Agriculture - Emissions'!G14</f>
        <v>0</v>
      </c>
      <c r="G30" s="606">
        <v>0</v>
      </c>
      <c r="H30" s="614">
        <f>'Agriculture - Emissions'!H14</f>
        <v>39457.629103506828</v>
      </c>
      <c r="I30" s="604">
        <f>'Agriculture - Emissions'!I14</f>
        <v>0</v>
      </c>
      <c r="J30" s="604">
        <f>'Agriculture - Emissions'!J14</f>
        <v>39457.629103506828</v>
      </c>
      <c r="K30" s="609"/>
      <c r="L30" s="610">
        <f t="shared" si="0"/>
        <v>4.6623525030050503E-2</v>
      </c>
      <c r="M30" s="611">
        <f t="shared" si="1"/>
        <v>4.6623525030050503E-2</v>
      </c>
      <c r="N30" s="612"/>
      <c r="O30" s="613">
        <f t="shared" si="2"/>
        <v>1.0050802682652087E-2</v>
      </c>
      <c r="P30" s="613">
        <f t="shared" si="3"/>
        <v>3.2805138392360761E-3</v>
      </c>
      <c r="Q30" s="10"/>
    </row>
    <row r="31" spans="2:17" x14ac:dyDescent="0.35">
      <c r="B31" s="969"/>
      <c r="C31" s="603" t="s">
        <v>247</v>
      </c>
      <c r="D31" s="604">
        <f>'Agriculture - Emissions'!E15</f>
        <v>36576.148000000001</v>
      </c>
      <c r="E31" s="606">
        <f>'Agriculture - Emissions'!F15</f>
        <v>0</v>
      </c>
      <c r="F31" s="606">
        <f>'Agriculture - Emissions'!G15</f>
        <v>0</v>
      </c>
      <c r="G31" s="606">
        <v>0</v>
      </c>
      <c r="H31" s="614">
        <f>'Agriculture - Emissions'!H15</f>
        <v>36576.148000000001</v>
      </c>
      <c r="I31" s="604">
        <f>'Agriculture - Emissions'!I15</f>
        <v>0</v>
      </c>
      <c r="J31" s="604">
        <f>'Agriculture - Emissions'!J15</f>
        <v>36576.148000000001</v>
      </c>
      <c r="K31" s="609"/>
      <c r="L31" s="610">
        <f t="shared" si="0"/>
        <v>4.3218738442378203E-2</v>
      </c>
      <c r="M31" s="611">
        <f t="shared" si="1"/>
        <v>4.3218738442378203E-2</v>
      </c>
      <c r="N31" s="612"/>
      <c r="O31" s="613">
        <f t="shared" si="2"/>
        <v>9.3168204677256516E-3</v>
      </c>
      <c r="P31" s="613">
        <f t="shared" si="3"/>
        <v>3.0409470215554046E-3</v>
      </c>
      <c r="Q31" s="10"/>
    </row>
    <row r="32" spans="2:17" x14ac:dyDescent="0.35">
      <c r="B32" s="615"/>
      <c r="C32" s="616" t="s">
        <v>6</v>
      </c>
      <c r="D32" s="617">
        <f t="shared" ref="D32:J32" si="10">SUM(D27:D31)</f>
        <v>80823.007622513018</v>
      </c>
      <c r="E32" s="618">
        <f t="shared" si="10"/>
        <v>282913.46116602147</v>
      </c>
      <c r="F32" s="618">
        <f t="shared" si="10"/>
        <v>170495.05053541475</v>
      </c>
      <c r="G32" s="618">
        <f t="shared" si="10"/>
        <v>0</v>
      </c>
      <c r="H32" s="624">
        <f t="shared" si="10"/>
        <v>534231.51932394924</v>
      </c>
      <c r="I32" s="617">
        <f t="shared" si="10"/>
        <v>0</v>
      </c>
      <c r="J32" s="617">
        <f t="shared" si="10"/>
        <v>534231.51932394924</v>
      </c>
      <c r="K32" s="619"/>
      <c r="L32" s="620">
        <f t="shared" si="0"/>
        <v>0.63125325010539868</v>
      </c>
      <c r="M32" s="621">
        <f t="shared" si="1"/>
        <v>0.63125325010539868</v>
      </c>
      <c r="N32" s="622"/>
      <c r="O32" s="623">
        <f t="shared" si="2"/>
        <v>0.13608155658549778</v>
      </c>
      <c r="P32" s="623">
        <f t="shared" si="3"/>
        <v>4.4416097274901173E-2</v>
      </c>
      <c r="Q32" s="10"/>
    </row>
    <row r="33" spans="2:18" x14ac:dyDescent="0.35">
      <c r="B33" s="967" t="s">
        <v>496</v>
      </c>
      <c r="C33" s="603" t="s">
        <v>351</v>
      </c>
      <c r="D33" s="604">
        <f>'Consommation - Emissions'!E12</f>
        <v>0</v>
      </c>
      <c r="E33" s="606">
        <f>'Consommation - Emissions'!F12</f>
        <v>0</v>
      </c>
      <c r="F33" s="606">
        <f>'Consommation - Emissions'!G12</f>
        <v>0</v>
      </c>
      <c r="G33" s="606">
        <v>0</v>
      </c>
      <c r="H33" s="614">
        <f>'Consommation - Emissions'!H12</f>
        <v>0</v>
      </c>
      <c r="I33" s="604">
        <f>'Consommation - Emissions'!I12</f>
        <v>1738929.3932649274</v>
      </c>
      <c r="J33" s="604">
        <f>'Consommation - Emissions'!J12</f>
        <v>1738929.3932649274</v>
      </c>
      <c r="K33" s="609"/>
      <c r="L33" s="610">
        <f t="shared" si="0"/>
        <v>0</v>
      </c>
      <c r="M33" s="611">
        <f t="shared" si="1"/>
        <v>2.0547361799082924</v>
      </c>
      <c r="N33" s="612"/>
      <c r="O33" s="613">
        <f t="shared" si="2"/>
        <v>0</v>
      </c>
      <c r="P33" s="613">
        <f t="shared" si="3"/>
        <v>0.14457487866530197</v>
      </c>
      <c r="Q33" s="10"/>
      <c r="R33" s="963" t="s">
        <v>888</v>
      </c>
    </row>
    <row r="34" spans="2:18" x14ac:dyDescent="0.35">
      <c r="B34" s="967"/>
      <c r="C34" s="603" t="s">
        <v>352</v>
      </c>
      <c r="D34" s="604">
        <f>'Consommation - Emissions'!E15</f>
        <v>0</v>
      </c>
      <c r="E34" s="606">
        <f>'Consommation - Emissions'!F15</f>
        <v>0</v>
      </c>
      <c r="F34" s="606">
        <f>'Consommation - Emissions'!G15</f>
        <v>0</v>
      </c>
      <c r="G34" s="606">
        <v>0</v>
      </c>
      <c r="H34" s="614">
        <f>'Consommation - Emissions'!H15</f>
        <v>0</v>
      </c>
      <c r="I34" s="604">
        <f>'Consommation - Emissions'!I15</f>
        <v>1349321.6240624855</v>
      </c>
      <c r="J34" s="604">
        <f>'Consommation - Emissions'!J15</f>
        <v>1349321.6240624855</v>
      </c>
      <c r="K34" s="609"/>
      <c r="L34" s="610">
        <f t="shared" si="0"/>
        <v>0</v>
      </c>
      <c r="M34" s="611">
        <f t="shared" si="1"/>
        <v>1.5943717841747997</v>
      </c>
      <c r="N34" s="612"/>
      <c r="O34" s="613">
        <f t="shared" si="2"/>
        <v>0</v>
      </c>
      <c r="P34" s="613">
        <f t="shared" si="3"/>
        <v>0.11218282400358606</v>
      </c>
      <c r="Q34" s="10"/>
    </row>
    <row r="35" spans="2:18" x14ac:dyDescent="0.35">
      <c r="B35" s="967"/>
      <c r="C35" s="603" t="s">
        <v>270</v>
      </c>
      <c r="D35" s="604">
        <f>'Consommation - Emissions'!E19</f>
        <v>0</v>
      </c>
      <c r="E35" s="606">
        <f>'Consommation - Emissions'!F19</f>
        <v>0</v>
      </c>
      <c r="F35" s="606">
        <f>'Consommation - Emissions'!G19</f>
        <v>0</v>
      </c>
      <c r="G35" s="606">
        <v>0</v>
      </c>
      <c r="H35" s="614">
        <f>'Consommation - Emissions'!H19</f>
        <v>0</v>
      </c>
      <c r="I35" s="604">
        <f>'Consommation - Emissions'!I19</f>
        <v>637099.81007763976</v>
      </c>
      <c r="J35" s="604">
        <f>'Consommation - Emissions'!J19</f>
        <v>637099.81007763976</v>
      </c>
      <c r="K35" s="609"/>
      <c r="L35" s="610">
        <f t="shared" si="0"/>
        <v>0</v>
      </c>
      <c r="M35" s="611">
        <f t="shared" si="1"/>
        <v>0.75280344046711378</v>
      </c>
      <c r="N35" s="612"/>
      <c r="O35" s="613">
        <f t="shared" si="2"/>
        <v>0</v>
      </c>
      <c r="P35" s="613">
        <f t="shared" si="3"/>
        <v>5.2968584058909446E-2</v>
      </c>
      <c r="Q35" s="10"/>
    </row>
    <row r="36" spans="2:18" x14ac:dyDescent="0.35">
      <c r="B36" s="615"/>
      <c r="C36" s="616" t="s">
        <v>6</v>
      </c>
      <c r="D36" s="617">
        <f>SUM(D33:D35)</f>
        <v>0</v>
      </c>
      <c r="E36" s="618">
        <f t="shared" ref="E36:J36" si="11">SUM(E33:E35)</f>
        <v>0</v>
      </c>
      <c r="F36" s="618">
        <f>SUM(F33:F35)</f>
        <v>0</v>
      </c>
      <c r="G36" s="618">
        <f>SUM(G33:G35)</f>
        <v>0</v>
      </c>
      <c r="H36" s="624">
        <f t="shared" si="11"/>
        <v>0</v>
      </c>
      <c r="I36" s="617">
        <f t="shared" si="11"/>
        <v>3725350.8274050527</v>
      </c>
      <c r="J36" s="617">
        <f t="shared" si="11"/>
        <v>3725350.8274050527</v>
      </c>
      <c r="K36" s="619"/>
      <c r="L36" s="620">
        <f t="shared" si="0"/>
        <v>0</v>
      </c>
      <c r="M36" s="621">
        <f t="shared" si="1"/>
        <v>4.4019114045502059</v>
      </c>
      <c r="N36" s="622"/>
      <c r="O36" s="623">
        <f t="shared" si="2"/>
        <v>0</v>
      </c>
      <c r="P36" s="623">
        <f t="shared" si="3"/>
        <v>0.30972628672779751</v>
      </c>
      <c r="Q36" s="10"/>
      <c r="R36" s="177"/>
    </row>
    <row r="37" spans="2:18" x14ac:dyDescent="0.35">
      <c r="B37" s="968" t="s">
        <v>353</v>
      </c>
      <c r="C37" s="625" t="s">
        <v>418</v>
      </c>
      <c r="D37" s="626">
        <f>'Forêt et sols - Emissions'!E13</f>
        <v>65291.909429579813</v>
      </c>
      <c r="E37" s="627">
        <f>'Forêt et sols - Emissions'!F13</f>
        <v>0</v>
      </c>
      <c r="F37" s="627">
        <f>'Forêt et sols - Emissions'!G13</f>
        <v>0</v>
      </c>
      <c r="G37" s="627">
        <v>0</v>
      </c>
      <c r="H37" s="627">
        <f>'Forêt et sols - Emissions'!I13</f>
        <v>65291.909429579813</v>
      </c>
      <c r="I37" s="626">
        <f>'Forêt et sols - Emissions'!J13</f>
        <v>0</v>
      </c>
      <c r="J37" s="626">
        <f>'Forêt et sols - Emissions'!K13</f>
        <v>65291.909429579813</v>
      </c>
      <c r="K37" s="609"/>
      <c r="L37" s="628"/>
      <c r="M37" s="629"/>
      <c r="N37" s="612"/>
      <c r="O37" s="630"/>
      <c r="P37" s="630"/>
      <c r="Q37" s="10"/>
    </row>
    <row r="38" spans="2:18" s="684" customFormat="1" x14ac:dyDescent="0.35">
      <c r="B38" s="968"/>
      <c r="C38" s="625" t="s">
        <v>769</v>
      </c>
      <c r="D38" s="626">
        <f>'Forêt et sols - Emissions'!E16</f>
        <v>93591.392113423251</v>
      </c>
      <c r="E38" s="627">
        <f>'Forêt et sols - Emissions'!F16</f>
        <v>0</v>
      </c>
      <c r="F38" s="627">
        <f>'Forêt et sols - Emissions'!G16</f>
        <v>0</v>
      </c>
      <c r="G38" s="627">
        <f>'Forêt et sols - Emissions'!H16</f>
        <v>0</v>
      </c>
      <c r="H38" s="627">
        <f>'Forêt et sols - Emissions'!I16</f>
        <v>93591.392113423251</v>
      </c>
      <c r="I38" s="626">
        <f>'Forêt et sols - Emissions'!J16</f>
        <v>0</v>
      </c>
      <c r="J38" s="626">
        <f>'Forêt et sols - Emissions'!K16</f>
        <v>93591.392113423251</v>
      </c>
      <c r="K38" s="609"/>
      <c r="L38" s="628"/>
      <c r="M38" s="629"/>
      <c r="N38" s="612"/>
      <c r="O38" s="630"/>
      <c r="P38" s="630"/>
      <c r="Q38" s="10"/>
    </row>
    <row r="39" spans="2:18" x14ac:dyDescent="0.35">
      <c r="B39" s="968"/>
      <c r="C39" s="631" t="s">
        <v>768</v>
      </c>
      <c r="D39" s="626">
        <f>'Forêt et sols - Emissions'!E19</f>
        <v>11855.674024269571</v>
      </c>
      <c r="E39" s="627">
        <f>'Forêt et sols - Emissions'!F19</f>
        <v>0</v>
      </c>
      <c r="F39" s="627">
        <f>'Forêt et sols - Emissions'!G19</f>
        <v>0</v>
      </c>
      <c r="G39" s="627">
        <v>0</v>
      </c>
      <c r="H39" s="627">
        <f>'Forêt et sols - Emissions'!I19</f>
        <v>11855.674024269571</v>
      </c>
      <c r="I39" s="626">
        <f>'Forêt et sols - Emissions'!J19</f>
        <v>0</v>
      </c>
      <c r="J39" s="626">
        <f>'Forêt et sols - Emissions'!K19</f>
        <v>11855.674024269571</v>
      </c>
      <c r="K39" s="609"/>
      <c r="L39" s="628"/>
      <c r="M39" s="629"/>
      <c r="N39" s="612"/>
      <c r="O39" s="630"/>
      <c r="P39" s="630"/>
      <c r="Q39" s="10"/>
    </row>
    <row r="40" spans="2:18" x14ac:dyDescent="0.35">
      <c r="B40" s="615"/>
      <c r="C40" s="616"/>
      <c r="D40" s="632">
        <f>SUM(D37:D39)</f>
        <v>170738.97556727263</v>
      </c>
      <c r="E40" s="618">
        <f t="shared" ref="E40:J40" si="12">SUM(E37:E39)</f>
        <v>0</v>
      </c>
      <c r="F40" s="633">
        <f t="shared" si="12"/>
        <v>0</v>
      </c>
      <c r="G40" s="633">
        <f t="shared" si="12"/>
        <v>0</v>
      </c>
      <c r="H40" s="633">
        <f t="shared" si="12"/>
        <v>170738.97556727263</v>
      </c>
      <c r="I40" s="617">
        <f t="shared" si="12"/>
        <v>0</v>
      </c>
      <c r="J40" s="632">
        <f t="shared" si="12"/>
        <v>170738.97556727263</v>
      </c>
      <c r="K40" s="619"/>
      <c r="L40" s="620">
        <f>H40/POP_VD_2023</f>
        <v>0.20174686320061802</v>
      </c>
      <c r="M40" s="621">
        <f t="shared" si="1"/>
        <v>0.20174686320061802</v>
      </c>
      <c r="N40" s="622"/>
      <c r="O40" s="623"/>
      <c r="P40" s="623"/>
      <c r="Q40" s="10"/>
    </row>
    <row r="41" spans="2:18" x14ac:dyDescent="0.35">
      <c r="B41" s="634"/>
      <c r="C41" s="635" t="s">
        <v>354</v>
      </c>
      <c r="D41" s="641">
        <f t="shared" ref="D41:J41" si="13">D36+D32+D20+D10+D13+D26+D22</f>
        <v>3202043.444398365</v>
      </c>
      <c r="E41" s="636">
        <f t="shared" si="13"/>
        <v>333907.15082975011</v>
      </c>
      <c r="F41" s="636">
        <f t="shared" si="13"/>
        <v>255484.35398596205</v>
      </c>
      <c r="G41" s="636">
        <f t="shared" si="13"/>
        <v>134383.74898916113</v>
      </c>
      <c r="H41" s="642">
        <f t="shared" si="13"/>
        <v>3925818.6982032382</v>
      </c>
      <c r="I41" s="641">
        <f t="shared" si="13"/>
        <v>8102062.0049902648</v>
      </c>
      <c r="J41" s="641">
        <f t="shared" si="13"/>
        <v>12027880.703193501</v>
      </c>
      <c r="K41" s="609"/>
      <c r="L41" s="637">
        <f t="shared" si="0"/>
        <v>4.6387862245593343</v>
      </c>
      <c r="M41" s="638">
        <f t="shared" si="1"/>
        <v>14.212262869437424</v>
      </c>
      <c r="N41" s="612"/>
      <c r="O41" s="643">
        <f>H41/$H$41</f>
        <v>1</v>
      </c>
      <c r="P41" s="643">
        <f t="shared" ref="P41" si="14">J41/$J$41</f>
        <v>1</v>
      </c>
      <c r="Q41" s="10"/>
      <c r="R41" s="177"/>
    </row>
    <row r="42" spans="2:18" x14ac:dyDescent="0.35">
      <c r="B42" s="634"/>
      <c r="C42" s="635" t="s">
        <v>7</v>
      </c>
      <c r="D42" s="641">
        <f>D41+D40</f>
        <v>3372782.4199656378</v>
      </c>
      <c r="E42" s="636">
        <f t="shared" ref="E42:J42" si="15">E41+E40</f>
        <v>333907.15082975011</v>
      </c>
      <c r="F42" s="636">
        <f t="shared" si="15"/>
        <v>255484.35398596205</v>
      </c>
      <c r="G42" s="636">
        <f t="shared" si="15"/>
        <v>134383.74898916113</v>
      </c>
      <c r="H42" s="642">
        <f t="shared" si="15"/>
        <v>4096557.6737705106</v>
      </c>
      <c r="I42" s="641">
        <f t="shared" si="15"/>
        <v>8102062.0049902648</v>
      </c>
      <c r="J42" s="641">
        <f t="shared" si="15"/>
        <v>12198619.678760773</v>
      </c>
      <c r="K42" s="609"/>
      <c r="L42" s="637">
        <f>H42/POP_VD_2023</f>
        <v>4.8405330877599519</v>
      </c>
      <c r="M42" s="638">
        <f t="shared" si="1"/>
        <v>14.414009732638041</v>
      </c>
      <c r="N42" s="612"/>
      <c r="O42" s="591"/>
      <c r="P42" s="591"/>
    </row>
    <row r="43" spans="2:18" x14ac:dyDescent="0.35">
      <c r="B43" s="639"/>
      <c r="C43" s="639" t="s">
        <v>690</v>
      </c>
      <c r="D43" s="639"/>
      <c r="E43" s="639"/>
      <c r="F43" s="591"/>
      <c r="G43" s="591"/>
      <c r="H43" s="640">
        <f>H41/J41</f>
        <v>0.32639321881209721</v>
      </c>
      <c r="I43" s="640">
        <f>I41/J41</f>
        <v>0.67360678118790296</v>
      </c>
      <c r="J43" s="962">
        <f>H43+I43</f>
        <v>1.0000000000000002</v>
      </c>
      <c r="K43" s="591"/>
      <c r="L43" s="591"/>
      <c r="M43" s="591"/>
      <c r="N43" s="591"/>
      <c r="O43" s="591"/>
      <c r="P43" s="591"/>
    </row>
    <row r="44" spans="2:18" x14ac:dyDescent="0.35">
      <c r="B44" s="591"/>
      <c r="C44" s="680" t="s">
        <v>736</v>
      </c>
      <c r="D44" s="681">
        <f>D41/$H$41</f>
        <v>0.81563711688058105</v>
      </c>
      <c r="E44" s="681">
        <f>E41/$H$41</f>
        <v>8.5054144497954565E-2</v>
      </c>
      <c r="F44" s="681">
        <f>F41/$H$41</f>
        <v>6.5077980830569607E-2</v>
      </c>
      <c r="G44" s="681">
        <f>G41/$H$41</f>
        <v>3.4230757790894836E-2</v>
      </c>
      <c r="H44" s="682">
        <f>SUM(D44:G44)</f>
        <v>1</v>
      </c>
      <c r="I44" s="591"/>
      <c r="J44" s="591"/>
      <c r="K44" s="591"/>
      <c r="L44" s="591"/>
      <c r="M44" s="591"/>
      <c r="N44" s="591"/>
      <c r="O44" s="591"/>
      <c r="P44" s="591"/>
    </row>
    <row r="47" spans="2:18" x14ac:dyDescent="0.35">
      <c r="C47" s="33" t="s">
        <v>796</v>
      </c>
      <c r="D47" s="162">
        <f>'Chaleur du bâtiment - Calcul'!C139+'Industrie - Calcul'!C108+'Industrie - Calcul'!D108</f>
        <v>346876.60166116233</v>
      </c>
      <c r="E47" t="s">
        <v>809</v>
      </c>
    </row>
  </sheetData>
  <sheetProtection algorithmName="SHA-512" hashValue="9prPUgXhtSBTO94lkqrCa2hY77fI+rToODl3F9WMSOUgw+bFTKfidIAZrtD+7QiKdNiunlJ33KtoaVI5zchZlQ==" saltValue="WLDU4o3WeSfp+k2sOZpT6w==" spinCount="100000" sheet="1" objects="1" scenarios="1"/>
  <mergeCells count="10">
    <mergeCell ref="L4:M4"/>
    <mergeCell ref="O4:P4"/>
    <mergeCell ref="B33:B35"/>
    <mergeCell ref="B37:B39"/>
    <mergeCell ref="D4:H4"/>
    <mergeCell ref="B23:B25"/>
    <mergeCell ref="B14:B19"/>
    <mergeCell ref="B11:B12"/>
    <mergeCell ref="B6:B9"/>
    <mergeCell ref="B27:B31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2F63-36AF-42B8-92D4-17CDC7C5F581}">
  <sheetPr>
    <tabColor theme="7" tint="0.79998168889431442"/>
  </sheetPr>
  <dimension ref="A3:M17"/>
  <sheetViews>
    <sheetView workbookViewId="0">
      <selection activeCell="H24" sqref="H24"/>
    </sheetView>
  </sheetViews>
  <sheetFormatPr baseColWidth="10" defaultRowHeight="14.5" x14ac:dyDescent="0.35"/>
  <cols>
    <col min="3" max="3" width="25.1796875" customWidth="1"/>
    <col min="4" max="4" width="24.1796875" style="413" customWidth="1"/>
    <col min="5" max="5" width="21.7265625" customWidth="1"/>
    <col min="6" max="6" width="35.81640625" customWidth="1"/>
    <col min="7" max="7" width="33.1796875" style="413" customWidth="1"/>
    <col min="8" max="8" width="41.7265625" customWidth="1"/>
    <col min="9" max="9" width="33.26953125" customWidth="1"/>
    <col min="10" max="10" width="31.54296875" customWidth="1"/>
    <col min="11" max="11" width="32.1796875" customWidth="1"/>
  </cols>
  <sheetData>
    <row r="3" spans="1:13" s="189" customFormat="1" ht="36" x14ac:dyDescent="0.8">
      <c r="A3" s="189" t="s">
        <v>157</v>
      </c>
    </row>
    <row r="6" spans="1:13" x14ac:dyDescent="0.35">
      <c r="B6" s="124"/>
      <c r="C6" s="124" t="s">
        <v>189</v>
      </c>
      <c r="D6" s="124" t="s">
        <v>533</v>
      </c>
      <c r="E6" s="124" t="s">
        <v>190</v>
      </c>
      <c r="F6" s="1004" t="s">
        <v>707</v>
      </c>
      <c r="G6" s="1004"/>
    </row>
    <row r="7" spans="1:13" x14ac:dyDescent="0.35">
      <c r="B7" s="190" t="s">
        <v>38</v>
      </c>
      <c r="C7" s="190" t="s">
        <v>188</v>
      </c>
      <c r="D7" s="190" t="s">
        <v>498</v>
      </c>
      <c r="E7" s="190" t="s">
        <v>160</v>
      </c>
      <c r="F7" s="190" t="s">
        <v>706</v>
      </c>
      <c r="G7" s="190" t="s">
        <v>479</v>
      </c>
      <c r="H7" s="190" t="s">
        <v>161</v>
      </c>
      <c r="I7" s="190" t="s">
        <v>709</v>
      </c>
    </row>
    <row r="8" spans="1:13" x14ac:dyDescent="0.35">
      <c r="B8">
        <v>2015</v>
      </c>
      <c r="C8">
        <v>4182</v>
      </c>
      <c r="D8" s="39">
        <f>21510.45/1000</f>
        <v>21.510450000000002</v>
      </c>
      <c r="E8" s="39">
        <v>116.56</v>
      </c>
      <c r="F8" s="162">
        <f>'Chaleur du bâtiment - Calcul'!D63*1000</f>
        <v>475431.31725329062</v>
      </c>
      <c r="G8" s="162">
        <f>'Chaleur du bâtiment - Calcul'!D123*'Chaleur du bâtiment - Calcul'!D65 / 'Chaleur du bâtiment - Calcul'!$G$110 *1000</f>
        <v>5473.5122414533844</v>
      </c>
      <c r="H8" s="162">
        <f>'Transports - Calcul'!J207*10^6*L10/(100*1000)</f>
        <v>3212.3351547914349</v>
      </c>
      <c r="I8" s="277">
        <f>(C8+D8-E8)*1000-SUM(F8:H8)</f>
        <v>3602833.2853504643</v>
      </c>
    </row>
    <row r="9" spans="1:13" x14ac:dyDescent="0.35">
      <c r="B9">
        <v>2019</v>
      </c>
      <c r="C9">
        <v>4380</v>
      </c>
      <c r="D9" s="39">
        <f>15723.75/1000</f>
        <v>15.723750000000001</v>
      </c>
      <c r="E9" s="39">
        <v>169.74</v>
      </c>
      <c r="F9" s="162">
        <f>'Chaleur du bâtiment - Calcul'!E63*1000</f>
        <v>580577.35421476688</v>
      </c>
      <c r="G9" s="162">
        <f>'Chaleur du bâtiment - Calcul'!D123*'Chaleur du bâtiment - Calcul'!E65 / 'Chaleur du bâtiment - Calcul'!$G$110 *1000</f>
        <v>5831.8602624690648</v>
      </c>
      <c r="H9" s="162">
        <f>'Transports - Calcul'!K207*10^6*'Electricité - Calcul'!L10/(100*1000)</f>
        <v>9362.7091081245835</v>
      </c>
      <c r="I9" s="277">
        <f>(C9+D9-E9)*1000-SUM(F9:H9)</f>
        <v>3630211.8264146396</v>
      </c>
      <c r="K9" s="85" t="s">
        <v>708</v>
      </c>
      <c r="L9" s="85">
        <v>1.6</v>
      </c>
    </row>
    <row r="10" spans="1:13" x14ac:dyDescent="0.35">
      <c r="B10">
        <v>2023</v>
      </c>
      <c r="C10">
        <v>4377</v>
      </c>
      <c r="D10" s="39">
        <f>15195/1000</f>
        <v>15.195</v>
      </c>
      <c r="E10" s="39">
        <v>206.33</v>
      </c>
      <c r="F10" s="162">
        <f>'Chaleur du bâtiment - Calcul'!F63*1000</f>
        <v>709267.5419462428</v>
      </c>
      <c r="G10" s="277">
        <f>'Chaleur du bâtiment - Calcul'!D101*'Chaleur du bâtiment - Calcul'!F65/ 'Chaleur du bâtiment - Calcul'!$G$110 *1000</f>
        <v>9271.0688075044545</v>
      </c>
      <c r="H10" s="162">
        <f>'Transports - Calcul'!M207*10^6*'Electricité - Calcul'!L10/(100*1000)</f>
        <v>42442.850732437662</v>
      </c>
      <c r="I10" s="277">
        <f>(C10+D10-E10)*1000-SUM(F10:H10)</f>
        <v>3424883.538513815</v>
      </c>
      <c r="K10" s="85" t="s">
        <v>705</v>
      </c>
      <c r="L10" s="576">
        <f>20.9037688993676/L9</f>
        <v>13.064855562104748</v>
      </c>
      <c r="M10" t="s">
        <v>704</v>
      </c>
    </row>
    <row r="12" spans="1:13" s="413" customFormat="1" x14ac:dyDescent="0.35"/>
    <row r="13" spans="1:13" x14ac:dyDescent="0.35">
      <c r="D13" s="124"/>
    </row>
    <row r="14" spans="1:13" x14ac:dyDescent="0.35">
      <c r="B14" s="413"/>
      <c r="C14" s="413"/>
      <c r="E14" s="413"/>
      <c r="F14" s="413"/>
      <c r="H14" s="413"/>
      <c r="I14" s="413"/>
      <c r="J14" s="413"/>
      <c r="K14" s="413"/>
      <c r="L14" s="413"/>
      <c r="M14" s="413"/>
    </row>
    <row r="15" spans="1:13" x14ac:dyDescent="0.35">
      <c r="B15" s="413"/>
    </row>
    <row r="16" spans="1:13" x14ac:dyDescent="0.35">
      <c r="B16" s="413"/>
    </row>
    <row r="17" spans="2:2" x14ac:dyDescent="0.35">
      <c r="B17" s="413"/>
    </row>
  </sheetData>
  <mergeCells count="1">
    <mergeCell ref="F6:G6"/>
  </mergeCells>
  <phoneticPr fontId="16" type="noConversion"/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EDFC3-AE21-41BF-9D77-7E6A695A4D7C}">
  <sheetPr>
    <tabColor theme="5"/>
  </sheetPr>
  <dimension ref="A2:O54"/>
  <sheetViews>
    <sheetView workbookViewId="0">
      <selection activeCell="G18" sqref="G18"/>
    </sheetView>
  </sheetViews>
  <sheetFormatPr baseColWidth="10" defaultRowHeight="14.5" x14ac:dyDescent="0.35"/>
  <cols>
    <col min="3" max="3" width="32.453125" customWidth="1"/>
    <col min="4" max="4" width="32.81640625" customWidth="1"/>
    <col min="5" max="5" width="19.1796875" customWidth="1"/>
    <col min="10" max="10" width="17.453125" style="413" customWidth="1"/>
    <col min="11" max="11" width="13.81640625" style="163" customWidth="1"/>
    <col min="12" max="12" width="28.7265625" customWidth="1"/>
    <col min="13" max="13" width="28.81640625" customWidth="1"/>
    <col min="14" max="14" width="0" style="117" hidden="1" customWidth="1"/>
  </cols>
  <sheetData>
    <row r="2" spans="1:15" s="164" customFormat="1" ht="28.5" x14ac:dyDescent="0.65">
      <c r="B2" s="165" t="s">
        <v>135</v>
      </c>
      <c r="N2" s="242"/>
    </row>
    <row r="5" spans="1:15" s="167" customFormat="1" x14ac:dyDescent="0.35">
      <c r="A5" s="166">
        <v>2023</v>
      </c>
      <c r="G5" s="168"/>
      <c r="H5" s="168"/>
      <c r="I5" s="168"/>
      <c r="J5" s="168"/>
      <c r="K5" s="228"/>
      <c r="L5" s="168"/>
      <c r="M5" s="168"/>
      <c r="N5" s="169"/>
    </row>
    <row r="6" spans="1:15" x14ac:dyDescent="0.35">
      <c r="G6" s="139"/>
      <c r="H6" s="139"/>
      <c r="I6" s="139"/>
      <c r="J6" s="139"/>
      <c r="K6" s="229"/>
      <c r="L6" s="139"/>
      <c r="M6" s="139"/>
    </row>
    <row r="7" spans="1:15" ht="29" x14ac:dyDescent="0.35">
      <c r="D7" s="5"/>
      <c r="E7" s="5"/>
      <c r="F7" s="14"/>
      <c r="G7" s="970" t="s">
        <v>729</v>
      </c>
      <c r="H7" s="971"/>
      <c r="I7" s="971"/>
      <c r="J7" s="971"/>
      <c r="K7" s="972"/>
      <c r="L7" s="667" t="s">
        <v>728</v>
      </c>
      <c r="M7" s="667" t="s">
        <v>730</v>
      </c>
      <c r="N7" s="207" t="s">
        <v>118</v>
      </c>
      <c r="O7" s="10"/>
    </row>
    <row r="8" spans="1:15" ht="15" thickBot="1" x14ac:dyDescent="0.4">
      <c r="B8" s="15" t="s">
        <v>5</v>
      </c>
      <c r="C8" s="17" t="s">
        <v>340</v>
      </c>
      <c r="D8" s="9" t="s">
        <v>1</v>
      </c>
      <c r="E8" s="4" t="s">
        <v>129</v>
      </c>
      <c r="F8" s="4" t="s">
        <v>95</v>
      </c>
      <c r="G8" s="159" t="s">
        <v>48</v>
      </c>
      <c r="H8" s="160" t="s">
        <v>3</v>
      </c>
      <c r="I8" s="160" t="s">
        <v>50</v>
      </c>
      <c r="J8" s="160" t="s">
        <v>748</v>
      </c>
      <c r="K8" s="230" t="s">
        <v>4</v>
      </c>
      <c r="L8" s="159" t="s">
        <v>4</v>
      </c>
      <c r="M8" s="159" t="s">
        <v>4</v>
      </c>
      <c r="N8" s="207"/>
      <c r="O8" s="10"/>
    </row>
    <row r="9" spans="1:15" ht="15" thickTop="1" x14ac:dyDescent="0.35">
      <c r="B9" s="10">
        <v>2023</v>
      </c>
      <c r="C9" s="18"/>
      <c r="D9" s="12" t="s">
        <v>391</v>
      </c>
      <c r="E9" s="236" t="s">
        <v>884</v>
      </c>
      <c r="F9" s="290"/>
      <c r="G9">
        <v>0</v>
      </c>
      <c r="H9" s="148">
        <f>'Industrie - Calcul'!E43*CH4_PRG</f>
        <v>5355.1091163615765</v>
      </c>
      <c r="I9" s="148">
        <v>0</v>
      </c>
      <c r="J9" s="148">
        <v>0</v>
      </c>
      <c r="K9" s="231">
        <f>SUM(G9:J9)</f>
        <v>5355.1091163615765</v>
      </c>
      <c r="L9" s="649">
        <f>'Industrie - Calcul'!E47</f>
        <v>1207.4327153802012</v>
      </c>
      <c r="M9" s="148">
        <f>K9+L9</f>
        <v>6562.541831741778</v>
      </c>
      <c r="N9" s="207"/>
      <c r="O9" s="10"/>
    </row>
    <row r="10" spans="1:15" x14ac:dyDescent="0.35">
      <c r="B10" s="10">
        <v>2023</v>
      </c>
      <c r="C10" s="18"/>
      <c r="D10" s="12" t="s">
        <v>373</v>
      </c>
      <c r="E10" s="951">
        <f>'Industrie - Calcul'!E15</f>
        <v>275056.23097383743</v>
      </c>
      <c r="F10" s="148" t="s">
        <v>96</v>
      </c>
      <c r="G10" s="149">
        <f>$E10*_xlfn.XLOOKUP($N10,'Facteurs d''émissions'!$B:$B,'Facteurs d''émissions'!D:D)+'Industrie - Calcul'!E64</f>
        <v>150971.31367193611</v>
      </c>
      <c r="H10" s="148">
        <f>$E10*_xlfn.XLOOKUP($N10,'Facteurs d''émissions'!$B:$B,'Facteurs d''émissions'!E:E)</f>
        <v>0</v>
      </c>
      <c r="I10" s="148">
        <f>$E10*_xlfn.XLOOKUP($N10,'Facteurs d''émissions'!$B:$B,'Facteurs d''émissions'!F:F)</f>
        <v>0</v>
      </c>
      <c r="J10" s="148">
        <v>0</v>
      </c>
      <c r="K10" s="233">
        <f t="shared" ref="K10:K16" si="0">SUM(G10:J10)</f>
        <v>150971.31367193611</v>
      </c>
      <c r="L10" s="650">
        <f>$E10*_xlfn.XLOOKUP($N10,'Facteurs d''émissions'!$B:$B,'Facteurs d''émissions'!H:H)+'Industrie - Calcul'!K66</f>
        <v>18358.479796874111</v>
      </c>
      <c r="M10" s="148">
        <f t="shared" ref="M10:M16" si="1">K10+L10</f>
        <v>169329.79346881021</v>
      </c>
      <c r="N10" s="227" t="s">
        <v>104</v>
      </c>
      <c r="O10" s="10"/>
    </row>
    <row r="11" spans="1:15" x14ac:dyDescent="0.35">
      <c r="B11" s="10">
        <v>2023</v>
      </c>
      <c r="C11" s="18"/>
      <c r="D11" s="12" t="s">
        <v>348</v>
      </c>
      <c r="E11" s="236" t="s">
        <v>884</v>
      </c>
      <c r="F11" s="148"/>
      <c r="G11" s="149">
        <f>'Industrie - Calcul'!E65+'Industrie - Calcul'!E80</f>
        <v>244463.46</v>
      </c>
      <c r="H11" s="148">
        <v>0</v>
      </c>
      <c r="I11" s="148">
        <v>0</v>
      </c>
      <c r="J11" s="148">
        <v>0</v>
      </c>
      <c r="K11" s="231">
        <f t="shared" si="0"/>
        <v>244463.46</v>
      </c>
      <c r="L11" s="650">
        <v>0</v>
      </c>
      <c r="M11" s="148">
        <f t="shared" si="1"/>
        <v>244463.46</v>
      </c>
      <c r="N11" s="227"/>
      <c r="O11" s="10"/>
    </row>
    <row r="12" spans="1:15" x14ac:dyDescent="0.35">
      <c r="B12" s="10">
        <v>2023</v>
      </c>
      <c r="C12" s="18"/>
      <c r="D12" s="18" t="s">
        <v>216</v>
      </c>
      <c r="E12" s="148">
        <f>'Industrie - Calcul'!E92</f>
        <v>203839.31289213966</v>
      </c>
      <c r="F12" s="148" t="s">
        <v>96</v>
      </c>
      <c r="G12" s="149">
        <f>$E12*_xlfn.XLOOKUP($N12,'Facteurs d''émissions'!$B:$B,'Facteurs d''émissions'!D:D)</f>
        <v>53789.117885977961</v>
      </c>
      <c r="H12" s="148">
        <f>$E12*_xlfn.XLOOKUP($N12,'Facteurs d''émissions'!$B:$B,'Facteurs d''émissions'!E:E)</f>
        <v>0</v>
      </c>
      <c r="I12" s="148">
        <f>$E12*_xlfn.XLOOKUP($N12,'Facteurs d''émissions'!$B:$B,'Facteurs d''émissions'!F:F)</f>
        <v>0</v>
      </c>
      <c r="J12" s="148">
        <v>0</v>
      </c>
      <c r="K12" s="231">
        <f t="shared" si="0"/>
        <v>53789.117885977961</v>
      </c>
      <c r="L12" s="650">
        <f>$E12*_xlfn.XLOOKUP($N12,'Facteurs d''émissions'!$B:$B,'Facteurs d''émissions'!H:H)</f>
        <v>17088.050615931264</v>
      </c>
      <c r="M12" s="148">
        <f t="shared" si="1"/>
        <v>70877.168501909226</v>
      </c>
      <c r="N12" s="207" t="s">
        <v>170</v>
      </c>
      <c r="O12" s="10"/>
    </row>
    <row r="13" spans="1:15" x14ac:dyDescent="0.35">
      <c r="B13" s="10">
        <v>2023</v>
      </c>
      <c r="C13" s="18"/>
      <c r="D13" s="12" t="s">
        <v>138</v>
      </c>
      <c r="E13" s="231">
        <f>'Industrie - Calcul'!E53</f>
        <v>175540.03</v>
      </c>
      <c r="F13" s="148" t="s">
        <v>215</v>
      </c>
      <c r="G13" s="149">
        <f>$E13*_xlfn.XLOOKUP($N13,'Facteurs d''émissions'!$B:$B,'Facteurs d''émissions'!D:D)</f>
        <v>91459.866430599999</v>
      </c>
      <c r="H13" s="148">
        <f>$E13*_xlfn.XLOOKUP($N13,'Facteurs d''émissions'!$B:$B,'Facteurs d''émissions'!E:E)</f>
        <v>0</v>
      </c>
      <c r="I13" s="148">
        <f>$E13*_xlfn.XLOOKUP($N13,'Facteurs d''émissions'!$B:$B,'Facteurs d''émissions'!F:F)</f>
        <v>0</v>
      </c>
      <c r="J13" s="148">
        <v>0</v>
      </c>
      <c r="K13" s="231">
        <f t="shared" si="0"/>
        <v>91459.866430599999</v>
      </c>
      <c r="L13" s="650">
        <f>$E13*_xlfn.XLOOKUP($N13,'Facteurs d''émissions'!$B:$B,'Facteurs d''émissions'!H:H)</f>
        <v>0</v>
      </c>
      <c r="M13" s="148">
        <f t="shared" si="1"/>
        <v>91459.866430599999</v>
      </c>
      <c r="N13" s="207" t="s">
        <v>202</v>
      </c>
      <c r="O13" s="10"/>
    </row>
    <row r="14" spans="1:15" x14ac:dyDescent="0.35">
      <c r="B14" s="272">
        <v>2023</v>
      </c>
      <c r="D14" s="203" t="s">
        <v>372</v>
      </c>
      <c r="E14" s="236" t="s">
        <v>884</v>
      </c>
      <c r="G14" s="13">
        <v>0</v>
      </c>
      <c r="H14" s="5">
        <v>0</v>
      </c>
      <c r="I14" s="5">
        <v>0</v>
      </c>
      <c r="J14" s="225">
        <f>'Industrie - Calcul'!E102</f>
        <v>4502.5770971797192</v>
      </c>
      <c r="K14" s="574">
        <f t="shared" si="0"/>
        <v>4502.5770971797192</v>
      </c>
      <c r="L14" s="71">
        <v>0</v>
      </c>
      <c r="M14" s="225">
        <f t="shared" si="1"/>
        <v>4502.5770971797192</v>
      </c>
      <c r="N14" s="207"/>
      <c r="O14" s="10"/>
    </row>
    <row r="15" spans="1:15" x14ac:dyDescent="0.35">
      <c r="B15" s="20" t="s">
        <v>6</v>
      </c>
      <c r="C15" s="21"/>
      <c r="D15" s="22"/>
      <c r="E15" s="211"/>
      <c r="F15" s="211"/>
      <c r="G15" s="248">
        <f>SUM(G9:G14)</f>
        <v>540683.75798851415</v>
      </c>
      <c r="H15" s="243">
        <f t="shared" ref="H15:J15" si="2">SUM(H9:H14)</f>
        <v>5355.1091163615765</v>
      </c>
      <c r="I15" s="243">
        <f t="shared" si="2"/>
        <v>0</v>
      </c>
      <c r="J15" s="243">
        <f t="shared" si="2"/>
        <v>4502.5770971797192</v>
      </c>
      <c r="K15" s="247">
        <f t="shared" si="0"/>
        <v>550541.44420205546</v>
      </c>
      <c r="L15" s="248">
        <f>SUM(L9:L14)</f>
        <v>36653.963128185576</v>
      </c>
      <c r="M15" s="248">
        <f t="shared" si="1"/>
        <v>587195.40733024105</v>
      </c>
      <c r="N15" s="207"/>
      <c r="O15" s="10"/>
    </row>
    <row r="16" spans="1:15" x14ac:dyDescent="0.35">
      <c r="B16" s="170" t="s">
        <v>7</v>
      </c>
      <c r="C16" s="171"/>
      <c r="D16" s="172"/>
      <c r="E16" s="237"/>
      <c r="F16" s="237"/>
      <c r="G16" s="238">
        <f>G15</f>
        <v>540683.75798851415</v>
      </c>
      <c r="H16" s="237">
        <f t="shared" ref="H16:L16" si="3">H15</f>
        <v>5355.1091163615765</v>
      </c>
      <c r="I16" s="237">
        <f t="shared" si="3"/>
        <v>0</v>
      </c>
      <c r="J16" s="237">
        <f t="shared" si="3"/>
        <v>4502.5770971797192</v>
      </c>
      <c r="K16" s="575">
        <f t="shared" si="0"/>
        <v>550541.44420205546</v>
      </c>
      <c r="L16" s="238">
        <f t="shared" si="3"/>
        <v>36653.963128185576</v>
      </c>
      <c r="M16" s="238">
        <f t="shared" si="1"/>
        <v>587195.40733024105</v>
      </c>
      <c r="N16" s="207"/>
      <c r="O16" s="10"/>
    </row>
    <row r="17" spans="1:15" x14ac:dyDescent="0.35">
      <c r="E17" s="162"/>
      <c r="F17" s="162"/>
      <c r="G17" s="162"/>
      <c r="H17" s="162"/>
      <c r="I17" s="162"/>
      <c r="J17" s="162"/>
      <c r="K17" s="221"/>
      <c r="L17" s="162"/>
      <c r="M17" s="162"/>
    </row>
    <row r="18" spans="1:15" s="167" customFormat="1" x14ac:dyDescent="0.35">
      <c r="A18" s="166">
        <v>2019</v>
      </c>
      <c r="E18" s="239"/>
      <c r="F18" s="239"/>
      <c r="G18" s="239"/>
      <c r="H18" s="239"/>
      <c r="I18" s="239"/>
      <c r="J18" s="239"/>
      <c r="K18" s="245"/>
      <c r="L18" s="239"/>
      <c r="M18" s="239"/>
      <c r="N18" s="169"/>
    </row>
    <row r="19" spans="1:15" x14ac:dyDescent="0.35">
      <c r="E19" s="162"/>
      <c r="F19" s="162"/>
      <c r="G19" s="162"/>
      <c r="H19" s="162"/>
      <c r="I19" s="162"/>
      <c r="J19" s="162"/>
      <c r="K19" s="221"/>
      <c r="L19" s="162"/>
      <c r="M19" s="162"/>
    </row>
    <row r="20" spans="1:15" ht="30" customHeight="1" x14ac:dyDescent="0.35">
      <c r="D20" s="5"/>
      <c r="E20" s="151"/>
      <c r="F20" s="158"/>
      <c r="G20" s="970" t="s">
        <v>729</v>
      </c>
      <c r="H20" s="971"/>
      <c r="I20" s="971"/>
      <c r="J20" s="971"/>
      <c r="K20" s="972"/>
      <c r="L20" s="648" t="s">
        <v>728</v>
      </c>
      <c r="M20" s="660" t="s">
        <v>730</v>
      </c>
      <c r="O20" s="10"/>
    </row>
    <row r="21" spans="1:15" ht="15" thickBot="1" x14ac:dyDescent="0.4">
      <c r="B21" s="15" t="s">
        <v>5</v>
      </c>
      <c r="C21" s="17" t="s">
        <v>340</v>
      </c>
      <c r="D21" s="9" t="s">
        <v>1</v>
      </c>
      <c r="E21" s="240" t="s">
        <v>129</v>
      </c>
      <c r="F21" s="240" t="s">
        <v>95</v>
      </c>
      <c r="G21" s="241" t="s">
        <v>48</v>
      </c>
      <c r="H21" s="240" t="s">
        <v>3</v>
      </c>
      <c r="I21" s="240" t="s">
        <v>50</v>
      </c>
      <c r="J21" s="160" t="s">
        <v>748</v>
      </c>
      <c r="K21" s="246" t="s">
        <v>4</v>
      </c>
      <c r="L21" s="159" t="s">
        <v>4</v>
      </c>
      <c r="M21" s="666" t="s">
        <v>48</v>
      </c>
      <c r="O21" s="10"/>
    </row>
    <row r="22" spans="1:15" ht="15" thickTop="1" x14ac:dyDescent="0.35">
      <c r="B22" s="361">
        <v>2019</v>
      </c>
      <c r="C22" s="203"/>
      <c r="D22" s="12" t="str">
        <f>D9</f>
        <v>Transport d'énergie</v>
      </c>
      <c r="E22" s="236" t="s">
        <v>884</v>
      </c>
      <c r="F22" s="290"/>
      <c r="G22">
        <v>0</v>
      </c>
      <c r="H22" s="148">
        <f>'Industrie - Calcul'!D43*CH4_PRG</f>
        <v>5488.3512102036584</v>
      </c>
      <c r="I22" s="148">
        <v>0</v>
      </c>
      <c r="J22" s="148">
        <v>0</v>
      </c>
      <c r="K22" s="235">
        <f>'Industrie - Calcul'!D44</f>
        <v>5488.3512102036584</v>
      </c>
      <c r="L22" s="649">
        <f>'Industrie - Calcul'!D47</f>
        <v>4134.6469233197076</v>
      </c>
      <c r="M22" s="148">
        <f>G22+L22</f>
        <v>4134.6469233197076</v>
      </c>
      <c r="N22" s="227"/>
      <c r="O22" s="10"/>
    </row>
    <row r="23" spans="1:15" x14ac:dyDescent="0.35">
      <c r="B23" s="10">
        <v>2019</v>
      </c>
      <c r="C23" s="18"/>
      <c r="D23" s="12" t="str">
        <f>D10</f>
        <v>Chaleur des procédés industriels</v>
      </c>
      <c r="E23" s="951">
        <f>'Industrie - Calcul'!D26</f>
        <v>335152.66566580784</v>
      </c>
      <c r="F23" s="148" t="s">
        <v>96</v>
      </c>
      <c r="G23" s="149">
        <f>$E23*_xlfn.XLOOKUP($N23,'Facteurs d''émissions'!$B:$B,'Facteurs d''émissions'!D:D)+'Industrie - Calcul'!D64</f>
        <v>164980.71633196052</v>
      </c>
      <c r="H23" s="148">
        <f>$E23*_xlfn.XLOOKUP($N23,'Facteurs d''émissions'!$B:$B,'Facteurs d''émissions'!E:E)</f>
        <v>0</v>
      </c>
      <c r="I23" s="148">
        <f>$E23*_xlfn.XLOOKUP($N23,'Facteurs d''émissions'!$B:$B,'Facteurs d''émissions'!F:F)</f>
        <v>0</v>
      </c>
      <c r="J23" s="148">
        <v>0</v>
      </c>
      <c r="K23" s="233">
        <f>$E23*_xlfn.XLOOKUP($N23,'Facteurs d''émissions'!$B:$B,'Facteurs d''émissions'!G:G)+'Industrie - Calcul'!D64</f>
        <v>164980.71633196052</v>
      </c>
      <c r="L23" s="149">
        <f>$E23*_xlfn.XLOOKUP($N23,'Facteurs d''émissions'!$B:$B,'Facteurs d''émissions'!H:H)+'Industrie - Calcul'!J66</f>
        <v>20298.583667726998</v>
      </c>
      <c r="M23" s="149">
        <f>G23+L23</f>
        <v>185279.29999968753</v>
      </c>
      <c r="N23" s="227" t="s">
        <v>104</v>
      </c>
      <c r="O23" s="10"/>
    </row>
    <row r="24" spans="1:15" x14ac:dyDescent="0.35">
      <c r="B24" s="10">
        <v>2019</v>
      </c>
      <c r="C24" s="18"/>
      <c r="D24" s="12" t="str">
        <f>D11</f>
        <v>Procédés industriels hors chaleur</v>
      </c>
      <c r="E24" s="236" t="s">
        <v>884</v>
      </c>
      <c r="F24" s="148"/>
      <c r="G24" s="149">
        <f>'Industrie - Calcul'!D65+'Industrie - Calcul'!D80</f>
        <v>283232.81599999999</v>
      </c>
      <c r="H24" s="148">
        <v>0</v>
      </c>
      <c r="I24" s="148">
        <v>0</v>
      </c>
      <c r="J24" s="148">
        <v>0</v>
      </c>
      <c r="K24" s="231">
        <f>'Industrie - Calcul'!D65+'Industrie - Calcul'!D80</f>
        <v>283232.81599999999</v>
      </c>
      <c r="L24" s="149">
        <v>0</v>
      </c>
      <c r="M24" s="149">
        <f>G24+L24</f>
        <v>283232.81599999999</v>
      </c>
      <c r="N24" s="227"/>
      <c r="O24" s="10"/>
    </row>
    <row r="25" spans="1:15" x14ac:dyDescent="0.35">
      <c r="B25" s="10">
        <v>2019</v>
      </c>
      <c r="C25" s="18"/>
      <c r="D25" s="12" t="str">
        <f>D12</f>
        <v xml:space="preserve">Traffic off-road </v>
      </c>
      <c r="E25" s="148">
        <f>'Industrie - Calcul'!D92</f>
        <v>205168.84328140877</v>
      </c>
      <c r="F25" s="148" t="s">
        <v>96</v>
      </c>
      <c r="G25" s="249">
        <f>$E25*_xlfn.XLOOKUP($N25,'Facteurs d''émissions'!$B:$B,'Facteurs d''émissions'!D:D)</f>
        <v>54139.954365098296</v>
      </c>
      <c r="H25" s="231">
        <f>$E25*_xlfn.XLOOKUP($N25,'Facteurs d''émissions'!$B:$B,'Facteurs d''émissions'!E:E)</f>
        <v>0</v>
      </c>
      <c r="I25" s="231">
        <f>$E25*_xlfn.XLOOKUP($N25,'Facteurs d''émissions'!$B:$B,'Facteurs d''émissions'!F:F)</f>
        <v>0</v>
      </c>
      <c r="J25" s="231">
        <v>0</v>
      </c>
      <c r="K25" s="231">
        <f>$E25*_xlfn.XLOOKUP($N25,'Facteurs d''émissions'!$B:$B,'Facteurs d''émissions'!G:G)</f>
        <v>54139.954365098296</v>
      </c>
      <c r="L25" s="149">
        <f>$E25*_xlfn.XLOOKUP($N25,'Facteurs d''émissions'!$B:$B,'Facteurs d''émissions'!H:H)</f>
        <v>17199.506459580378</v>
      </c>
      <c r="M25" s="149">
        <f>G25+L25</f>
        <v>71339.460824678681</v>
      </c>
      <c r="N25" s="207" t="s">
        <v>170</v>
      </c>
      <c r="O25" s="10"/>
    </row>
    <row r="26" spans="1:15" x14ac:dyDescent="0.35">
      <c r="B26" s="10">
        <v>2019</v>
      </c>
      <c r="C26" s="18"/>
      <c r="D26" s="12" t="str">
        <f>D13</f>
        <v>Incinération</v>
      </c>
      <c r="E26" s="148">
        <f>'Industrie - Calcul'!D53</f>
        <v>179850.27</v>
      </c>
      <c r="F26" s="148" t="s">
        <v>215</v>
      </c>
      <c r="G26" s="149">
        <f>$E26*_xlfn.XLOOKUP($N26,'Facteurs d''émissions'!$B:$B,'Facteurs d''émissions'!D:D)</f>
        <v>93705.587675400006</v>
      </c>
      <c r="H26" s="148">
        <f>$E26*_xlfn.XLOOKUP($N26,'Facteurs d''émissions'!$B:$B,'Facteurs d''émissions'!E:E)</f>
        <v>0</v>
      </c>
      <c r="I26" s="148">
        <f>$E26*_xlfn.XLOOKUP($N26,'Facteurs d''émissions'!$B:$B,'Facteurs d''émissions'!F:F)</f>
        <v>0</v>
      </c>
      <c r="J26" s="148">
        <v>0</v>
      </c>
      <c r="K26" s="231">
        <f>$E26*_xlfn.XLOOKUP($N26,'Facteurs d''émissions'!$B:$B,'Facteurs d''émissions'!G:G)</f>
        <v>93705.587675400006</v>
      </c>
      <c r="L26" s="149">
        <f>$E26*_xlfn.XLOOKUP($N26,'Facteurs d''émissions'!$B:$B,'Facteurs d''émissions'!H:H)</f>
        <v>0</v>
      </c>
      <c r="M26" s="149">
        <f>G26+L26</f>
        <v>93705.587675400006</v>
      </c>
      <c r="N26" s="207" t="s">
        <v>202</v>
      </c>
      <c r="O26" s="10"/>
    </row>
    <row r="27" spans="1:15" x14ac:dyDescent="0.35">
      <c r="B27" s="10">
        <v>2019</v>
      </c>
      <c r="C27" s="18"/>
      <c r="D27" s="12" t="s">
        <v>372</v>
      </c>
      <c r="E27" s="236" t="s">
        <v>884</v>
      </c>
      <c r="F27" s="151"/>
      <c r="G27" s="368">
        <v>0</v>
      </c>
      <c r="H27" s="225">
        <v>0</v>
      </c>
      <c r="I27" s="225">
        <v>0</v>
      </c>
      <c r="J27" s="225">
        <f>'Industrie - Calcul'!D102</f>
        <v>4795.4960885279042</v>
      </c>
      <c r="K27" s="225">
        <f>'Industrie - Calcul'!D102</f>
        <v>4795.4960885279042</v>
      </c>
      <c r="L27" s="150">
        <v>0</v>
      </c>
      <c r="M27" s="405">
        <v>0</v>
      </c>
      <c r="N27" s="207"/>
      <c r="O27" s="10"/>
    </row>
    <row r="28" spans="1:15" x14ac:dyDescent="0.35">
      <c r="B28" s="20" t="s">
        <v>6</v>
      </c>
      <c r="C28" s="21"/>
      <c r="D28" s="22"/>
      <c r="E28" s="211"/>
      <c r="F28" s="212"/>
      <c r="G28" s="209">
        <f>SUM(G22:G27)</f>
        <v>596059.07437245874</v>
      </c>
      <c r="H28" s="212">
        <f t="shared" ref="H28:M28" si="4">SUM(H22:H27)</f>
        <v>5488.3512102036584</v>
      </c>
      <c r="I28" s="212">
        <f t="shared" si="4"/>
        <v>0</v>
      </c>
      <c r="J28" s="212">
        <f t="shared" si="4"/>
        <v>4795.4960885279042</v>
      </c>
      <c r="K28" s="212">
        <f>SUM(K22:K27)</f>
        <v>606342.92167119042</v>
      </c>
      <c r="L28" s="209">
        <f>SUM(L22:L27)</f>
        <v>41632.737050627082</v>
      </c>
      <c r="M28" s="209">
        <f t="shared" si="4"/>
        <v>637691.81142308586</v>
      </c>
      <c r="N28" s="207"/>
      <c r="O28" s="10"/>
    </row>
    <row r="29" spans="1:15" x14ac:dyDescent="0.35">
      <c r="B29" s="170" t="s">
        <v>7</v>
      </c>
      <c r="C29" s="171"/>
      <c r="D29" s="172"/>
      <c r="E29" s="237"/>
      <c r="F29" s="237"/>
      <c r="G29" s="238">
        <f>G28</f>
        <v>596059.07437245874</v>
      </c>
      <c r="H29" s="237">
        <f t="shared" ref="H29" si="5">H28</f>
        <v>5488.3512102036584</v>
      </c>
      <c r="I29" s="237">
        <f t="shared" ref="I29:J29" si="6">I28</f>
        <v>0</v>
      </c>
      <c r="J29" s="237">
        <f t="shared" si="6"/>
        <v>4795.4960885279042</v>
      </c>
      <c r="K29" s="575">
        <f t="shared" ref="K29" si="7">K28</f>
        <v>606342.92167119042</v>
      </c>
      <c r="L29" s="238">
        <f t="shared" ref="L29" si="8">L28</f>
        <v>41632.737050627082</v>
      </c>
      <c r="M29" s="238">
        <f t="shared" ref="M29" si="9">M28</f>
        <v>637691.81142308586</v>
      </c>
      <c r="N29" s="207"/>
      <c r="O29" s="10"/>
    </row>
    <row r="30" spans="1:15" x14ac:dyDescent="0.35">
      <c r="E30" s="162"/>
      <c r="F30" s="162"/>
      <c r="G30" s="162"/>
      <c r="H30" s="162"/>
      <c r="I30" s="162"/>
      <c r="J30" s="162"/>
      <c r="K30" s="221"/>
      <c r="L30" s="162"/>
      <c r="M30" s="162"/>
    </row>
    <row r="31" spans="1:15" s="167" customFormat="1" x14ac:dyDescent="0.35">
      <c r="A31" s="166">
        <v>2015</v>
      </c>
      <c r="E31" s="239"/>
      <c r="F31" s="239"/>
      <c r="G31" s="239"/>
      <c r="H31" s="239"/>
      <c r="I31" s="239"/>
      <c r="J31" s="239"/>
      <c r="K31" s="245"/>
      <c r="L31" s="239"/>
      <c r="M31" s="239"/>
      <c r="N31" s="169"/>
    </row>
    <row r="32" spans="1:15" x14ac:dyDescent="0.35">
      <c r="E32" s="162"/>
      <c r="F32" s="162"/>
      <c r="G32" s="162"/>
      <c r="H32" s="162"/>
      <c r="I32" s="162"/>
      <c r="J32" s="162"/>
      <c r="K32" s="221"/>
      <c r="L32" s="162"/>
      <c r="M32" s="162"/>
    </row>
    <row r="33" spans="1:14" ht="29" x14ac:dyDescent="0.35">
      <c r="D33" s="5"/>
      <c r="E33" s="151"/>
      <c r="F33" s="158"/>
      <c r="G33" s="1001" t="s">
        <v>729</v>
      </c>
      <c r="H33" s="1002"/>
      <c r="I33" s="1002"/>
      <c r="J33" s="1002"/>
      <c r="K33" s="1003"/>
      <c r="L33" s="648" t="s">
        <v>728</v>
      </c>
      <c r="M33" s="660" t="s">
        <v>730</v>
      </c>
    </row>
    <row r="34" spans="1:14" ht="15" thickBot="1" x14ac:dyDescent="0.4">
      <c r="B34" s="15" t="s">
        <v>5</v>
      </c>
      <c r="C34" s="17" t="s">
        <v>340</v>
      </c>
      <c r="D34" s="9" t="s">
        <v>1</v>
      </c>
      <c r="E34" s="240" t="s">
        <v>129</v>
      </c>
      <c r="F34" s="240" t="s">
        <v>95</v>
      </c>
      <c r="G34" s="241" t="s">
        <v>48</v>
      </c>
      <c r="H34" s="240" t="s">
        <v>3</v>
      </c>
      <c r="I34" s="240" t="s">
        <v>50</v>
      </c>
      <c r="J34" s="160" t="s">
        <v>748</v>
      </c>
      <c r="K34" s="246" t="s">
        <v>4</v>
      </c>
      <c r="L34" s="159" t="s">
        <v>4</v>
      </c>
      <c r="M34" s="662" t="s">
        <v>48</v>
      </c>
    </row>
    <row r="35" spans="1:14" ht="15" thickTop="1" x14ac:dyDescent="0.35">
      <c r="B35" s="10">
        <v>2015</v>
      </c>
      <c r="C35" s="18"/>
      <c r="D35" s="12" t="str">
        <f>D22</f>
        <v>Transport d'énergie</v>
      </c>
      <c r="E35" s="236" t="s">
        <v>884</v>
      </c>
      <c r="F35" s="290"/>
      <c r="G35">
        <v>0</v>
      </c>
      <c r="H35" s="148">
        <f>'Industrie - Calcul'!C43*CH4_PRG</f>
        <v>6291.3056764079101</v>
      </c>
      <c r="I35" s="148">
        <v>0</v>
      </c>
      <c r="J35" s="148">
        <v>0</v>
      </c>
      <c r="K35" s="231">
        <f>L35+H35</f>
        <v>11422.114048144073</v>
      </c>
      <c r="L35" s="649">
        <f>'Industrie - Calcul'!C47</f>
        <v>5130.8083717361624</v>
      </c>
      <c r="M35" s="152">
        <f>G35+L35</f>
        <v>5130.8083717361624</v>
      </c>
    </row>
    <row r="36" spans="1:14" x14ac:dyDescent="0.35">
      <c r="B36" s="10">
        <v>2015</v>
      </c>
      <c r="C36" s="18"/>
      <c r="D36" s="12" t="str">
        <f>D23</f>
        <v>Chaleur des procédés industriels</v>
      </c>
      <c r="E36" s="960">
        <f>'Industrie - Calcul'!C26</f>
        <v>354823.66521074582</v>
      </c>
      <c r="F36" s="148" t="s">
        <v>96</v>
      </c>
      <c r="G36" s="149">
        <f>$E36*_xlfn.XLOOKUP($N36,'Facteurs d''émissions'!$B:$B,'Facteurs d''émissions'!D:D)+'Industrie - Calcul'!C64</f>
        <v>176088.52144040205</v>
      </c>
      <c r="H36" s="148">
        <f>$E36*_xlfn.XLOOKUP($N36,'Facteurs d''émissions'!$B:$B,'Facteurs d''émissions'!E:E)</f>
        <v>0</v>
      </c>
      <c r="I36" s="148">
        <f>$E36*_xlfn.XLOOKUP($N36,'Facteurs d''émissions'!$B:$B,'Facteurs d''émissions'!F:F)</f>
        <v>0</v>
      </c>
      <c r="J36" s="148">
        <v>0</v>
      </c>
      <c r="K36" s="233">
        <f>$E36*_xlfn.XLOOKUP($N36,'Facteurs d''émissions'!$B:$B,'Facteurs d''émissions'!G:G)+'Industrie - Calcul'!C64</f>
        <v>176088.52144040205</v>
      </c>
      <c r="L36" s="149">
        <f>$E36*_xlfn.XLOOKUP($N36,'Facteurs d''émissions'!$B:$B,'Facteurs d''émissions'!H:H)+'Industrie - Calcul'!I66</f>
        <v>21645.444661517762</v>
      </c>
      <c r="M36" s="650">
        <f>G36+L36</f>
        <v>197733.96610191982</v>
      </c>
      <c r="N36" s="661" t="s">
        <v>104</v>
      </c>
    </row>
    <row r="37" spans="1:14" x14ac:dyDescent="0.35">
      <c r="B37" s="10">
        <v>2015</v>
      </c>
      <c r="C37" s="18"/>
      <c r="D37" s="12" t="str">
        <f>D24</f>
        <v>Procédés industriels hors chaleur</v>
      </c>
      <c r="E37" s="236" t="s">
        <v>884</v>
      </c>
      <c r="F37" s="148"/>
      <c r="G37" s="149">
        <f>'Industrie - Calcul'!C80+'Industrie - Calcul'!C65</f>
        <v>270020.712</v>
      </c>
      <c r="H37" s="148">
        <v>0</v>
      </c>
      <c r="I37" s="148">
        <v>0</v>
      </c>
      <c r="J37" s="148">
        <v>0</v>
      </c>
      <c r="K37" s="231">
        <f>'Industrie - Calcul'!C80+'Industrie - Calcul'!C65</f>
        <v>270020.712</v>
      </c>
      <c r="L37" s="149">
        <v>0</v>
      </c>
      <c r="M37" s="650">
        <f>G37+L37</f>
        <v>270020.712</v>
      </c>
      <c r="N37" s="362"/>
    </row>
    <row r="38" spans="1:14" x14ac:dyDescent="0.35">
      <c r="B38" s="10">
        <v>2015</v>
      </c>
      <c r="C38" s="18"/>
      <c r="D38" s="12" t="str">
        <f>D25</f>
        <v xml:space="preserve">Traffic off-road </v>
      </c>
      <c r="E38" s="148">
        <f>'Industrie - Calcul'!C92</f>
        <v>202946.76475313384</v>
      </c>
      <c r="F38" s="148" t="s">
        <v>96</v>
      </c>
      <c r="G38" s="149">
        <f>$E38*_xlfn.XLOOKUP($N38,'Facteurs d''émissions'!$B:$B,'Facteurs d''émissions'!D:D)</f>
        <v>53553.592283057107</v>
      </c>
      <c r="H38" s="148">
        <f>$E38*_xlfn.XLOOKUP($N38,'Facteurs d''émissions'!$B:$B,'Facteurs d''émissions'!E:E)</f>
        <v>0</v>
      </c>
      <c r="I38" s="148">
        <f>$E38*_xlfn.XLOOKUP($N38,'Facteurs d''émissions'!$B:$B,'Facteurs d''émissions'!F:F)</f>
        <v>0</v>
      </c>
      <c r="J38" s="148">
        <v>0</v>
      </c>
      <c r="K38" s="231">
        <f>$E38*_xlfn.XLOOKUP($N38,'Facteurs d''émissions'!$B:$B,'Facteurs d''émissions'!G:G)</f>
        <v>53553.592283057107</v>
      </c>
      <c r="L38" s="149">
        <f>$E38*_xlfn.XLOOKUP($N38,'Facteurs d''émissions'!$B:$B,'Facteurs d''émissions'!H:H)</f>
        <v>17013.227425251862</v>
      </c>
      <c r="M38" s="650">
        <f>G38+L38</f>
        <v>70566.819708308962</v>
      </c>
      <c r="N38" s="362" t="s">
        <v>170</v>
      </c>
    </row>
    <row r="39" spans="1:14" x14ac:dyDescent="0.35">
      <c r="B39" s="10">
        <v>2015</v>
      </c>
      <c r="C39" s="18"/>
      <c r="D39" s="12" t="str">
        <f>D26</f>
        <v>Incinération</v>
      </c>
      <c r="E39" s="148">
        <f>'Industrie - Calcul'!C53</f>
        <v>166840.18</v>
      </c>
      <c r="F39" s="148" t="s">
        <v>215</v>
      </c>
      <c r="G39" s="149">
        <f>$E39*_xlfn.XLOOKUP($N39,'Facteurs d''émissions'!$B:$B,'Facteurs d''émissions'!D:D)</f>
        <v>86927.070583599998</v>
      </c>
      <c r="H39" s="148">
        <f>$E39*_xlfn.XLOOKUP($N39,'Facteurs d''émissions'!$B:$B,'Facteurs d''émissions'!E:E)</f>
        <v>0</v>
      </c>
      <c r="I39" s="148">
        <f>$E39*_xlfn.XLOOKUP($N39,'Facteurs d''émissions'!$B:$B,'Facteurs d''émissions'!F:F)</f>
        <v>0</v>
      </c>
      <c r="J39" s="148">
        <v>0</v>
      </c>
      <c r="K39" s="231">
        <f>$E39*_xlfn.XLOOKUP($N39,'Facteurs d''émissions'!$B:$B,'Facteurs d''émissions'!G:G)</f>
        <v>86927.070583599998</v>
      </c>
      <c r="L39" s="149">
        <f>$E39*_xlfn.XLOOKUP($N39,'Facteurs d''émissions'!$B:$B,'Facteurs d''émissions'!H:H)</f>
        <v>0</v>
      </c>
      <c r="M39" s="650">
        <f>G39+L39</f>
        <v>86927.070583599998</v>
      </c>
      <c r="N39" s="362" t="s">
        <v>202</v>
      </c>
    </row>
    <row r="40" spans="1:14" x14ac:dyDescent="0.35">
      <c r="B40" s="10">
        <v>2015</v>
      </c>
      <c r="C40" s="18"/>
      <c r="D40" s="12" t="s">
        <v>372</v>
      </c>
      <c r="E40" s="236" t="s">
        <v>884</v>
      </c>
      <c r="F40" s="148"/>
      <c r="G40" s="150">
        <v>0</v>
      </c>
      <c r="H40" s="151">
        <v>0</v>
      </c>
      <c r="I40" s="151">
        <v>0</v>
      </c>
      <c r="J40" s="151">
        <f>'Industrie - Calcul'!C102</f>
        <v>4366.0342327701183</v>
      </c>
      <c r="K40" s="225">
        <f>'Industrie - Calcul'!C102</f>
        <v>4366.0342327701183</v>
      </c>
      <c r="L40" s="150">
        <v>0</v>
      </c>
      <c r="M40" s="647">
        <v>0</v>
      </c>
      <c r="N40" s="362"/>
    </row>
    <row r="41" spans="1:14" x14ac:dyDescent="0.35">
      <c r="B41" s="20" t="s">
        <v>6</v>
      </c>
      <c r="C41" s="21"/>
      <c r="D41" s="22"/>
      <c r="E41" s="23"/>
      <c r="F41" s="23"/>
      <c r="G41" s="209">
        <f>SUM(G35:G40)</f>
        <v>586589.89630705921</v>
      </c>
      <c r="H41" s="212">
        <f t="shared" ref="H41:M41" si="10">SUM(H35:H40)</f>
        <v>6291.3056764079101</v>
      </c>
      <c r="I41" s="212">
        <f t="shared" si="10"/>
        <v>0</v>
      </c>
      <c r="J41" s="212">
        <f t="shared" si="10"/>
        <v>4366.0342327701183</v>
      </c>
      <c r="K41" s="363">
        <f>SUM(K35:K40)</f>
        <v>602378.04458797339</v>
      </c>
      <c r="L41" s="209">
        <f>SUM(L35:L40)</f>
        <v>43789.480458505786</v>
      </c>
      <c r="M41" s="659">
        <f t="shared" si="10"/>
        <v>630379.3767655649</v>
      </c>
      <c r="N41" s="362"/>
    </row>
    <row r="42" spans="1:14" x14ac:dyDescent="0.35">
      <c r="B42" s="170" t="s">
        <v>7</v>
      </c>
      <c r="C42" s="171"/>
      <c r="D42" s="172"/>
      <c r="E42" s="173"/>
      <c r="F42" s="173"/>
      <c r="G42" s="238">
        <f>G41</f>
        <v>586589.89630705921</v>
      </c>
      <c r="H42" s="237">
        <f t="shared" ref="H42" si="11">H41</f>
        <v>6291.3056764079101</v>
      </c>
      <c r="I42" s="237">
        <f t="shared" ref="I42:J42" si="12">I41</f>
        <v>0</v>
      </c>
      <c r="J42" s="237">
        <f t="shared" si="12"/>
        <v>4366.0342327701183</v>
      </c>
      <c r="K42" s="575">
        <f t="shared" ref="K42" si="13">K41</f>
        <v>602378.04458797339</v>
      </c>
      <c r="L42" s="238">
        <f t="shared" ref="L42" si="14">L41</f>
        <v>43789.480458505786</v>
      </c>
      <c r="M42" s="663">
        <f t="shared" ref="M42" si="15">M41</f>
        <v>630379.3767655649</v>
      </c>
    </row>
    <row r="43" spans="1:14" x14ac:dyDescent="0.35">
      <c r="G43" s="139"/>
      <c r="H43" s="139"/>
      <c r="I43" s="139"/>
      <c r="J43" s="139"/>
      <c r="K43" s="229"/>
      <c r="L43" s="139"/>
      <c r="M43" s="139"/>
    </row>
    <row r="44" spans="1:14" x14ac:dyDescent="0.35">
      <c r="G44" s="139"/>
      <c r="H44" s="139"/>
      <c r="I44" s="139"/>
      <c r="J44" s="139"/>
      <c r="K44" s="229"/>
      <c r="L44" s="139"/>
      <c r="M44" s="139"/>
    </row>
    <row r="45" spans="1:14" s="167" customFormat="1" x14ac:dyDescent="0.35">
      <c r="A45" s="166">
        <v>1990</v>
      </c>
      <c r="G45" s="168"/>
      <c r="H45" s="168"/>
      <c r="I45" s="168"/>
      <c r="J45" s="168"/>
      <c r="K45" s="228"/>
      <c r="L45" s="168"/>
      <c r="M45" s="168"/>
      <c r="N45" s="169"/>
    </row>
    <row r="46" spans="1:14" x14ac:dyDescent="0.35">
      <c r="G46" s="139"/>
      <c r="H46" s="139"/>
      <c r="I46" s="139"/>
      <c r="J46" s="139"/>
      <c r="K46" s="229"/>
      <c r="L46" s="139"/>
      <c r="M46" s="139"/>
    </row>
    <row r="47" spans="1:14" ht="29" x14ac:dyDescent="0.35">
      <c r="D47" s="5"/>
      <c r="E47" s="5"/>
      <c r="F47" s="14"/>
      <c r="G47" s="1001" t="s">
        <v>729</v>
      </c>
      <c r="H47" s="1002"/>
      <c r="I47" s="1002"/>
      <c r="J47" s="1002"/>
      <c r="K47" s="1003"/>
      <c r="L47" s="648" t="s">
        <v>728</v>
      </c>
      <c r="M47" s="660" t="s">
        <v>730</v>
      </c>
    </row>
    <row r="48" spans="1:14" ht="15" thickBot="1" x14ac:dyDescent="0.4">
      <c r="B48" s="15" t="s">
        <v>5</v>
      </c>
      <c r="C48" s="17" t="s">
        <v>340</v>
      </c>
      <c r="D48" s="9" t="s">
        <v>1</v>
      </c>
      <c r="E48" s="4" t="s">
        <v>129</v>
      </c>
      <c r="F48" s="4" t="s">
        <v>95</v>
      </c>
      <c r="G48" s="140" t="s">
        <v>48</v>
      </c>
      <c r="H48" s="141" t="s">
        <v>3</v>
      </c>
      <c r="I48" s="141" t="s">
        <v>50</v>
      </c>
      <c r="J48" s="160" t="s">
        <v>748</v>
      </c>
      <c r="K48" s="232" t="s">
        <v>4</v>
      </c>
      <c r="L48" s="159" t="s">
        <v>4</v>
      </c>
      <c r="M48" s="656" t="s">
        <v>48</v>
      </c>
    </row>
    <row r="49" spans="2:13" ht="15" thickTop="1" x14ac:dyDescent="0.35">
      <c r="B49" s="20" t="s">
        <v>6</v>
      </c>
      <c r="C49" s="21"/>
      <c r="D49" s="22"/>
      <c r="E49" s="23"/>
      <c r="F49" s="23"/>
      <c r="G49" s="143"/>
      <c r="H49" s="144"/>
      <c r="I49" s="144"/>
      <c r="J49" s="144"/>
      <c r="K49" s="234"/>
      <c r="L49" s="143"/>
      <c r="M49" s="664"/>
    </row>
    <row r="50" spans="2:13" x14ac:dyDescent="0.35">
      <c r="B50" s="170" t="s">
        <v>7</v>
      </c>
      <c r="C50" s="171"/>
      <c r="D50" s="172"/>
      <c r="E50" s="173"/>
      <c r="F50" s="173"/>
      <c r="G50" s="174"/>
      <c r="H50" s="175"/>
      <c r="I50" s="175"/>
      <c r="J50" s="175"/>
      <c r="K50" s="244">
        <f xml:space="preserve"> Constantes!C29 * (POP_VD_1990/Pop_CH_1990) * ( (K28/POP_VD_2019) / (Constantes!D29/POP_CH_2019) )</f>
        <v>673420.48240346787</v>
      </c>
      <c r="L50" s="174"/>
      <c r="M50" s="665"/>
    </row>
    <row r="52" spans="2:13" x14ac:dyDescent="0.35">
      <c r="D52" s="177"/>
      <c r="E52" s="177"/>
    </row>
    <row r="53" spans="2:13" x14ac:dyDescent="0.35">
      <c r="D53" s="177"/>
      <c r="E53" s="177"/>
    </row>
    <row r="54" spans="2:13" x14ac:dyDescent="0.35">
      <c r="E54" s="216"/>
    </row>
  </sheetData>
  <sheetProtection algorithmName="SHA-512" hashValue="pX/Uszdriz6JEGMBGuKSD/QYf6pDLnMV2ztpP1A9MRKCoi9XNPzx10AHalVuRWY1uaEefkAGDiR+lMrjlA6VCQ==" saltValue="BvMRyaDB3hfChfhiP28H9Q==" spinCount="100000" sheet="1" objects="1" scenarios="1"/>
  <mergeCells count="4">
    <mergeCell ref="G7:K7"/>
    <mergeCell ref="G20:K20"/>
    <mergeCell ref="G33:K33"/>
    <mergeCell ref="G47:K47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2A1A7-B1AB-41E5-B737-B0D4982AAB71}">
  <sheetPr>
    <tabColor theme="5"/>
  </sheetPr>
  <dimension ref="B3:L108"/>
  <sheetViews>
    <sheetView topLeftCell="A63" workbookViewId="0">
      <selection activeCell="E87" sqref="E87"/>
    </sheetView>
  </sheetViews>
  <sheetFormatPr baseColWidth="10" defaultRowHeight="14.5" x14ac:dyDescent="0.35"/>
  <cols>
    <col min="2" max="2" width="59.81640625" customWidth="1"/>
    <col min="3" max="3" width="16.1796875" customWidth="1"/>
    <col min="4" max="4" width="17.7265625" customWidth="1"/>
    <col min="5" max="5" width="13.1796875" customWidth="1"/>
    <col min="6" max="6" width="17.81640625" customWidth="1"/>
    <col min="8" max="8" width="48.1796875" customWidth="1"/>
    <col min="12" max="12" width="37.26953125" customWidth="1"/>
  </cols>
  <sheetData>
    <row r="3" spans="2:12" s="164" customFormat="1" ht="33.5" x14ac:dyDescent="0.75">
      <c r="B3" s="176" t="s">
        <v>136</v>
      </c>
    </row>
    <row r="6" spans="2:12" s="167" customFormat="1" x14ac:dyDescent="0.35">
      <c r="B6" s="166" t="s">
        <v>382</v>
      </c>
    </row>
    <row r="7" spans="2:12" x14ac:dyDescent="0.35">
      <c r="H7" s="11"/>
      <c r="I7" s="11"/>
      <c r="J7" s="11"/>
      <c r="K7" s="11"/>
      <c r="L7" s="11"/>
    </row>
    <row r="8" spans="2:12" x14ac:dyDescent="0.35">
      <c r="B8" s="183" t="s">
        <v>148</v>
      </c>
      <c r="C8" s="5"/>
      <c r="D8" s="5"/>
      <c r="E8" s="151"/>
      <c r="F8" s="5"/>
      <c r="G8" s="413"/>
      <c r="H8" s="11"/>
      <c r="I8" s="11"/>
      <c r="J8" s="11"/>
      <c r="K8" s="11"/>
      <c r="L8" s="11"/>
    </row>
    <row r="9" spans="2:12" x14ac:dyDescent="0.35">
      <c r="B9" s="107"/>
      <c r="E9" s="162"/>
      <c r="G9" s="413"/>
      <c r="H9" s="11"/>
      <c r="I9" s="11"/>
      <c r="J9" s="11"/>
      <c r="K9" s="11"/>
      <c r="L9" s="11"/>
    </row>
    <row r="10" spans="2:12" x14ac:dyDescent="0.35">
      <c r="B10" s="214"/>
      <c r="C10" s="11"/>
      <c r="D10" s="11"/>
      <c r="E10" s="148"/>
      <c r="G10" s="413"/>
      <c r="H10" s="11"/>
      <c r="I10" s="11"/>
      <c r="J10" s="11"/>
      <c r="K10" s="11"/>
      <c r="L10" s="11"/>
    </row>
    <row r="11" spans="2:12" x14ac:dyDescent="0.35">
      <c r="B11" s="372" t="s">
        <v>139</v>
      </c>
      <c r="C11" s="372" t="s">
        <v>94</v>
      </c>
      <c r="D11" s="372" t="s">
        <v>95</v>
      </c>
      <c r="E11" s="373">
        <v>2023</v>
      </c>
      <c r="G11" s="413"/>
      <c r="H11" s="11"/>
      <c r="I11" s="11"/>
      <c r="J11" s="11"/>
      <c r="K11" s="11"/>
      <c r="L11" s="11"/>
    </row>
    <row r="12" spans="2:12" x14ac:dyDescent="0.35">
      <c r="B12" s="11" t="s">
        <v>384</v>
      </c>
      <c r="C12" s="11" t="s">
        <v>150</v>
      </c>
      <c r="D12" s="11" t="s">
        <v>96</v>
      </c>
      <c r="E12" s="148">
        <f>'Chaleur du bâtiment - Calcul'!M49</f>
        <v>3329211.0483340598</v>
      </c>
      <c r="G12" s="413"/>
      <c r="H12" s="11"/>
      <c r="I12" s="11"/>
      <c r="J12" s="11"/>
      <c r="K12" s="11"/>
      <c r="L12" s="11"/>
    </row>
    <row r="13" spans="2:12" x14ac:dyDescent="0.35">
      <c r="B13" s="6" t="s">
        <v>453</v>
      </c>
      <c r="C13" t="s">
        <v>140</v>
      </c>
      <c r="D13" t="s">
        <v>96</v>
      </c>
      <c r="E13" s="162">
        <f xml:space="preserve"> ('Chaleur du bâtiment - Calcul'!D7+'Chaleur du bâtiment - Calcul'!D14) / 1000</f>
        <v>2888114.8173602223</v>
      </c>
      <c r="G13" s="413"/>
      <c r="H13" s="11"/>
      <c r="I13" s="11"/>
      <c r="J13" s="11"/>
      <c r="K13" s="11"/>
      <c r="L13" s="11"/>
    </row>
    <row r="14" spans="2:12" x14ac:dyDescent="0.35">
      <c r="B14" t="s">
        <v>383</v>
      </c>
      <c r="C14" t="s">
        <v>141</v>
      </c>
      <c r="D14" t="s">
        <v>96</v>
      </c>
      <c r="E14" s="162">
        <f>('Agriculture - Calcul'!W149+'Agriculture - Calcul'!W148) /1000</f>
        <v>166040</v>
      </c>
      <c r="G14" s="413"/>
      <c r="H14" s="11"/>
      <c r="I14" s="11"/>
      <c r="J14" s="11"/>
      <c r="K14" s="11"/>
      <c r="L14" s="11"/>
    </row>
    <row r="15" spans="2:12" ht="13" customHeight="1" x14ac:dyDescent="0.35">
      <c r="B15" s="107" t="s">
        <v>147</v>
      </c>
      <c r="C15" s="107"/>
      <c r="D15" s="107" t="s">
        <v>96</v>
      </c>
      <c r="E15" s="178">
        <f>E12-(E13+E14)</f>
        <v>275056.23097383743</v>
      </c>
      <c r="G15" s="413"/>
      <c r="H15" s="11"/>
      <c r="I15" s="11"/>
      <c r="J15" s="11"/>
      <c r="K15" s="11"/>
      <c r="L15" s="11"/>
    </row>
    <row r="16" spans="2:12" x14ac:dyDescent="0.35">
      <c r="B16" s="107"/>
      <c r="C16" s="107"/>
      <c r="D16" s="107"/>
      <c r="E16" s="178"/>
      <c r="G16" s="413"/>
      <c r="H16" s="11"/>
      <c r="I16" s="11"/>
      <c r="J16" s="11"/>
      <c r="K16" s="11"/>
      <c r="L16" s="11"/>
    </row>
    <row r="17" spans="2:12" x14ac:dyDescent="0.35">
      <c r="D17" s="163"/>
      <c r="G17" s="413"/>
      <c r="H17" s="399"/>
      <c r="I17" s="11"/>
      <c r="J17" s="11"/>
      <c r="K17" s="11"/>
      <c r="L17" s="11"/>
    </row>
    <row r="18" spans="2:12" x14ac:dyDescent="0.35">
      <c r="B18" s="183" t="s">
        <v>149</v>
      </c>
      <c r="C18" s="184"/>
      <c r="D18" s="5"/>
      <c r="E18" s="5"/>
      <c r="F18" s="5"/>
      <c r="G18" s="413"/>
      <c r="H18" s="11"/>
      <c r="I18" s="11"/>
      <c r="J18" s="11"/>
      <c r="K18" s="11"/>
      <c r="L18" s="11"/>
    </row>
    <row r="19" spans="2:12" ht="16" customHeight="1" x14ac:dyDescent="0.35">
      <c r="G19" s="413"/>
      <c r="H19" s="11"/>
      <c r="I19" s="11"/>
      <c r="J19" s="11"/>
      <c r="K19" s="11"/>
      <c r="L19" s="11"/>
    </row>
    <row r="20" spans="2:12" x14ac:dyDescent="0.35">
      <c r="B20" t="s">
        <v>187</v>
      </c>
      <c r="C20" s="177">
        <f>(E15)/(E15+'Chaleur du bâtiment - Calcul'!M49)</f>
        <v>7.6314049336167603E-2</v>
      </c>
      <c r="D20" t="s">
        <v>392</v>
      </c>
      <c r="G20" s="413"/>
      <c r="H20" s="11"/>
      <c r="I20" s="11"/>
      <c r="J20" s="11"/>
      <c r="K20" s="11"/>
      <c r="L20" s="11"/>
    </row>
    <row r="21" spans="2:12" x14ac:dyDescent="0.35">
      <c r="C21" s="177"/>
      <c r="G21" s="413"/>
    </row>
    <row r="22" spans="2:12" x14ac:dyDescent="0.35">
      <c r="B22" s="11" t="s">
        <v>397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2:12" s="117" customFormat="1" x14ac:dyDescent="0.35">
      <c r="B23" s="374"/>
      <c r="C23" s="374">
        <v>2015</v>
      </c>
      <c r="D23" s="374">
        <v>2019</v>
      </c>
      <c r="E23" s="374">
        <v>2023</v>
      </c>
      <c r="F23" s="11"/>
      <c r="G23" s="11"/>
      <c r="H23" s="11"/>
      <c r="I23" s="11"/>
      <c r="J23" s="11"/>
      <c r="K23" s="362"/>
    </row>
    <row r="24" spans="2:12" s="117" customFormat="1" x14ac:dyDescent="0.35">
      <c r="B24" s="377" t="s">
        <v>710</v>
      </c>
      <c r="C24" s="577">
        <v>4937.6727686854101</v>
      </c>
      <c r="D24" s="577">
        <v>4663.9340970323401</v>
      </c>
      <c r="E24" s="578">
        <v>3827.64114882276</v>
      </c>
      <c r="F24" s="371"/>
      <c r="G24" s="11"/>
      <c r="H24" s="371"/>
      <c r="I24" s="371"/>
      <c r="J24" s="371"/>
      <c r="K24" s="362"/>
      <c r="L24" s="362"/>
    </row>
    <row r="25" spans="2:12" s="117" customFormat="1" ht="17.149999999999999" customHeight="1" x14ac:dyDescent="0.35">
      <c r="B25" s="377" t="s">
        <v>398</v>
      </c>
      <c r="C25" s="177">
        <f>C24/$E$24</f>
        <v>1.2900040982692578</v>
      </c>
      <c r="D25" s="177">
        <f>D24/$E$24</f>
        <v>1.2184878142160198</v>
      </c>
      <c r="E25" s="177">
        <f t="shared" ref="E25" si="0">E24/$E$24</f>
        <v>1</v>
      </c>
      <c r="F25" s="371"/>
      <c r="G25" s="11"/>
      <c r="H25" s="371"/>
      <c r="I25" s="371"/>
      <c r="J25" s="371"/>
      <c r="K25" s="362"/>
      <c r="L25" s="362"/>
    </row>
    <row r="26" spans="2:12" s="117" customFormat="1" x14ac:dyDescent="0.35">
      <c r="B26" s="375" t="s">
        <v>399</v>
      </c>
      <c r="C26" s="376">
        <f>$E$15 *C25</f>
        <v>354823.66521074582</v>
      </c>
      <c r="D26" s="376">
        <f t="shared" ref="D26:E26" si="1">$E$15 *D25</f>
        <v>335152.66566580784</v>
      </c>
      <c r="E26" s="376">
        <f t="shared" si="1"/>
        <v>275056.23097383743</v>
      </c>
      <c r="F26" s="370"/>
      <c r="G26" s="370"/>
      <c r="H26" s="370"/>
      <c r="I26" s="370"/>
      <c r="J26" s="370"/>
      <c r="K26" s="362"/>
    </row>
    <row r="28" spans="2:12" x14ac:dyDescent="0.35">
      <c r="B28" s="375"/>
      <c r="C28" s="376"/>
      <c r="D28" s="376"/>
      <c r="E28" s="376"/>
    </row>
    <row r="30" spans="2:12" s="167" customFormat="1" x14ac:dyDescent="0.35">
      <c r="B30" s="166" t="s">
        <v>137</v>
      </c>
    </row>
    <row r="31" spans="2:12" s="6" customFormat="1" x14ac:dyDescent="0.35">
      <c r="B31" s="74"/>
    </row>
    <row r="32" spans="2:12" x14ac:dyDescent="0.35">
      <c r="B32" s="124" t="s">
        <v>355</v>
      </c>
    </row>
    <row r="33" spans="2:7" x14ac:dyDescent="0.35">
      <c r="B33" s="217" t="s">
        <v>191</v>
      </c>
      <c r="C33" s="217">
        <v>2015</v>
      </c>
      <c r="D33" s="217">
        <v>2019</v>
      </c>
      <c r="E33" s="217">
        <v>2023</v>
      </c>
      <c r="G33" s="350">
        <v>2012</v>
      </c>
    </row>
    <row r="34" spans="2:7" x14ac:dyDescent="0.35">
      <c r="B34" t="s">
        <v>192</v>
      </c>
      <c r="C34" s="48">
        <v>7.0000000000000007E-2</v>
      </c>
      <c r="D34" s="48">
        <v>5.3200222031929596E-2</v>
      </c>
      <c r="E34">
        <v>0.03</v>
      </c>
      <c r="G34" s="351">
        <v>0.09</v>
      </c>
    </row>
    <row r="35" spans="2:7" x14ac:dyDescent="0.35">
      <c r="B35" t="s">
        <v>193</v>
      </c>
      <c r="C35" s="48">
        <v>1.88</v>
      </c>
      <c r="D35" s="48">
        <v>1.6067858989284471</v>
      </c>
      <c r="E35">
        <v>1.51</v>
      </c>
      <c r="G35" s="351">
        <v>2.16</v>
      </c>
    </row>
    <row r="36" spans="2:7" x14ac:dyDescent="0.35">
      <c r="B36" t="s">
        <v>711</v>
      </c>
      <c r="C36" s="48">
        <v>42.86</v>
      </c>
      <c r="D36">
        <v>33.840000000000003</v>
      </c>
      <c r="E36">
        <v>9.5030000000000001</v>
      </c>
      <c r="F36" t="s">
        <v>474</v>
      </c>
      <c r="G36" s="351">
        <v>45.77</v>
      </c>
    </row>
    <row r="37" spans="2:7" x14ac:dyDescent="0.35">
      <c r="C37" s="48"/>
      <c r="G37" s="351"/>
    </row>
    <row r="38" spans="2:7" x14ac:dyDescent="0.35">
      <c r="G38" s="351"/>
    </row>
    <row r="39" spans="2:7" x14ac:dyDescent="0.35">
      <c r="B39" s="217" t="s">
        <v>194</v>
      </c>
      <c r="C39" s="217">
        <v>2015</v>
      </c>
      <c r="D39" s="217">
        <v>2019</v>
      </c>
      <c r="E39" s="217">
        <v>2023</v>
      </c>
      <c r="G39" s="351">
        <v>2012</v>
      </c>
    </row>
    <row r="40" spans="2:7" x14ac:dyDescent="0.35">
      <c r="B40" t="s">
        <v>196</v>
      </c>
      <c r="C40">
        <v>31370</v>
      </c>
      <c r="D40">
        <v>32000</v>
      </c>
      <c r="E40">
        <v>26285</v>
      </c>
      <c r="G40" s="351">
        <f>C40</f>
        <v>31370</v>
      </c>
    </row>
    <row r="41" spans="2:7" x14ac:dyDescent="0.35">
      <c r="B41" t="s">
        <v>197</v>
      </c>
      <c r="C41" s="162">
        <f>'Chaleur du bâtiment - Calcul'!E48</f>
        <v>3749.2070491815375</v>
      </c>
      <c r="D41" s="162">
        <f>'Chaleur du bâtiment - Calcul'!I48</f>
        <v>3903.6945664465379</v>
      </c>
      <c r="E41" s="162">
        <f>'Chaleur du bâtiment - Calcul'!M48</f>
        <v>3329.2110483340598</v>
      </c>
      <c r="G41" s="352">
        <f>C41</f>
        <v>3749.2070491815375</v>
      </c>
    </row>
    <row r="42" spans="2:7" x14ac:dyDescent="0.35">
      <c r="B42" t="s">
        <v>124</v>
      </c>
      <c r="C42" s="216">
        <f>C41/C40</f>
        <v>0.11951568534209556</v>
      </c>
      <c r="D42" s="216">
        <f t="shared" ref="D42:E42" si="2">D41/D40</f>
        <v>0.12199045520145431</v>
      </c>
      <c r="E42" s="216">
        <f t="shared" si="2"/>
        <v>0.12665820994232679</v>
      </c>
      <c r="G42" s="351">
        <v>0.22</v>
      </c>
    </row>
    <row r="43" spans="2:7" x14ac:dyDescent="0.35">
      <c r="B43" t="s">
        <v>195</v>
      </c>
      <c r="C43" s="215">
        <f>C35*1000*C$42</f>
        <v>224.68948844313965</v>
      </c>
      <c r="D43" s="215">
        <f>D35*1000*D$42</f>
        <v>196.01254322155921</v>
      </c>
      <c r="E43" s="215">
        <f>E35*1000*E$42</f>
        <v>191.25389701291346</v>
      </c>
      <c r="G43" s="353">
        <f>G35*1000*G$42</f>
        <v>475.2</v>
      </c>
    </row>
    <row r="44" spans="2:7" x14ac:dyDescent="0.35">
      <c r="B44" s="107" t="s">
        <v>531</v>
      </c>
      <c r="C44" s="185">
        <f>C43*CH4_PRG</f>
        <v>6291.3056764079101</v>
      </c>
      <c r="D44" s="185">
        <f>D43*CH4_PRG</f>
        <v>5488.3512102036584</v>
      </c>
      <c r="E44" s="185">
        <f>E43*CH4_PRG</f>
        <v>5355.1091163615765</v>
      </c>
      <c r="F44" s="185"/>
      <c r="G44" s="354" t="e">
        <f>#REF!+G43*CH4_PRG</f>
        <v>#REF!</v>
      </c>
    </row>
    <row r="46" spans="2:7" s="413" customFormat="1" x14ac:dyDescent="0.35">
      <c r="B46" s="217" t="s">
        <v>532</v>
      </c>
      <c r="C46" s="217">
        <v>2015</v>
      </c>
      <c r="D46" s="217">
        <v>2019</v>
      </c>
      <c r="E46" s="217">
        <v>2023</v>
      </c>
    </row>
    <row r="47" spans="2:7" x14ac:dyDescent="0.35">
      <c r="B47" t="s">
        <v>356</v>
      </c>
      <c r="C47" s="215">
        <f>(C34+C36)*1000*C$42</f>
        <v>5130.8083717361624</v>
      </c>
      <c r="D47" s="215">
        <f>(D34+D36)*1000*D$42</f>
        <v>4134.6469233197076</v>
      </c>
      <c r="E47" s="215">
        <f>(E34+E36)*1000*E$42</f>
        <v>1207.4327153802012</v>
      </c>
    </row>
    <row r="50" spans="2:11" s="167" customFormat="1" x14ac:dyDescent="0.35">
      <c r="B50" s="166" t="s">
        <v>200</v>
      </c>
    </row>
    <row r="52" spans="2:11" x14ac:dyDescent="0.35">
      <c r="B52" s="217" t="s">
        <v>205</v>
      </c>
      <c r="C52" s="217">
        <v>2015</v>
      </c>
      <c r="D52" s="217">
        <v>2019</v>
      </c>
      <c r="E52" s="217">
        <v>2023</v>
      </c>
    </row>
    <row r="53" spans="2:11" x14ac:dyDescent="0.35">
      <c r="B53" t="s">
        <v>199</v>
      </c>
      <c r="C53" s="39">
        <v>166840.18</v>
      </c>
      <c r="D53" s="39">
        <v>179850.27</v>
      </c>
      <c r="E53" s="39">
        <v>175540.03</v>
      </c>
    </row>
    <row r="54" spans="2:11" x14ac:dyDescent="0.35">
      <c r="B54" t="s">
        <v>204</v>
      </c>
      <c r="C54" s="39">
        <f>C53*'Facteurs d''émissions'!$O$34</f>
        <v>86927.070583599998</v>
      </c>
      <c r="D54" s="39">
        <f>D53*'Facteurs d''émissions'!$O$34</f>
        <v>93705.587675400006</v>
      </c>
      <c r="E54" s="39">
        <f>E53*'Facteurs d''émissions'!$O$34</f>
        <v>91459.866430599999</v>
      </c>
    </row>
    <row r="55" spans="2:11" x14ac:dyDescent="0.35">
      <c r="B55" t="s">
        <v>198</v>
      </c>
      <c r="C55">
        <v>191000</v>
      </c>
      <c r="D55">
        <v>209000</v>
      </c>
      <c r="E55" s="6">
        <v>199000</v>
      </c>
    </row>
    <row r="56" spans="2:11" x14ac:dyDescent="0.35">
      <c r="E56" s="6"/>
    </row>
    <row r="58" spans="2:11" hidden="1" x14ac:dyDescent="0.35">
      <c r="B58" s="6" t="s">
        <v>359</v>
      </c>
      <c r="C58" s="6">
        <v>0</v>
      </c>
      <c r="D58" t="s">
        <v>360</v>
      </c>
    </row>
    <row r="59" spans="2:11" x14ac:dyDescent="0.35">
      <c r="B59" s="6"/>
      <c r="C59" s="6"/>
    </row>
    <row r="61" spans="2:11" s="167" customFormat="1" x14ac:dyDescent="0.35">
      <c r="B61" s="166" t="s">
        <v>828</v>
      </c>
    </row>
    <row r="63" spans="2:11" x14ac:dyDescent="0.35">
      <c r="B63" s="181" t="s">
        <v>379</v>
      </c>
      <c r="C63" s="181">
        <v>2015</v>
      </c>
      <c r="D63" s="181">
        <v>2019</v>
      </c>
      <c r="E63" s="181">
        <v>2023</v>
      </c>
      <c r="H63" s="365" t="s">
        <v>380</v>
      </c>
      <c r="I63" s="356">
        <v>2015</v>
      </c>
      <c r="J63" s="356">
        <v>2019</v>
      </c>
      <c r="K63" s="356">
        <v>2023</v>
      </c>
    </row>
    <row r="64" spans="2:11" x14ac:dyDescent="0.35">
      <c r="B64" s="40" t="s">
        <v>525</v>
      </c>
      <c r="C64" s="277">
        <v>104698</v>
      </c>
      <c r="D64" s="277">
        <v>97548</v>
      </c>
      <c r="E64" s="162">
        <v>95630</v>
      </c>
      <c r="H64" t="s">
        <v>374</v>
      </c>
      <c r="I64" s="366">
        <v>0.5</v>
      </c>
      <c r="J64" s="366">
        <v>0.5</v>
      </c>
      <c r="K64" s="366">
        <v>0.5</v>
      </c>
    </row>
    <row r="65" spans="2:11" x14ac:dyDescent="0.35">
      <c r="B65" s="220" t="s">
        <v>524</v>
      </c>
      <c r="C65" s="348">
        <v>268972</v>
      </c>
      <c r="D65" s="348">
        <v>282287</v>
      </c>
      <c r="E65" s="221">
        <v>243567</v>
      </c>
      <c r="H65" t="s">
        <v>375</v>
      </c>
      <c r="I65" s="177">
        <f>'Facteurs d''émissions'!$K$21/'Facteurs d''émissions'!$O$21</f>
        <v>0.17916784602320973</v>
      </c>
      <c r="J65" s="177">
        <f>'Facteurs d''émissions'!$K$21/'Facteurs d''émissions'!$O$21</f>
        <v>0.17916784602320973</v>
      </c>
      <c r="K65" s="177">
        <f>'Facteurs d''émissions'!$K$21/'Facteurs d''émissions'!$O$21</f>
        <v>0.17916784602320973</v>
      </c>
    </row>
    <row r="66" spans="2:11" x14ac:dyDescent="0.35">
      <c r="B66" s="222" t="s">
        <v>526</v>
      </c>
      <c r="C66" s="151">
        <v>61819</v>
      </c>
      <c r="D66" s="151">
        <v>76469</v>
      </c>
      <c r="E66" s="151">
        <v>59062</v>
      </c>
      <c r="H66" t="s">
        <v>376</v>
      </c>
      <c r="I66" s="39">
        <f>(I64*C64)*(I65/(1-I65))</f>
        <v>11426.523103448275</v>
      </c>
      <c r="J66" s="39">
        <f t="shared" ref="J66" si="3">(J64*D64)*(J65/(1-J65))</f>
        <v>10646.186896551724</v>
      </c>
      <c r="K66" s="39">
        <f>(K64*E64)*(K65/(1-K65))</f>
        <v>10436.860344827586</v>
      </c>
    </row>
    <row r="67" spans="2:11" x14ac:dyDescent="0.35">
      <c r="B67" s="220" t="s">
        <v>7</v>
      </c>
      <c r="C67" s="221">
        <f>SUM(C64:C66)</f>
        <v>435489</v>
      </c>
      <c r="D67" s="221">
        <f>SUM(D64:D66)</f>
        <v>456304</v>
      </c>
      <c r="E67" s="221">
        <f>SUM(E64:E66)</f>
        <v>398259</v>
      </c>
      <c r="F67" s="163"/>
    </row>
    <row r="68" spans="2:11" x14ac:dyDescent="0.35">
      <c r="B68" s="218" t="s">
        <v>206</v>
      </c>
      <c r="C68" s="219">
        <v>374000</v>
      </c>
      <c r="D68" s="219">
        <v>380000</v>
      </c>
      <c r="E68" s="219">
        <v>370000</v>
      </c>
    </row>
    <row r="69" spans="2:11" x14ac:dyDescent="0.35">
      <c r="B69" s="218"/>
      <c r="C69" s="430"/>
      <c r="D69" s="430"/>
      <c r="E69" s="430"/>
      <c r="H69" s="711"/>
      <c r="I69" s="712"/>
      <c r="J69" s="712"/>
      <c r="K69" s="712"/>
    </row>
    <row r="70" spans="2:11" x14ac:dyDescent="0.35">
      <c r="B70" s="218"/>
      <c r="C70" s="219"/>
      <c r="D70" s="219"/>
      <c r="E70" s="219"/>
    </row>
    <row r="71" spans="2:11" x14ac:dyDescent="0.35">
      <c r="B71" s="220" t="s">
        <v>381</v>
      </c>
      <c r="C71" s="367">
        <f>E66/(E66+E64)</f>
        <v>0.3818038424740775</v>
      </c>
      <c r="D71" s="219"/>
      <c r="E71" s="219"/>
    </row>
    <row r="74" spans="2:11" hidden="1" x14ac:dyDescent="0.35">
      <c r="B74" s="181" t="s">
        <v>827</v>
      </c>
      <c r="C74" s="181">
        <v>2015</v>
      </c>
      <c r="D74" s="181">
        <v>2020</v>
      </c>
      <c r="E74" s="181">
        <v>2023</v>
      </c>
      <c r="F74" s="181" t="s">
        <v>89</v>
      </c>
    </row>
    <row r="75" spans="2:11" hidden="1" x14ac:dyDescent="0.35">
      <c r="B75" t="s">
        <v>523</v>
      </c>
      <c r="C75">
        <v>65</v>
      </c>
      <c r="D75">
        <v>43</v>
      </c>
      <c r="E75" s="263">
        <v>0</v>
      </c>
      <c r="F75" s="223" t="s">
        <v>386</v>
      </c>
    </row>
    <row r="76" spans="2:11" hidden="1" x14ac:dyDescent="0.35">
      <c r="B76" t="s">
        <v>207</v>
      </c>
      <c r="C76">
        <v>914</v>
      </c>
      <c r="D76">
        <v>891</v>
      </c>
      <c r="E76" s="6">
        <v>891</v>
      </c>
      <c r="F76" s="223" t="s">
        <v>386</v>
      </c>
    </row>
    <row r="77" spans="2:11" hidden="1" x14ac:dyDescent="0.35">
      <c r="B77" t="s">
        <v>209</v>
      </c>
      <c r="C77">
        <v>44</v>
      </c>
      <c r="D77">
        <v>0</v>
      </c>
      <c r="E77">
        <v>0</v>
      </c>
      <c r="F77" s="223"/>
    </row>
    <row r="78" spans="2:11" hidden="1" x14ac:dyDescent="0.35">
      <c r="B78" t="s">
        <v>210</v>
      </c>
      <c r="C78">
        <v>13</v>
      </c>
      <c r="D78">
        <v>0</v>
      </c>
      <c r="E78">
        <v>0</v>
      </c>
      <c r="F78" s="223"/>
    </row>
    <row r="79" spans="2:11" hidden="1" x14ac:dyDescent="0.35">
      <c r="B79" t="s">
        <v>208</v>
      </c>
      <c r="C79" s="39">
        <f>454*CH4_PRG/1000</f>
        <v>12.712</v>
      </c>
      <c r="D79" s="39">
        <f>422*CH4_PRG/1000</f>
        <v>11.816000000000001</v>
      </c>
      <c r="E79" s="78">
        <f>195*CH4_PRG/1000</f>
        <v>5.46</v>
      </c>
      <c r="F79" s="223" t="s">
        <v>3</v>
      </c>
    </row>
    <row r="80" spans="2:11" hidden="1" x14ac:dyDescent="0.35">
      <c r="B80" s="181" t="s">
        <v>7</v>
      </c>
      <c r="C80" s="181">
        <f>SUM(C75:C79)</f>
        <v>1048.712</v>
      </c>
      <c r="D80" s="181">
        <f t="shared" ref="D80:E80" si="4">SUM(D75:D79)</f>
        <v>945.81600000000003</v>
      </c>
      <c r="E80" s="181">
        <f t="shared" si="4"/>
        <v>896.46</v>
      </c>
      <c r="F80" s="182"/>
    </row>
    <row r="81" spans="2:6" hidden="1" x14ac:dyDescent="0.35"/>
    <row r="83" spans="2:6" s="167" customFormat="1" x14ac:dyDescent="0.35">
      <c r="B83" s="166" t="s">
        <v>212</v>
      </c>
    </row>
    <row r="84" spans="2:6" x14ac:dyDescent="0.35">
      <c r="B84" s="124" t="s">
        <v>712</v>
      </c>
    </row>
    <row r="85" spans="2:6" x14ac:dyDescent="0.35">
      <c r="B85" s="217"/>
      <c r="C85" s="217">
        <v>2015</v>
      </c>
      <c r="D85" s="217">
        <v>2019</v>
      </c>
      <c r="E85" s="217">
        <v>2023</v>
      </c>
    </row>
    <row r="86" spans="2:6" x14ac:dyDescent="0.35">
      <c r="B86" t="s">
        <v>527</v>
      </c>
      <c r="C86" s="39">
        <v>645.71289458620345</v>
      </c>
      <c r="D86" s="39">
        <v>628.853134347528</v>
      </c>
      <c r="E86" s="39">
        <v>629.5119310155759</v>
      </c>
    </row>
    <row r="87" spans="2:6" x14ac:dyDescent="0.35">
      <c r="B87" t="s">
        <v>338</v>
      </c>
      <c r="C87" s="216">
        <f>Constantes!D15</f>
        <v>8.0201375436747574E-2</v>
      </c>
      <c r="D87" s="216">
        <f>Constantes!E15</f>
        <v>8.179204579852388E-2</v>
      </c>
      <c r="E87" s="216">
        <f>Constantes!F15</f>
        <v>8.1533383812399898E-2</v>
      </c>
    </row>
    <row r="88" spans="2:6" x14ac:dyDescent="0.35">
      <c r="B88" s="183" t="s">
        <v>528</v>
      </c>
      <c r="C88" s="224">
        <f>C86*C87*1000</f>
        <v>51787.062283057108</v>
      </c>
      <c r="D88" s="224">
        <f t="shared" ref="D88:E88" si="5">D86*D87*1000</f>
        <v>51435.184365098299</v>
      </c>
      <c r="E88" s="224">
        <f t="shared" si="5"/>
        <v>51326.237885977964</v>
      </c>
    </row>
    <row r="89" spans="2:6" x14ac:dyDescent="0.35">
      <c r="B89" t="s">
        <v>213</v>
      </c>
      <c r="C89">
        <f>18.8+5.3</f>
        <v>24.1</v>
      </c>
      <c r="D89">
        <f>26.8+10.1</f>
        <v>36.9</v>
      </c>
      <c r="E89">
        <f>24.4+9.2</f>
        <v>33.599999999999994</v>
      </c>
    </row>
    <row r="90" spans="2:6" x14ac:dyDescent="0.35">
      <c r="B90" s="5" t="s">
        <v>529</v>
      </c>
      <c r="C90" s="225">
        <f>C$89*TJ_to_kWh*_xlfn.XLOOKUP($F$90,'Facteurs d''émissions'!$B:$B,'Facteurs d''émissions'!$D:$D)/1000</f>
        <v>1766.53</v>
      </c>
      <c r="D90" s="225">
        <f>D$89*TJ_to_kWh*_xlfn.XLOOKUP($F$90,'Facteurs d''émissions'!$B:$B,'Facteurs d''émissions'!$D:$D)/1000</f>
        <v>2704.7699999999995</v>
      </c>
      <c r="E90" s="225">
        <f>E$89*TJ_to_kWh*_xlfn.XLOOKUP($F$90,'Facteurs d''émissions'!$B:$B,'Facteurs d''émissions'!$D:$D)/1000</f>
        <v>2462.8799999999997</v>
      </c>
      <c r="F90" t="s">
        <v>170</v>
      </c>
    </row>
    <row r="91" spans="2:6" x14ac:dyDescent="0.35">
      <c r="B91" s="163" t="s">
        <v>530</v>
      </c>
      <c r="C91" s="221">
        <f>C88+C90</f>
        <v>53553.592283057107</v>
      </c>
      <c r="D91" s="221">
        <f t="shared" ref="D91:E91" si="6">D88+D90</f>
        <v>54139.954365098296</v>
      </c>
      <c r="E91" s="221">
        <f t="shared" si="6"/>
        <v>53789.117885977961</v>
      </c>
    </row>
    <row r="92" spans="2:6" x14ac:dyDescent="0.35">
      <c r="B92" s="107" t="s">
        <v>214</v>
      </c>
      <c r="C92" s="185">
        <f>C91/(_xlfn.XLOOKUP($F$90,'Facteurs d''émissions'!$B:$B,'Facteurs d''émissions'!$D:$D))</f>
        <v>202946.76475313384</v>
      </c>
      <c r="D92" s="185">
        <f>D91/_xlfn.XLOOKUP($F$90,'Facteurs d''émissions'!$B:$B,'Facteurs d''émissions'!$D:$D)</f>
        <v>205168.84328140877</v>
      </c>
      <c r="E92" s="185">
        <f>E91/_xlfn.XLOOKUP($F$90,'Facteurs d''émissions'!$B:$B,'Facteurs d''émissions'!$D:$D)</f>
        <v>203839.31289213966</v>
      </c>
      <c r="F92" t="s">
        <v>170</v>
      </c>
    </row>
    <row r="95" spans="2:6" s="167" customFormat="1" x14ac:dyDescent="0.35">
      <c r="B95" s="166" t="s">
        <v>211</v>
      </c>
    </row>
    <row r="97" spans="2:5" x14ac:dyDescent="0.35">
      <c r="B97" s="124" t="s">
        <v>385</v>
      </c>
    </row>
    <row r="98" spans="2:5" x14ac:dyDescent="0.35">
      <c r="B98" s="356"/>
      <c r="C98" s="365">
        <v>2015</v>
      </c>
      <c r="D98" s="365">
        <v>2019</v>
      </c>
      <c r="E98" s="365">
        <v>2023</v>
      </c>
    </row>
    <row r="99" spans="2:5" x14ac:dyDescent="0.35">
      <c r="B99" t="s">
        <v>387</v>
      </c>
      <c r="C99" s="48">
        <v>14.704738802174701</v>
      </c>
      <c r="D99" s="48">
        <v>15.808869220243299</v>
      </c>
      <c r="E99" s="48">
        <v>15.931928208294702</v>
      </c>
    </row>
    <row r="100" spans="2:5" x14ac:dyDescent="0.35">
      <c r="B100" t="s">
        <v>388</v>
      </c>
      <c r="C100" s="48">
        <v>32.279403405141501</v>
      </c>
      <c r="D100" s="48">
        <v>35.389260002920999</v>
      </c>
      <c r="E100" s="48">
        <v>31.749880328146403</v>
      </c>
    </row>
    <row r="101" spans="2:5" x14ac:dyDescent="0.35">
      <c r="B101" t="s">
        <v>389</v>
      </c>
      <c r="C101" s="216">
        <f>Constantes!D9</f>
        <v>9.2925698494294426E-2</v>
      </c>
      <c r="D101" s="216">
        <f>Constantes!E9</f>
        <v>9.366545538461217E-2</v>
      </c>
      <c r="E101" s="216">
        <f>Constantes!F9</f>
        <v>9.4429662703305356E-2</v>
      </c>
    </row>
    <row r="102" spans="2:5" x14ac:dyDescent="0.35">
      <c r="B102" s="107" t="s">
        <v>390</v>
      </c>
      <c r="C102" s="185">
        <f>C101*(C100+C99)*1000</f>
        <v>4366.0342327701183</v>
      </c>
      <c r="D102" s="185">
        <f>D101*(D100+D99)*1000</f>
        <v>4795.4960885279042</v>
      </c>
      <c r="E102" s="185">
        <f>E101*(E100+E99)*1000</f>
        <v>4502.5770971797192</v>
      </c>
    </row>
    <row r="105" spans="2:5" s="167" customFormat="1" x14ac:dyDescent="0.35">
      <c r="B105" s="166" t="s">
        <v>803</v>
      </c>
    </row>
    <row r="107" spans="2:5" x14ac:dyDescent="0.35">
      <c r="C107" t="s">
        <v>804</v>
      </c>
      <c r="D107" t="s">
        <v>205</v>
      </c>
    </row>
    <row r="108" spans="2:5" x14ac:dyDescent="0.35">
      <c r="B108" t="s">
        <v>803</v>
      </c>
      <c r="C108" s="162">
        <f>E66</f>
        <v>59062</v>
      </c>
      <c r="D108" s="39">
        <f>(E54/0.478) * (1-0.478)</f>
        <v>99878.766269400017</v>
      </c>
    </row>
  </sheetData>
  <phoneticPr fontId="16" type="noConversion"/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7E66E-1DE7-4BB2-91B0-F4A200FC1263}">
  <sheetPr>
    <tabColor theme="8" tint="-0.499984740745262"/>
  </sheetPr>
  <dimension ref="A2:N49"/>
  <sheetViews>
    <sheetView workbookViewId="0">
      <selection activeCell="D16" sqref="D16"/>
    </sheetView>
  </sheetViews>
  <sheetFormatPr baseColWidth="10" defaultRowHeight="14.5" x14ac:dyDescent="0.35"/>
  <cols>
    <col min="3" max="3" width="33.54296875" customWidth="1"/>
    <col min="4" max="4" width="34.7265625" customWidth="1"/>
    <col min="5" max="5" width="13.1796875" customWidth="1"/>
    <col min="6" max="6" width="7.453125" customWidth="1"/>
    <col min="11" max="12" width="29.54296875" customWidth="1"/>
    <col min="13" max="13" width="0" hidden="1" customWidth="1"/>
  </cols>
  <sheetData>
    <row r="2" spans="1:13" s="250" customFormat="1" ht="46" x14ac:dyDescent="1">
      <c r="B2" s="250" t="s">
        <v>223</v>
      </c>
    </row>
    <row r="6" spans="1:13" s="252" customFormat="1" x14ac:dyDescent="0.35">
      <c r="A6" s="251">
        <v>2023</v>
      </c>
    </row>
    <row r="7" spans="1:13" s="6" customFormat="1" x14ac:dyDescent="0.35">
      <c r="C7" s="7"/>
    </row>
    <row r="8" spans="1:13" ht="29" x14ac:dyDescent="0.35">
      <c r="D8" s="5"/>
      <c r="E8" s="5"/>
      <c r="F8" s="14"/>
      <c r="G8" s="970" t="s">
        <v>734</v>
      </c>
      <c r="H8" s="971"/>
      <c r="I8" s="971"/>
      <c r="J8" s="972"/>
      <c r="K8" s="667" t="s">
        <v>728</v>
      </c>
      <c r="L8" s="668" t="s">
        <v>735</v>
      </c>
    </row>
    <row r="9" spans="1:13" ht="15" thickBot="1" x14ac:dyDescent="0.4">
      <c r="B9" s="15" t="s">
        <v>5</v>
      </c>
      <c r="C9" s="17" t="s">
        <v>340</v>
      </c>
      <c r="D9" s="9" t="s">
        <v>1</v>
      </c>
      <c r="E9" s="4" t="s">
        <v>129</v>
      </c>
      <c r="F9" s="4" t="s">
        <v>95</v>
      </c>
      <c r="G9" s="8" t="s">
        <v>749</v>
      </c>
      <c r="H9" s="4" t="s">
        <v>3</v>
      </c>
      <c r="I9" s="4" t="s">
        <v>50</v>
      </c>
      <c r="J9" s="4" t="s">
        <v>4</v>
      </c>
      <c r="K9" s="8" t="s">
        <v>4</v>
      </c>
      <c r="L9" s="671" t="s">
        <v>4</v>
      </c>
    </row>
    <row r="10" spans="1:13" ht="15" thickTop="1" x14ac:dyDescent="0.35">
      <c r="B10" s="10">
        <v>2023</v>
      </c>
      <c r="C10" s="18" t="s">
        <v>217</v>
      </c>
      <c r="D10" s="12" t="s">
        <v>217</v>
      </c>
      <c r="E10" s="358" t="str">
        <f>E15</f>
        <v>calculé en tCO2eq</v>
      </c>
      <c r="F10" s="11"/>
      <c r="G10" s="10">
        <v>0</v>
      </c>
      <c r="H10" s="148">
        <f>'Déchets - Calcul'!E22</f>
        <v>15245.604420255166</v>
      </c>
      <c r="I10" s="148">
        <f>'Déchets - Calcul'!E21</f>
        <v>82872.902150547321</v>
      </c>
      <c r="J10" s="148">
        <f>SUM(G10:I10)</f>
        <v>98118.506570802492</v>
      </c>
      <c r="K10" s="10">
        <v>0</v>
      </c>
      <c r="L10" s="649">
        <f>J10+K10</f>
        <v>98118.506570802492</v>
      </c>
      <c r="M10" s="11"/>
    </row>
    <row r="11" spans="1:13" x14ac:dyDescent="0.35">
      <c r="B11" s="20" t="s">
        <v>6</v>
      </c>
      <c r="C11" s="21"/>
      <c r="D11" s="22"/>
      <c r="E11" s="23"/>
      <c r="F11" s="23"/>
      <c r="G11" s="213">
        <f>G10</f>
        <v>0</v>
      </c>
      <c r="H11" s="211">
        <f t="shared" ref="H11" si="0">H10</f>
        <v>15245.604420255166</v>
      </c>
      <c r="I11" s="211">
        <f t="shared" ref="I11" si="1">I10</f>
        <v>82872.902150547321</v>
      </c>
      <c r="J11" s="211">
        <f t="shared" ref="J11" si="2">J10</f>
        <v>98118.506570802492</v>
      </c>
      <c r="K11" s="213">
        <f t="shared" ref="K11" si="3">K10</f>
        <v>0</v>
      </c>
      <c r="L11" s="654">
        <f t="shared" ref="L11:L17" si="4">J11+K11</f>
        <v>98118.506570802492</v>
      </c>
    </row>
    <row r="12" spans="1:13" x14ac:dyDescent="0.35">
      <c r="B12" s="10">
        <v>2023</v>
      </c>
      <c r="C12" s="18" t="s">
        <v>369</v>
      </c>
      <c r="D12" s="18" t="s">
        <v>238</v>
      </c>
      <c r="E12" s="148">
        <f>'Déchets - Calcul'!E30</f>
        <v>61434</v>
      </c>
      <c r="F12" s="11" t="s">
        <v>203</v>
      </c>
      <c r="G12" s="153">
        <f>$E12*_xlfn.XLOOKUP($M12,'Facteurs d''émissions'!$B:$B,'Facteurs d''émissions'!D:D)</f>
        <v>0</v>
      </c>
      <c r="H12" s="154">
        <f>$E12*_xlfn.XLOOKUP($M12,'Facteurs d''émissions'!$B:$B,'Facteurs d''émissions'!E:E)/1000</f>
        <v>4300.38</v>
      </c>
      <c r="I12" s="154">
        <f>$E12*_xlfn.XLOOKUP($M12,'Facteurs d''émissions'!$B:$B,'Facteurs d''émissions'!F:F)/1000</f>
        <v>2116.4013000000004</v>
      </c>
      <c r="J12" s="154">
        <f>$E12*_xlfn.XLOOKUP($M12,'Facteurs d''émissions'!$B:$B,'Facteurs d''émissions'!G:G)/1000</f>
        <v>6416.7812999999996</v>
      </c>
      <c r="K12" s="153">
        <f>$E12*_xlfn.XLOOKUP($M12,'Facteurs d''émissions'!$B:$B,'Facteurs d''émissions'!H:H)/1000</f>
        <v>0</v>
      </c>
      <c r="L12" s="657">
        <f t="shared" si="4"/>
        <v>6416.7812999999996</v>
      </c>
      <c r="M12" s="317" t="s">
        <v>236</v>
      </c>
    </row>
    <row r="13" spans="1:13" x14ac:dyDescent="0.35">
      <c r="B13" s="10">
        <v>2023</v>
      </c>
      <c r="C13" s="18"/>
      <c r="D13" s="18" t="s">
        <v>239</v>
      </c>
      <c r="E13" s="148">
        <f>'Déchets - Calcul'!E29</f>
        <v>297616</v>
      </c>
      <c r="F13" s="11" t="s">
        <v>203</v>
      </c>
      <c r="G13" s="149">
        <f>$E13*_xlfn.XLOOKUP($M13,'Facteurs d''émissions'!$B:$B,'Facteurs d''émissions'!D:D)</f>
        <v>0</v>
      </c>
      <c r="H13" s="148">
        <f>$E13*_xlfn.XLOOKUP($M13,'Facteurs d''émissions'!$B:$B,'Facteurs d''émissions'!E:E)/1000</f>
        <v>1416.6521600000001</v>
      </c>
      <c r="I13" s="148">
        <f>$E13*_xlfn.XLOOKUP($M13,'Facteurs d''émissions'!$B:$B,'Facteurs d''émissions'!F:F)/1000</f>
        <v>0</v>
      </c>
      <c r="J13" s="148">
        <f>$E13*_xlfn.XLOOKUP($M13,'Facteurs d''émissions'!$B:$B,'Facteurs d''émissions'!G:G)/1000</f>
        <v>1416.6521600000001</v>
      </c>
      <c r="K13" s="149">
        <f>$E13*_xlfn.XLOOKUP($M13,'Facteurs d''émissions'!$B:$B,'Facteurs d''émissions'!H:H)/1000</f>
        <v>0</v>
      </c>
      <c r="L13" s="650">
        <f t="shared" si="4"/>
        <v>1416.6521600000001</v>
      </c>
      <c r="M13" s="317" t="s">
        <v>237</v>
      </c>
    </row>
    <row r="14" spans="1:13" x14ac:dyDescent="0.35">
      <c r="B14" s="20" t="s">
        <v>6</v>
      </c>
      <c r="C14" s="21"/>
      <c r="D14" s="22"/>
      <c r="E14" s="23"/>
      <c r="F14" s="23"/>
      <c r="G14" s="213">
        <f>G13</f>
        <v>0</v>
      </c>
      <c r="H14" s="211">
        <f>H13+H12</f>
        <v>5717.0321600000007</v>
      </c>
      <c r="I14" s="211">
        <f t="shared" ref="I14:K14" si="5">I13+I12</f>
        <v>2116.4013000000004</v>
      </c>
      <c r="J14" s="211">
        <f t="shared" si="5"/>
        <v>7833.4334600000002</v>
      </c>
      <c r="K14" s="213">
        <f t="shared" si="5"/>
        <v>0</v>
      </c>
      <c r="L14" s="654">
        <f t="shared" si="4"/>
        <v>7833.4334600000002</v>
      </c>
      <c r="M14" s="317"/>
    </row>
    <row r="15" spans="1:13" x14ac:dyDescent="0.35">
      <c r="B15" s="70">
        <v>2023</v>
      </c>
      <c r="C15" s="261" t="str">
        <f>D15</f>
        <v xml:space="preserve">Mise en décharge des déchets </v>
      </c>
      <c r="D15" s="261" t="s">
        <v>824</v>
      </c>
      <c r="E15" s="357" t="s">
        <v>885</v>
      </c>
      <c r="F15" s="12"/>
      <c r="G15" s="10">
        <v>0</v>
      </c>
      <c r="H15" s="148">
        <f>'Déchets - Calcul'!E38</f>
        <v>24675.943967111863</v>
      </c>
      <c r="I15" s="11">
        <v>0</v>
      </c>
      <c r="J15" s="148">
        <f>H15</f>
        <v>24675.943967111863</v>
      </c>
      <c r="K15" s="10">
        <v>0</v>
      </c>
      <c r="L15" s="650">
        <f t="shared" si="4"/>
        <v>24675.943967111863</v>
      </c>
      <c r="M15" s="11"/>
    </row>
    <row r="16" spans="1:13" x14ac:dyDescent="0.35">
      <c r="B16" s="20" t="s">
        <v>6</v>
      </c>
      <c r="C16" s="21"/>
      <c r="D16" s="22"/>
      <c r="E16" s="23"/>
      <c r="F16" s="23"/>
      <c r="G16" s="213">
        <f>SUM(G12:G15)</f>
        <v>0</v>
      </c>
      <c r="H16" s="211">
        <f>H15</f>
        <v>24675.943967111863</v>
      </c>
      <c r="I16" s="211">
        <f t="shared" ref="I16:K16" si="6">I15</f>
        <v>0</v>
      </c>
      <c r="J16" s="211">
        <f t="shared" si="6"/>
        <v>24675.943967111863</v>
      </c>
      <c r="K16" s="213">
        <f t="shared" si="6"/>
        <v>0</v>
      </c>
      <c r="L16" s="654">
        <f t="shared" si="4"/>
        <v>24675.943967111863</v>
      </c>
      <c r="M16" s="11"/>
    </row>
    <row r="17" spans="1:14" x14ac:dyDescent="0.35">
      <c r="B17" s="253" t="s">
        <v>7</v>
      </c>
      <c r="C17" s="254"/>
      <c r="D17" s="255"/>
      <c r="E17" s="256"/>
      <c r="F17" s="256"/>
      <c r="G17" s="344">
        <f>G16+G11</f>
        <v>0</v>
      </c>
      <c r="H17" s="345">
        <f>H16+H11+H14</f>
        <v>45638.580547367033</v>
      </c>
      <c r="I17" s="345">
        <f t="shared" ref="I17:K17" si="7">I16+I11+I14</f>
        <v>84989.303450547319</v>
      </c>
      <c r="J17" s="345">
        <f t="shared" si="7"/>
        <v>130627.88399791435</v>
      </c>
      <c r="K17" s="344">
        <f t="shared" si="7"/>
        <v>0</v>
      </c>
      <c r="L17" s="670">
        <f t="shared" si="4"/>
        <v>130627.88399791435</v>
      </c>
      <c r="M17" s="11"/>
    </row>
    <row r="19" spans="1:14" s="252" customFormat="1" x14ac:dyDescent="0.35">
      <c r="A19" s="251">
        <v>2019</v>
      </c>
    </row>
    <row r="21" spans="1:14" ht="29" x14ac:dyDescent="0.35">
      <c r="D21" s="5"/>
      <c r="E21" s="5"/>
      <c r="F21" s="14"/>
      <c r="G21" s="970" t="s">
        <v>734</v>
      </c>
      <c r="H21" s="971"/>
      <c r="I21" s="971"/>
      <c r="J21" s="972"/>
      <c r="K21" s="667" t="s">
        <v>728</v>
      </c>
      <c r="L21" s="668" t="s">
        <v>735</v>
      </c>
    </row>
    <row r="22" spans="1:14" ht="15" thickBot="1" x14ac:dyDescent="0.4">
      <c r="B22" s="15" t="s">
        <v>5</v>
      </c>
      <c r="C22" s="17" t="s">
        <v>340</v>
      </c>
      <c r="D22" s="9" t="s">
        <v>1</v>
      </c>
      <c r="E22" s="4" t="s">
        <v>129</v>
      </c>
      <c r="F22" s="4" t="s">
        <v>95</v>
      </c>
      <c r="G22" s="8" t="s">
        <v>48</v>
      </c>
      <c r="H22" s="4" t="s">
        <v>3</v>
      </c>
      <c r="I22" s="4" t="s">
        <v>50</v>
      </c>
      <c r="J22" s="16" t="s">
        <v>4</v>
      </c>
      <c r="K22" s="4" t="s">
        <v>4</v>
      </c>
      <c r="L22" s="671" t="s">
        <v>4</v>
      </c>
    </row>
    <row r="23" spans="1:14" ht="15" thickTop="1" x14ac:dyDescent="0.35">
      <c r="B23" s="10">
        <v>2019</v>
      </c>
      <c r="C23" s="18" t="str">
        <f>C10</f>
        <v>Eaux usées</v>
      </c>
      <c r="D23" s="12" t="str">
        <f>D10</f>
        <v>Eaux usées</v>
      </c>
      <c r="E23" s="358" t="str">
        <f>E28</f>
        <v>calculé en tCO2eq</v>
      </c>
      <c r="F23" s="11"/>
      <c r="G23" s="10">
        <v>0</v>
      </c>
      <c r="H23" s="148">
        <f>'Déchets - Calcul'!D22</f>
        <v>14606.363084443741</v>
      </c>
      <c r="I23" s="148">
        <f>'Déchets - Calcul'!D21</f>
        <v>88857.805466552469</v>
      </c>
      <c r="J23" s="152">
        <f>SUM(G23:I23)</f>
        <v>103464.16855099621</v>
      </c>
      <c r="K23" s="11">
        <v>0</v>
      </c>
      <c r="L23" s="649">
        <f>J23+K23</f>
        <v>103464.16855099621</v>
      </c>
      <c r="M23" s="10"/>
    </row>
    <row r="24" spans="1:14" x14ac:dyDescent="0.35">
      <c r="B24" s="20" t="s">
        <v>6</v>
      </c>
      <c r="C24" s="21"/>
      <c r="D24" s="22"/>
      <c r="E24" s="23"/>
      <c r="F24" s="23"/>
      <c r="G24" s="213">
        <f>G23</f>
        <v>0</v>
      </c>
      <c r="H24" s="211">
        <f t="shared" ref="H24:K24" si="8">H23</f>
        <v>14606.363084443741</v>
      </c>
      <c r="I24" s="211">
        <f t="shared" si="8"/>
        <v>88857.805466552469</v>
      </c>
      <c r="J24" s="210">
        <f t="shared" si="8"/>
        <v>103464.16855099621</v>
      </c>
      <c r="K24" s="211">
        <f t="shared" si="8"/>
        <v>0</v>
      </c>
      <c r="L24" s="654">
        <f t="shared" ref="L24:L29" si="9">J24+K24</f>
        <v>103464.16855099621</v>
      </c>
      <c r="M24" s="10"/>
    </row>
    <row r="25" spans="1:14" x14ac:dyDescent="0.35">
      <c r="B25" s="10">
        <v>2019</v>
      </c>
      <c r="C25" s="18" t="str">
        <f>C12</f>
        <v>Compostage et Méthanisation</v>
      </c>
      <c r="D25" s="12" t="str">
        <f>D12</f>
        <v>Compostage</v>
      </c>
      <c r="E25" s="148">
        <f>'Déchets - Calcul'!D30</f>
        <v>68750</v>
      </c>
      <c r="F25" s="11" t="s">
        <v>203</v>
      </c>
      <c r="G25" s="153">
        <f>$E25*_xlfn.XLOOKUP($M25,'Facteurs d''émissions'!$B:$B,'Facteurs d''émissions'!D:D)</f>
        <v>0</v>
      </c>
      <c r="H25" s="154">
        <f>$E25*_xlfn.XLOOKUP($M25,'Facteurs d''émissions'!$B:$B,'Facteurs d''émissions'!E:E)/1000</f>
        <v>4812.5</v>
      </c>
      <c r="I25" s="154">
        <f>$E25*_xlfn.XLOOKUP($M25,'Facteurs d''émissions'!$B:$B,'Facteurs d''émissions'!F:F)/1000</f>
        <v>2368.4375</v>
      </c>
      <c r="J25" s="157">
        <f>$E25*_xlfn.XLOOKUP($M25,'Facteurs d''émissions'!$B:$B,'Facteurs d''émissions'!G:G)/1000</f>
        <v>7180.9375</v>
      </c>
      <c r="K25" s="154">
        <f>$E25*_xlfn.XLOOKUP($M25,'Facteurs d''émissions'!$B:$B,'Facteurs d''émissions'!H:H)/1000</f>
        <v>0</v>
      </c>
      <c r="L25" s="657">
        <f t="shared" si="9"/>
        <v>7180.9375</v>
      </c>
      <c r="M25" s="264" t="s">
        <v>236</v>
      </c>
    </row>
    <row r="26" spans="1:14" x14ac:dyDescent="0.35">
      <c r="B26" s="10">
        <v>2019</v>
      </c>
      <c r="C26" s="18"/>
      <c r="D26" s="12" t="str">
        <f>D13</f>
        <v>Méthanisation</v>
      </c>
      <c r="E26" s="148">
        <f>'Déchets - Calcul'!D29</f>
        <v>196811</v>
      </c>
      <c r="F26" s="11" t="s">
        <v>203</v>
      </c>
      <c r="G26" s="149">
        <f>$E26*_xlfn.XLOOKUP($M26,'Facteurs d''émissions'!$B:$B,'Facteurs d''émissions'!D:D)</f>
        <v>0</v>
      </c>
      <c r="H26" s="148">
        <f>$E26*_xlfn.XLOOKUP($M26,'Facteurs d''émissions'!$B:$B,'Facteurs d''émissions'!E:E)/1000</f>
        <v>936.82036000000005</v>
      </c>
      <c r="I26" s="148">
        <f>$E26*_xlfn.XLOOKUP($M26,'Facteurs d''émissions'!$B:$B,'Facteurs d''émissions'!F:F)/1000</f>
        <v>0</v>
      </c>
      <c r="J26" s="152">
        <f>$E26*_xlfn.XLOOKUP($M26,'Facteurs d''émissions'!$B:$B,'Facteurs d''émissions'!G:G)/1000</f>
        <v>936.82036000000005</v>
      </c>
      <c r="K26" s="148">
        <f>$E26*_xlfn.XLOOKUP($M26,'Facteurs d''émissions'!$B:$B,'Facteurs d''émissions'!H:H)/1000</f>
        <v>0</v>
      </c>
      <c r="L26" s="650">
        <f t="shared" si="9"/>
        <v>936.82036000000005</v>
      </c>
      <c r="M26" s="264" t="s">
        <v>237</v>
      </c>
    </row>
    <row r="27" spans="1:14" x14ac:dyDescent="0.35">
      <c r="B27" s="20" t="s">
        <v>6</v>
      </c>
      <c r="C27" s="21"/>
      <c r="D27" s="22"/>
      <c r="E27" s="23"/>
      <c r="F27" s="23"/>
      <c r="G27" s="213">
        <f>G26</f>
        <v>0</v>
      </c>
      <c r="H27" s="211">
        <f>H26+H25</f>
        <v>5749.3203599999997</v>
      </c>
      <c r="I27" s="211">
        <f t="shared" ref="I27:K27" si="10">I26+I25</f>
        <v>2368.4375</v>
      </c>
      <c r="J27" s="210">
        <f t="shared" si="10"/>
        <v>8117.7578599999997</v>
      </c>
      <c r="K27" s="211">
        <f t="shared" si="10"/>
        <v>0</v>
      </c>
      <c r="L27" s="654">
        <f t="shared" si="9"/>
        <v>8117.7578599999997</v>
      </c>
      <c r="M27" s="264"/>
    </row>
    <row r="28" spans="1:14" x14ac:dyDescent="0.35">
      <c r="B28" s="70">
        <v>2019</v>
      </c>
      <c r="C28" s="18" t="str">
        <f>D28</f>
        <v xml:space="preserve">Mise en décharge des déchets </v>
      </c>
      <c r="D28" s="12" t="str">
        <f>D15</f>
        <v xml:space="preserve">Mise en décharge des déchets </v>
      </c>
      <c r="E28" s="358" t="str">
        <f>E15</f>
        <v>calculé en tCO2eq</v>
      </c>
      <c r="F28" s="11"/>
      <c r="G28" s="10">
        <v>0</v>
      </c>
      <c r="H28" s="148">
        <f>'Déchets - Calcul'!D38</f>
        <v>29924.239686275894</v>
      </c>
      <c r="I28" s="11">
        <v>0</v>
      </c>
      <c r="J28" s="152">
        <f>H28</f>
        <v>29924.239686275894</v>
      </c>
      <c r="K28" s="11">
        <v>0</v>
      </c>
      <c r="L28" s="650">
        <f t="shared" si="9"/>
        <v>29924.239686275894</v>
      </c>
      <c r="M28" s="10"/>
    </row>
    <row r="29" spans="1:14" x14ac:dyDescent="0.35">
      <c r="B29" s="20" t="s">
        <v>6</v>
      </c>
      <c r="C29" s="21"/>
      <c r="D29" s="22"/>
      <c r="E29" s="23"/>
      <c r="F29" s="23"/>
      <c r="G29" s="213">
        <f>SUM(G25:G28)</f>
        <v>0</v>
      </c>
      <c r="H29" s="211">
        <f>H28</f>
        <v>29924.239686275894</v>
      </c>
      <c r="I29" s="211">
        <f t="shared" ref="I29:K29" si="11">I28</f>
        <v>0</v>
      </c>
      <c r="J29" s="210">
        <f t="shared" si="11"/>
        <v>29924.239686275894</v>
      </c>
      <c r="K29" s="211">
        <f t="shared" si="11"/>
        <v>0</v>
      </c>
      <c r="L29" s="654">
        <f t="shared" si="9"/>
        <v>29924.239686275894</v>
      </c>
      <c r="M29" s="10"/>
      <c r="N29" s="162"/>
    </row>
    <row r="30" spans="1:14" x14ac:dyDescent="0.35">
      <c r="B30" s="253" t="s">
        <v>7</v>
      </c>
      <c r="C30" s="254"/>
      <c r="D30" s="255"/>
      <c r="E30" s="256"/>
      <c r="F30" s="256"/>
      <c r="G30" s="344">
        <f>G29+G24</f>
        <v>0</v>
      </c>
      <c r="H30" s="345">
        <f>H29+H24+H27</f>
        <v>50279.923130719631</v>
      </c>
      <c r="I30" s="345">
        <f t="shared" ref="I30:K30" si="12">I29+I24+I27</f>
        <v>91226.242966552469</v>
      </c>
      <c r="J30" s="320">
        <f t="shared" si="12"/>
        <v>141506.16609727213</v>
      </c>
      <c r="K30" s="345">
        <f t="shared" si="12"/>
        <v>0</v>
      </c>
      <c r="L30" s="670">
        <f>J30+K30</f>
        <v>141506.16609727213</v>
      </c>
      <c r="M30" s="10"/>
    </row>
    <row r="32" spans="1:14" s="252" customFormat="1" x14ac:dyDescent="0.35">
      <c r="A32" s="251">
        <v>2015</v>
      </c>
    </row>
    <row r="34" spans="1:13" ht="29" x14ac:dyDescent="0.35">
      <c r="E34" s="5"/>
      <c r="F34" s="14"/>
      <c r="G34" s="970" t="s">
        <v>734</v>
      </c>
      <c r="H34" s="971"/>
      <c r="I34" s="971"/>
      <c r="J34" s="972"/>
      <c r="K34" s="667" t="s">
        <v>728</v>
      </c>
      <c r="L34" s="668" t="s">
        <v>735</v>
      </c>
    </row>
    <row r="35" spans="1:13" ht="15" thickBot="1" x14ac:dyDescent="0.4">
      <c r="B35" s="15" t="s">
        <v>5</v>
      </c>
      <c r="C35" s="17" t="s">
        <v>340</v>
      </c>
      <c r="D35" s="9" t="s">
        <v>1</v>
      </c>
      <c r="E35" s="4" t="s">
        <v>129</v>
      </c>
      <c r="F35" s="4" t="s">
        <v>95</v>
      </c>
      <c r="G35" s="8" t="s">
        <v>48</v>
      </c>
      <c r="H35" s="4" t="s">
        <v>3</v>
      </c>
      <c r="I35" s="4" t="s">
        <v>50</v>
      </c>
      <c r="J35" s="9" t="s">
        <v>4</v>
      </c>
      <c r="K35" s="8" t="s">
        <v>4</v>
      </c>
      <c r="L35" s="671" t="s">
        <v>4</v>
      </c>
    </row>
    <row r="36" spans="1:13" ht="15" thickTop="1" x14ac:dyDescent="0.35">
      <c r="B36" s="10">
        <v>2015</v>
      </c>
      <c r="C36" s="18" t="str">
        <f>C23</f>
        <v>Eaux usées</v>
      </c>
      <c r="D36" s="12" t="s">
        <v>217</v>
      </c>
      <c r="E36" s="358" t="str">
        <f>E23</f>
        <v>calculé en tCO2eq</v>
      </c>
      <c r="F36" s="11"/>
      <c r="G36" s="10">
        <v>0</v>
      </c>
      <c r="H36" s="148">
        <f>'Déchets - Calcul'!C22</f>
        <v>13799.050522971613</v>
      </c>
      <c r="I36" s="148">
        <f>'Déchets - Calcul'!C21</f>
        <v>96510.630817738827</v>
      </c>
      <c r="J36" s="290">
        <f>SUM(G36:I36)</f>
        <v>110309.68134071043</v>
      </c>
      <c r="K36" s="11">
        <v>0</v>
      </c>
      <c r="L36" s="649">
        <f>J36+K36</f>
        <v>110309.68134071043</v>
      </c>
      <c r="M36" s="10"/>
    </row>
    <row r="37" spans="1:13" x14ac:dyDescent="0.35">
      <c r="B37" s="20" t="s">
        <v>6</v>
      </c>
      <c r="C37" s="21"/>
      <c r="D37" s="22"/>
      <c r="E37" s="23"/>
      <c r="F37" s="23"/>
      <c r="G37" s="213">
        <f>G36</f>
        <v>0</v>
      </c>
      <c r="H37" s="211">
        <f t="shared" ref="H37" si="13">H36</f>
        <v>13799.050522971613</v>
      </c>
      <c r="I37" s="211">
        <f t="shared" ref="I37" si="14">I36</f>
        <v>96510.630817738827</v>
      </c>
      <c r="J37" s="210">
        <f t="shared" ref="J37" si="15">J36</f>
        <v>110309.68134071043</v>
      </c>
      <c r="K37" s="211">
        <f t="shared" ref="K37" si="16">K36</f>
        <v>0</v>
      </c>
      <c r="L37" s="654">
        <f t="shared" ref="L37:L43" si="17">J37+K37</f>
        <v>110309.68134071043</v>
      </c>
      <c r="M37" s="10"/>
    </row>
    <row r="38" spans="1:13" x14ac:dyDescent="0.35">
      <c r="B38" s="10">
        <v>2015</v>
      </c>
      <c r="C38" s="18" t="str">
        <f>C25</f>
        <v>Compostage et Méthanisation</v>
      </c>
      <c r="D38" s="12" t="str">
        <f>D25</f>
        <v>Compostage</v>
      </c>
      <c r="E38" s="136">
        <f>'Déchets - Calcul'!C30</f>
        <v>65996.547523347326</v>
      </c>
      <c r="F38" s="11" t="s">
        <v>203</v>
      </c>
      <c r="G38" s="153">
        <f>$E38*_xlfn.XLOOKUP($M38,'Facteurs d''émissions'!$B:$B,'Facteurs d''émissions'!D:D)</f>
        <v>0</v>
      </c>
      <c r="H38" s="154">
        <f>$E38*_xlfn.XLOOKUP($M38,'Facteurs d''émissions'!$B:$B,'Facteurs d''émissions'!E:E)/1000</f>
        <v>4619.7583266343127</v>
      </c>
      <c r="I38" s="154">
        <f>$E38*_xlfn.XLOOKUP($M38,'Facteurs d''émissions'!$B:$B,'Facteurs d''émissions'!F:F)/1000</f>
        <v>2273.5810621793153</v>
      </c>
      <c r="J38" s="157">
        <f>$E38*_xlfn.XLOOKUP($M38,'Facteurs d''émissions'!$B:$B,'Facteurs d''émissions'!G:G)/1000</f>
        <v>6893.3393888136288</v>
      </c>
      <c r="K38" s="154">
        <f>$E38*_xlfn.XLOOKUP($M38,'Facteurs d''émissions'!$B:$B,'Facteurs d''émissions'!H:H)/1000</f>
        <v>0</v>
      </c>
      <c r="L38" s="657">
        <f t="shared" si="17"/>
        <v>6893.3393888136288</v>
      </c>
      <c r="M38" s="264" t="s">
        <v>236</v>
      </c>
    </row>
    <row r="39" spans="1:13" x14ac:dyDescent="0.35">
      <c r="B39" s="10">
        <v>2015</v>
      </c>
      <c r="C39" s="18"/>
      <c r="D39" s="12" t="str">
        <f>D26</f>
        <v>Méthanisation</v>
      </c>
      <c r="E39" s="136">
        <f>'Déchets - Calcul'!C29</f>
        <v>188928.67657625471</v>
      </c>
      <c r="F39" s="11" t="s">
        <v>203</v>
      </c>
      <c r="G39" s="149">
        <f>$E39*_xlfn.XLOOKUP($M39,'Facteurs d''émissions'!$B:$B,'Facteurs d''émissions'!D:D)</f>
        <v>0</v>
      </c>
      <c r="H39" s="148">
        <f>$E39*_xlfn.XLOOKUP($M39,'Facteurs d''émissions'!$B:$B,'Facteurs d''émissions'!E:E)/1000</f>
        <v>899.30050050297257</v>
      </c>
      <c r="I39" s="148">
        <f>$E39*_xlfn.XLOOKUP($M39,'Facteurs d''émissions'!$B:$B,'Facteurs d''émissions'!F:F)/1000</f>
        <v>0</v>
      </c>
      <c r="J39" s="152">
        <f>$E39*_xlfn.XLOOKUP($M39,'Facteurs d''émissions'!$B:$B,'Facteurs d''émissions'!G:G)/1000</f>
        <v>899.30050050297257</v>
      </c>
      <c r="K39" s="148">
        <f>$E39*_xlfn.XLOOKUP($M39,'Facteurs d''émissions'!$B:$B,'Facteurs d''émissions'!H:H)/1000</f>
        <v>0</v>
      </c>
      <c r="L39" s="650">
        <f t="shared" si="17"/>
        <v>899.30050050297257</v>
      </c>
      <c r="M39" s="264" t="s">
        <v>237</v>
      </c>
    </row>
    <row r="40" spans="1:13" x14ac:dyDescent="0.35">
      <c r="B40" s="20" t="s">
        <v>6</v>
      </c>
      <c r="C40" s="21"/>
      <c r="D40" s="22"/>
      <c r="E40" s="23"/>
      <c r="F40" s="23"/>
      <c r="G40" s="213">
        <f>G39</f>
        <v>0</v>
      </c>
      <c r="H40" s="211">
        <f>H39+H38</f>
        <v>5519.0588271372853</v>
      </c>
      <c r="I40" s="211">
        <f t="shared" ref="I40:K40" si="18">I39+I38</f>
        <v>2273.5810621793153</v>
      </c>
      <c r="J40" s="210">
        <f t="shared" si="18"/>
        <v>7792.6398893166015</v>
      </c>
      <c r="K40" s="211">
        <f t="shared" si="18"/>
        <v>0</v>
      </c>
      <c r="L40" s="654">
        <f t="shared" si="17"/>
        <v>7792.6398893166015</v>
      </c>
      <c r="M40" s="264"/>
    </row>
    <row r="41" spans="1:13" x14ac:dyDescent="0.35">
      <c r="B41" s="10">
        <v>2015</v>
      </c>
      <c r="C41" s="18" t="str">
        <f>D41</f>
        <v xml:space="preserve">Mise en décharge des déchets </v>
      </c>
      <c r="D41" s="12" t="str">
        <f>D28</f>
        <v xml:space="preserve">Mise en décharge des déchets </v>
      </c>
      <c r="E41" s="358" t="str">
        <f>E28</f>
        <v>calculé en tCO2eq</v>
      </c>
      <c r="F41" s="11"/>
      <c r="G41" s="10">
        <v>0</v>
      </c>
      <c r="H41" s="148">
        <f>'Déchets - Calcul'!C38</f>
        <v>36609.008178812233</v>
      </c>
      <c r="I41" s="11">
        <v>0</v>
      </c>
      <c r="J41" s="152">
        <f>H41</f>
        <v>36609.008178812233</v>
      </c>
      <c r="K41" s="11">
        <v>0</v>
      </c>
      <c r="L41" s="650">
        <f t="shared" si="17"/>
        <v>36609.008178812233</v>
      </c>
      <c r="M41" s="10"/>
    </row>
    <row r="42" spans="1:13" x14ac:dyDescent="0.35">
      <c r="B42" s="20" t="s">
        <v>6</v>
      </c>
      <c r="C42" s="21"/>
      <c r="D42" s="22"/>
      <c r="E42" s="23"/>
      <c r="F42" s="23"/>
      <c r="G42" s="213">
        <f>SUM(G38:G41)</f>
        <v>0</v>
      </c>
      <c r="H42" s="211">
        <f>H41</f>
        <v>36609.008178812233</v>
      </c>
      <c r="I42" s="211">
        <f t="shared" ref="I42:K42" si="19">I41</f>
        <v>0</v>
      </c>
      <c r="J42" s="210">
        <f t="shared" si="19"/>
        <v>36609.008178812233</v>
      </c>
      <c r="K42" s="211">
        <f t="shared" si="19"/>
        <v>0</v>
      </c>
      <c r="L42" s="654">
        <f t="shared" si="17"/>
        <v>36609.008178812233</v>
      </c>
      <c r="M42" s="10"/>
    </row>
    <row r="43" spans="1:13" x14ac:dyDescent="0.35">
      <c r="B43" s="253" t="s">
        <v>7</v>
      </c>
      <c r="C43" s="254"/>
      <c r="D43" s="255"/>
      <c r="E43" s="256"/>
      <c r="F43" s="256"/>
      <c r="G43" s="344">
        <f>G42+G37</f>
        <v>0</v>
      </c>
      <c r="H43" s="345">
        <f>H42+H40+H37</f>
        <v>55927.117528921131</v>
      </c>
      <c r="I43" s="345">
        <f t="shared" ref="I43:K43" si="20">I42+I40+I37</f>
        <v>98784.211879918148</v>
      </c>
      <c r="J43" s="320">
        <f t="shared" si="20"/>
        <v>154711.32940883929</v>
      </c>
      <c r="K43" s="345">
        <f t="shared" si="20"/>
        <v>0</v>
      </c>
      <c r="L43" s="670">
        <f t="shared" si="17"/>
        <v>154711.32940883929</v>
      </c>
      <c r="M43" s="10"/>
    </row>
    <row r="47" spans="1:13" s="195" customFormat="1" x14ac:dyDescent="0.35">
      <c r="A47" s="194">
        <v>1990</v>
      </c>
    </row>
    <row r="49" spans="3:3" x14ac:dyDescent="0.35">
      <c r="C49" t="s">
        <v>697</v>
      </c>
    </row>
  </sheetData>
  <sheetProtection algorithmName="SHA-512" hashValue="Nt5DzixAu+TLSo5goz/2j/SCSmUUJ/mi2/W6OH21MRNKNS8f0sx7JKYrJEhrqIWBCYPDem12w6ir53ls85yVvA==" saltValue="p+BznPhzsYizqCxuV8Zh/w==" spinCount="100000" sheet="1" objects="1" scenarios="1"/>
  <mergeCells count="3">
    <mergeCell ref="G34:J34"/>
    <mergeCell ref="G8:J8"/>
    <mergeCell ref="G21:J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74A3-B400-4F14-B339-5E8047E6CC20}">
  <sheetPr>
    <tabColor theme="8" tint="-0.499984740745262"/>
  </sheetPr>
  <dimension ref="B2:L54"/>
  <sheetViews>
    <sheetView workbookViewId="0"/>
  </sheetViews>
  <sheetFormatPr baseColWidth="10" defaultRowHeight="14.5" x14ac:dyDescent="0.35"/>
  <cols>
    <col min="2" max="2" width="37.7265625" customWidth="1"/>
    <col min="3" max="3" width="19.26953125" customWidth="1"/>
    <col min="4" max="4" width="15" customWidth="1"/>
    <col min="5" max="5" width="13.54296875" customWidth="1"/>
    <col min="6" max="6" width="14.1796875" customWidth="1"/>
    <col min="8" max="8" width="15.1796875" customWidth="1"/>
    <col min="9" max="9" width="25.81640625" customWidth="1"/>
    <col min="10" max="10" width="11.81640625" customWidth="1"/>
    <col min="11" max="11" width="13.26953125" customWidth="1"/>
    <col min="12" max="12" width="14.54296875" customWidth="1"/>
  </cols>
  <sheetData>
    <row r="2" spans="2:5" s="257" customFormat="1" ht="33.5" x14ac:dyDescent="0.75">
      <c r="B2" s="258" t="s">
        <v>224</v>
      </c>
    </row>
    <row r="4" spans="2:5" s="259" customFormat="1" ht="21" x14ac:dyDescent="0.5">
      <c r="B4" s="260" t="s">
        <v>217</v>
      </c>
    </row>
    <row r="6" spans="2:5" x14ac:dyDescent="0.35">
      <c r="B6" s="124" t="s">
        <v>365</v>
      </c>
    </row>
    <row r="7" spans="2:5" x14ac:dyDescent="0.35">
      <c r="B7" s="195"/>
      <c r="C7" s="194">
        <v>2023</v>
      </c>
    </row>
    <row r="8" spans="2:5" x14ac:dyDescent="0.35">
      <c r="B8" t="s">
        <v>428</v>
      </c>
      <c r="C8" s="162">
        <v>312727.93264357484</v>
      </c>
    </row>
    <row r="9" spans="2:5" x14ac:dyDescent="0.35">
      <c r="B9" t="s">
        <v>219</v>
      </c>
      <c r="C9" s="162">
        <v>544485.87215197016</v>
      </c>
    </row>
    <row r="11" spans="2:5" x14ac:dyDescent="0.35">
      <c r="B11" s="195"/>
      <c r="C11" s="194">
        <v>2023</v>
      </c>
    </row>
    <row r="12" spans="2:5" x14ac:dyDescent="0.35">
      <c r="B12" t="s">
        <v>429</v>
      </c>
      <c r="C12" s="162">
        <f>C8*N2O_PRG/1000</f>
        <v>82872.902150547321</v>
      </c>
    </row>
    <row r="13" spans="2:5" x14ac:dyDescent="0.35">
      <c r="B13" t="s">
        <v>218</v>
      </c>
      <c r="C13" s="162">
        <f>C9*CH4_PRG/1000</f>
        <v>15245.604420255166</v>
      </c>
    </row>
    <row r="15" spans="2:5" x14ac:dyDescent="0.35">
      <c r="B15" s="124" t="s">
        <v>713</v>
      </c>
    </row>
    <row r="16" spans="2:5" x14ac:dyDescent="0.35">
      <c r="B16" s="194"/>
      <c r="C16" s="194">
        <v>2015</v>
      </c>
      <c r="D16" s="194">
        <v>2019</v>
      </c>
      <c r="E16" s="194">
        <v>2023</v>
      </c>
    </row>
    <row r="17" spans="2:12" x14ac:dyDescent="0.35">
      <c r="B17" t="s">
        <v>430</v>
      </c>
      <c r="C17">
        <v>2.27</v>
      </c>
      <c r="D17">
        <v>2.09</v>
      </c>
      <c r="E17" s="579">
        <v>1.9492307353892599</v>
      </c>
    </row>
    <row r="18" spans="2:12" x14ac:dyDescent="0.35">
      <c r="B18" t="s">
        <v>220</v>
      </c>
      <c r="C18">
        <v>7.43</v>
      </c>
      <c r="D18" s="48">
        <v>7.8646916711227597</v>
      </c>
      <c r="E18" s="579">
        <v>8.2088865936047206</v>
      </c>
    </row>
    <row r="19" spans="2:12" x14ac:dyDescent="0.35">
      <c r="B19" t="s">
        <v>394</v>
      </c>
      <c r="C19" s="177">
        <f>C17/$E$17</f>
        <v>1.1645619775981435</v>
      </c>
      <c r="D19" s="177">
        <f>D17/$E$17</f>
        <v>1.0722178560264843</v>
      </c>
      <c r="E19" s="580">
        <v>1</v>
      </c>
    </row>
    <row r="20" spans="2:12" x14ac:dyDescent="0.35">
      <c r="B20" t="s">
        <v>393</v>
      </c>
      <c r="C20" s="177">
        <f>C18/$E$18</f>
        <v>0.90511665806036035</v>
      </c>
      <c r="D20" s="177">
        <f>D18/$E$18</f>
        <v>0.95807044980373923</v>
      </c>
      <c r="E20" s="580">
        <v>1</v>
      </c>
    </row>
    <row r="21" spans="2:12" x14ac:dyDescent="0.35">
      <c r="B21" t="s">
        <v>395</v>
      </c>
      <c r="C21" s="162">
        <f>C19*$C12</f>
        <v>96510.630817738827</v>
      </c>
      <c r="D21" s="162">
        <f t="shared" ref="D21:E21" si="0">D19*$C12</f>
        <v>88857.805466552469</v>
      </c>
      <c r="E21" s="581">
        <f t="shared" si="0"/>
        <v>82872.902150547321</v>
      </c>
    </row>
    <row r="22" spans="2:12" x14ac:dyDescent="0.35">
      <c r="B22" t="s">
        <v>221</v>
      </c>
      <c r="C22" s="162">
        <f>C20*$C13</f>
        <v>13799.050522971613</v>
      </c>
      <c r="D22" s="162">
        <f t="shared" ref="D22:E22" si="1">D20*$C13</f>
        <v>14606.363084443741</v>
      </c>
      <c r="E22" s="581">
        <f t="shared" si="1"/>
        <v>15245.604420255166</v>
      </c>
    </row>
    <row r="23" spans="2:12" x14ac:dyDescent="0.35">
      <c r="B23" s="107" t="s">
        <v>222</v>
      </c>
      <c r="C23" s="178">
        <f>SUM(C21:C22)</f>
        <v>110309.68134071043</v>
      </c>
      <c r="D23" s="178">
        <f>SUM(D21:D22)</f>
        <v>103464.16855099621</v>
      </c>
      <c r="E23" s="582">
        <f>SUM(E21:E22)</f>
        <v>98118.506570802492</v>
      </c>
    </row>
    <row r="25" spans="2:12" s="259" customFormat="1" ht="21" x14ac:dyDescent="0.5">
      <c r="B25" s="260" t="s">
        <v>361</v>
      </c>
    </row>
    <row r="27" spans="2:12" x14ac:dyDescent="0.35">
      <c r="B27" s="124" t="s">
        <v>235</v>
      </c>
      <c r="C27" s="124"/>
      <c r="I27" s="263"/>
      <c r="J27" s="262"/>
      <c r="K27" s="263"/>
      <c r="L27" s="263"/>
    </row>
    <row r="28" spans="2:12" x14ac:dyDescent="0.35">
      <c r="B28" s="194"/>
      <c r="C28" s="194">
        <v>2015</v>
      </c>
      <c r="D28" s="194">
        <v>2019</v>
      </c>
      <c r="E28" s="194">
        <v>2023</v>
      </c>
      <c r="I28" s="263"/>
      <c r="J28" s="263"/>
      <c r="K28" s="263"/>
      <c r="L28" s="263"/>
    </row>
    <row r="29" spans="2:12" x14ac:dyDescent="0.35">
      <c r="B29" t="s">
        <v>370</v>
      </c>
      <c r="C29" s="39">
        <f>D29/Constantes!$E$7*Constantes!$D$7</f>
        <v>188928.67657625471</v>
      </c>
      <c r="D29">
        <v>196811</v>
      </c>
      <c r="E29">
        <f>92637+204979</f>
        <v>297616</v>
      </c>
      <c r="I29" s="263"/>
      <c r="J29" s="263"/>
      <c r="K29" s="263"/>
      <c r="L29" s="263"/>
    </row>
    <row r="30" spans="2:12" x14ac:dyDescent="0.35">
      <c r="B30" t="s">
        <v>371</v>
      </c>
      <c r="C30" s="39">
        <f>D30/Constantes!$E$7*Constantes!$D$7</f>
        <v>65996.547523347326</v>
      </c>
      <c r="D30">
        <f>65628+3122</f>
        <v>68750</v>
      </c>
      <c r="E30">
        <f>60171+1263</f>
        <v>61434</v>
      </c>
      <c r="I30" s="263"/>
      <c r="J30" s="263"/>
      <c r="K30" s="263"/>
      <c r="L30" s="263"/>
    </row>
    <row r="31" spans="2:12" x14ac:dyDescent="0.35">
      <c r="I31" s="263"/>
      <c r="J31" s="263"/>
      <c r="K31" s="263"/>
      <c r="L31" s="263"/>
    </row>
    <row r="32" spans="2:12" s="259" customFormat="1" ht="21" x14ac:dyDescent="0.5">
      <c r="B32" s="260" t="s">
        <v>368</v>
      </c>
    </row>
    <row r="34" spans="2:11" x14ac:dyDescent="0.35">
      <c r="B34" s="124" t="s">
        <v>714</v>
      </c>
    </row>
    <row r="35" spans="2:11" x14ac:dyDescent="0.35">
      <c r="B35" s="194"/>
      <c r="C35" s="194">
        <v>2015</v>
      </c>
      <c r="D35" s="194">
        <v>2019</v>
      </c>
      <c r="E35" s="194">
        <v>2023</v>
      </c>
    </row>
    <row r="36" spans="2:11" x14ac:dyDescent="0.35">
      <c r="B36" s="6" t="s">
        <v>367</v>
      </c>
      <c r="C36" s="6">
        <v>14.07</v>
      </c>
      <c r="D36" s="6">
        <v>11.41</v>
      </c>
      <c r="E36" s="76">
        <v>9.3327000000000009</v>
      </c>
    </row>
    <row r="37" spans="2:11" x14ac:dyDescent="0.35">
      <c r="B37" s="6" t="s">
        <v>363</v>
      </c>
      <c r="C37" s="360">
        <f>Constantes!D9</f>
        <v>9.2925698494294426E-2</v>
      </c>
      <c r="D37" s="360">
        <f>Constantes!E9</f>
        <v>9.366545538461217E-2</v>
      </c>
      <c r="E37" s="360">
        <f>Constantes!F9</f>
        <v>9.4429662703305356E-2</v>
      </c>
    </row>
    <row r="38" spans="2:11" x14ac:dyDescent="0.35">
      <c r="B38" s="74" t="s">
        <v>366</v>
      </c>
      <c r="C38" s="178">
        <f>C37*C36*1000*CH4_PRG</f>
        <v>36609.008178812233</v>
      </c>
      <c r="D38" s="178">
        <f>D37*D36*1000*CH4_PRG</f>
        <v>29924.239686275894</v>
      </c>
      <c r="E38" s="178">
        <f>E37*E36*1000*CH4_PRG</f>
        <v>24675.943967111863</v>
      </c>
    </row>
    <row r="41" spans="2:11" s="356" customFormat="1" ht="21" x14ac:dyDescent="0.5">
      <c r="B41" s="355" t="s">
        <v>357</v>
      </c>
    </row>
    <row r="44" spans="2:11" x14ac:dyDescent="0.35">
      <c r="C44" s="124" t="s">
        <v>234</v>
      </c>
    </row>
    <row r="45" spans="2:11" x14ac:dyDescent="0.35">
      <c r="C45" t="s">
        <v>225</v>
      </c>
      <c r="D45" t="s">
        <v>226</v>
      </c>
      <c r="E45" t="s">
        <v>227</v>
      </c>
      <c r="F45" t="s">
        <v>228</v>
      </c>
      <c r="G45" t="s">
        <v>229</v>
      </c>
      <c r="H45" t="s">
        <v>230</v>
      </c>
      <c r="I45" t="s">
        <v>231</v>
      </c>
      <c r="J45" t="s">
        <v>232</v>
      </c>
      <c r="K45" t="s">
        <v>233</v>
      </c>
    </row>
    <row r="46" spans="2:11" x14ac:dyDescent="0.35">
      <c r="B46" s="119">
        <v>2015</v>
      </c>
      <c r="C46" s="39">
        <v>60094.11</v>
      </c>
      <c r="D46" s="39">
        <v>9947.09</v>
      </c>
      <c r="E46" s="39">
        <v>34284.31</v>
      </c>
      <c r="F46" s="39">
        <v>2141.7750000000001</v>
      </c>
      <c r="G46" s="39">
        <v>1690.39</v>
      </c>
      <c r="H46" s="39">
        <v>665.8</v>
      </c>
      <c r="I46" s="39">
        <v>250.01779999999999</v>
      </c>
      <c r="J46" s="39">
        <v>213.17</v>
      </c>
      <c r="K46" s="39">
        <v>3105.134</v>
      </c>
    </row>
    <row r="47" spans="2:11" x14ac:dyDescent="0.35">
      <c r="B47" s="119">
        <v>2019</v>
      </c>
      <c r="C47" s="39">
        <v>55356.749750000003</v>
      </c>
      <c r="D47" s="39">
        <v>10726.89947</v>
      </c>
      <c r="E47" s="39">
        <v>34822.764750000002</v>
      </c>
      <c r="F47" s="39">
        <v>2914.8392600000002</v>
      </c>
      <c r="G47" s="39">
        <v>1718.24018</v>
      </c>
      <c r="H47" s="39">
        <v>1004.83169</v>
      </c>
      <c r="I47" s="39">
        <v>507.65717999999998</v>
      </c>
      <c r="J47" s="39">
        <v>3821.1700300000002</v>
      </c>
      <c r="K47" s="39">
        <v>5208.1535199999998</v>
      </c>
    </row>
    <row r="48" spans="2:11" x14ac:dyDescent="0.35">
      <c r="B48" s="119">
        <v>2023</v>
      </c>
      <c r="C48" s="39">
        <v>49919.117449999998</v>
      </c>
      <c r="D48" s="39">
        <v>10025.74192</v>
      </c>
      <c r="E48" s="39">
        <v>33025.875780000002</v>
      </c>
      <c r="F48" s="39">
        <v>2548.42364</v>
      </c>
      <c r="G48" s="39">
        <v>1706.10519</v>
      </c>
      <c r="H48" s="39">
        <v>1088.0073199999999</v>
      </c>
      <c r="I48" s="39">
        <v>426.10172999999998</v>
      </c>
      <c r="J48" s="39">
        <v>3967.4711900000002</v>
      </c>
      <c r="K48" s="39">
        <v>5018.8247199999996</v>
      </c>
    </row>
    <row r="50" spans="2:2" x14ac:dyDescent="0.35">
      <c r="B50" t="s">
        <v>358</v>
      </c>
    </row>
    <row r="54" spans="2:2" s="259" customFormat="1" ht="23.5" x14ac:dyDescent="0.55000000000000004">
      <c r="B54" s="421" t="s">
        <v>457</v>
      </c>
    </row>
  </sheetData>
  <phoneticPr fontId="16" type="noConversion"/>
  <pageMargins left="0.7" right="0.7" top="0.75" bottom="0.75" header="0.3" footer="0.3"/>
  <legacy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1D2C7-7723-4147-9780-83FB3668777C}">
  <sheetPr>
    <tabColor rgb="FF002060"/>
  </sheetPr>
  <dimension ref="A2:M46"/>
  <sheetViews>
    <sheetView topLeftCell="A10" workbookViewId="0">
      <selection activeCell="F48" sqref="F48"/>
    </sheetView>
  </sheetViews>
  <sheetFormatPr baseColWidth="10" defaultRowHeight="14.5" x14ac:dyDescent="0.35"/>
  <cols>
    <col min="3" max="3" width="18" customWidth="1"/>
    <col min="4" max="4" width="25.81640625" customWidth="1"/>
    <col min="8" max="8" width="17.54296875" style="684" customWidth="1"/>
    <col min="10" max="11" width="28.54296875" customWidth="1"/>
  </cols>
  <sheetData>
    <row r="2" spans="1:12" s="286" customFormat="1" ht="36" x14ac:dyDescent="0.8">
      <c r="B2" s="287" t="s">
        <v>249</v>
      </c>
    </row>
    <row r="6" spans="1:12" s="252" customFormat="1" x14ac:dyDescent="0.35">
      <c r="A6" s="251">
        <v>2023</v>
      </c>
    </row>
    <row r="7" spans="1:12" s="6" customFormat="1" x14ac:dyDescent="0.35">
      <c r="C7" s="7"/>
    </row>
    <row r="8" spans="1:12" ht="29" x14ac:dyDescent="0.35">
      <c r="E8" s="970" t="s">
        <v>734</v>
      </c>
      <c r="F8" s="971"/>
      <c r="G8" s="971"/>
      <c r="H8" s="971"/>
      <c r="I8" s="972"/>
      <c r="J8" s="667" t="s">
        <v>728</v>
      </c>
      <c r="K8" s="668" t="s">
        <v>735</v>
      </c>
    </row>
    <row r="9" spans="1:12" ht="15" thickBot="1" x14ac:dyDescent="0.4">
      <c r="B9" s="15" t="s">
        <v>5</v>
      </c>
      <c r="C9" s="17" t="s">
        <v>340</v>
      </c>
      <c r="D9" s="9" t="s">
        <v>1</v>
      </c>
      <c r="E9" s="672" t="s">
        <v>48</v>
      </c>
      <c r="F9" s="4" t="s">
        <v>3</v>
      </c>
      <c r="G9" s="4" t="s">
        <v>50</v>
      </c>
      <c r="H9" s="4" t="s">
        <v>249</v>
      </c>
      <c r="I9" s="9" t="s">
        <v>4</v>
      </c>
      <c r="J9" s="672" t="s">
        <v>4</v>
      </c>
      <c r="K9" s="673" t="s">
        <v>4</v>
      </c>
    </row>
    <row r="10" spans="1:12" ht="15" thickTop="1" x14ac:dyDescent="0.35">
      <c r="B10" s="10">
        <v>2023</v>
      </c>
      <c r="C10" s="18"/>
      <c r="D10" s="12" t="s">
        <v>251</v>
      </c>
      <c r="E10" s="289">
        <v>0</v>
      </c>
      <c r="F10" s="226">
        <v>0</v>
      </c>
      <c r="G10" s="226">
        <v>0</v>
      </c>
      <c r="H10" s="226">
        <f>I10</f>
        <v>121310.2929557444</v>
      </c>
      <c r="I10" s="290">
        <f>'Gaz synth. - Calcul'!F22</f>
        <v>121310.2929557444</v>
      </c>
      <c r="J10" s="289">
        <v>0</v>
      </c>
      <c r="K10" s="649">
        <f>I10+J10</f>
        <v>121310.2929557444</v>
      </c>
      <c r="L10" s="11"/>
    </row>
    <row r="11" spans="1:12" x14ac:dyDescent="0.35">
      <c r="B11" s="10">
        <v>2023</v>
      </c>
      <c r="C11" s="18"/>
      <c r="D11" s="12" t="s">
        <v>253</v>
      </c>
      <c r="E11" s="10">
        <v>0</v>
      </c>
      <c r="F11" s="148">
        <v>0</v>
      </c>
      <c r="G11" s="148">
        <v>0</v>
      </c>
      <c r="H11" s="148">
        <f t="shared" ref="H11:H13" si="0">I11</f>
        <v>2770.5450267217316</v>
      </c>
      <c r="I11" s="152">
        <f>'Gaz synth. - Calcul'!F23</f>
        <v>2770.5450267217316</v>
      </c>
      <c r="J11" s="10">
        <v>0</v>
      </c>
      <c r="K11" s="650">
        <f t="shared" ref="K11:K14" si="1">I11+J11</f>
        <v>2770.5450267217316</v>
      </c>
      <c r="L11" s="11"/>
    </row>
    <row r="12" spans="1:12" x14ac:dyDescent="0.35">
      <c r="B12" s="10">
        <v>2023</v>
      </c>
      <c r="C12" s="18"/>
      <c r="D12" s="12" t="s">
        <v>54</v>
      </c>
      <c r="E12" s="10">
        <v>0</v>
      </c>
      <c r="F12" s="148">
        <v>0</v>
      </c>
      <c r="G12" s="148">
        <v>0</v>
      </c>
      <c r="H12" s="148">
        <f t="shared" si="0"/>
        <v>61.347782734552631</v>
      </c>
      <c r="I12" s="152">
        <f>'Gaz synth. - Calcul'!F24</f>
        <v>61.347782734552631</v>
      </c>
      <c r="J12" s="10">
        <v>0</v>
      </c>
      <c r="K12" s="650">
        <f t="shared" si="1"/>
        <v>61.347782734552631</v>
      </c>
      <c r="L12" s="11"/>
    </row>
    <row r="13" spans="1:12" x14ac:dyDescent="0.35">
      <c r="B13" s="10">
        <v>2023</v>
      </c>
      <c r="C13" s="18"/>
      <c r="D13" s="18" t="s">
        <v>52</v>
      </c>
      <c r="E13" s="149">
        <v>0</v>
      </c>
      <c r="F13" s="148">
        <v>0</v>
      </c>
      <c r="G13" s="148">
        <v>0</v>
      </c>
      <c r="H13" s="148">
        <f t="shared" si="0"/>
        <v>5738.98612678073</v>
      </c>
      <c r="I13" s="152">
        <f>'Gaz synth. - Calcul'!F25</f>
        <v>5738.98612678073</v>
      </c>
      <c r="J13" s="149">
        <v>0</v>
      </c>
      <c r="K13" s="650">
        <f t="shared" si="1"/>
        <v>5738.98612678073</v>
      </c>
      <c r="L13" s="317"/>
    </row>
    <row r="14" spans="1:12" x14ac:dyDescent="0.35">
      <c r="B14" s="20" t="s">
        <v>6</v>
      </c>
      <c r="C14" s="21"/>
      <c r="D14" s="22"/>
      <c r="E14" s="20">
        <f>SUM(E10:E13)</f>
        <v>0</v>
      </c>
      <c r="F14" s="23">
        <f>SUM(F10:F13)</f>
        <v>0</v>
      </c>
      <c r="G14" s="23">
        <f>SUM(G10:G13)</f>
        <v>0</v>
      </c>
      <c r="H14" s="211">
        <f>SUM(H10:H13)</f>
        <v>129881.17189198142</v>
      </c>
      <c r="I14" s="210">
        <f>SUM(I10:I13)</f>
        <v>129881.17189198142</v>
      </c>
      <c r="J14" s="20">
        <v>0</v>
      </c>
      <c r="K14" s="654">
        <f t="shared" si="1"/>
        <v>129881.17189198142</v>
      </c>
    </row>
    <row r="15" spans="1:12" x14ac:dyDescent="0.35">
      <c r="B15" s="253" t="s">
        <v>7</v>
      </c>
      <c r="C15" s="254"/>
      <c r="D15" s="255"/>
      <c r="E15" s="253"/>
      <c r="F15" s="256"/>
      <c r="G15" s="256"/>
      <c r="H15" s="256"/>
      <c r="I15" s="255"/>
      <c r="J15" s="253">
        <v>0</v>
      </c>
      <c r="K15" s="254"/>
    </row>
    <row r="17" spans="1:13" s="252" customFormat="1" x14ac:dyDescent="0.35">
      <c r="A17" s="251">
        <v>2019</v>
      </c>
    </row>
    <row r="19" spans="1:13" ht="29" x14ac:dyDescent="0.35">
      <c r="E19" s="970" t="s">
        <v>734</v>
      </c>
      <c r="F19" s="971"/>
      <c r="G19" s="971"/>
      <c r="H19" s="971"/>
      <c r="I19" s="972"/>
      <c r="J19" s="667" t="s">
        <v>728</v>
      </c>
      <c r="K19" s="668" t="s">
        <v>735</v>
      </c>
    </row>
    <row r="20" spans="1:13" ht="15" thickBot="1" x14ac:dyDescent="0.4">
      <c r="B20" s="15" t="s">
        <v>5</v>
      </c>
      <c r="C20" s="17" t="s">
        <v>340</v>
      </c>
      <c r="D20" s="9" t="s">
        <v>1</v>
      </c>
      <c r="E20" s="672" t="s">
        <v>48</v>
      </c>
      <c r="F20" s="4" t="s">
        <v>3</v>
      </c>
      <c r="G20" s="4" t="s">
        <v>50</v>
      </c>
      <c r="H20" s="4" t="s">
        <v>249</v>
      </c>
      <c r="I20" s="9" t="s">
        <v>4</v>
      </c>
      <c r="J20" s="672" t="s">
        <v>4</v>
      </c>
      <c r="K20" s="673" t="s">
        <v>4</v>
      </c>
    </row>
    <row r="21" spans="1:13" ht="15" thickTop="1" x14ac:dyDescent="0.35">
      <c r="B21" s="10">
        <v>2019</v>
      </c>
      <c r="C21" s="18"/>
      <c r="D21" s="12" t="s">
        <v>251</v>
      </c>
      <c r="E21" s="289">
        <v>0</v>
      </c>
      <c r="F21" s="226">
        <v>0</v>
      </c>
      <c r="G21" s="226">
        <v>0</v>
      </c>
      <c r="H21" s="226">
        <f>I21</f>
        <v>134371.43379600398</v>
      </c>
      <c r="I21" s="290">
        <f>'Gaz synth. - Calcul'!E22</f>
        <v>134371.43379600398</v>
      </c>
      <c r="J21" s="289">
        <v>0</v>
      </c>
      <c r="K21" s="649">
        <f>I21+J21</f>
        <v>134371.43379600398</v>
      </c>
      <c r="L21" s="11"/>
      <c r="M21" s="11"/>
    </row>
    <row r="22" spans="1:13" x14ac:dyDescent="0.35">
      <c r="B22" s="10">
        <v>2019</v>
      </c>
      <c r="C22" s="18"/>
      <c r="D22" s="12" t="s">
        <v>253</v>
      </c>
      <c r="E22" s="10">
        <v>0</v>
      </c>
      <c r="F22" s="148">
        <v>0</v>
      </c>
      <c r="G22" s="148">
        <v>0</v>
      </c>
      <c r="H22" s="148">
        <f t="shared" ref="H22:H24" si="2">I22</f>
        <v>2833.5377147198578</v>
      </c>
      <c r="I22" s="152">
        <f>'Gaz synth. - Calcul'!E23</f>
        <v>2833.5377147198578</v>
      </c>
      <c r="J22" s="149">
        <v>0</v>
      </c>
      <c r="K22" s="650">
        <f t="shared" ref="K22:K25" si="3">I22+J22</f>
        <v>2833.5377147198578</v>
      </c>
      <c r="L22" s="317"/>
    </row>
    <row r="23" spans="1:13" x14ac:dyDescent="0.35">
      <c r="B23" s="10">
        <v>2019</v>
      </c>
      <c r="C23" s="18"/>
      <c r="D23" s="12" t="s">
        <v>54</v>
      </c>
      <c r="E23" s="10">
        <v>0</v>
      </c>
      <c r="F23" s="148">
        <v>0</v>
      </c>
      <c r="G23" s="148">
        <v>0</v>
      </c>
      <c r="H23" s="148">
        <f t="shared" si="2"/>
        <v>46.505577234257643</v>
      </c>
      <c r="I23" s="152">
        <f>'Gaz synth. - Calcul'!E24</f>
        <v>46.505577234257643</v>
      </c>
      <c r="J23" s="149">
        <v>0</v>
      </c>
      <c r="K23" s="650">
        <f t="shared" si="3"/>
        <v>46.505577234257643</v>
      </c>
      <c r="L23" s="317"/>
    </row>
    <row r="24" spans="1:13" x14ac:dyDescent="0.35">
      <c r="B24" s="13">
        <v>2019</v>
      </c>
      <c r="C24" s="18"/>
      <c r="D24" s="18" t="s">
        <v>52</v>
      </c>
      <c r="E24" s="149">
        <v>0</v>
      </c>
      <c r="F24" s="148">
        <v>0</v>
      </c>
      <c r="G24" s="148">
        <v>0</v>
      </c>
      <c r="H24" s="148">
        <f t="shared" si="2"/>
        <v>17612.75052701672</v>
      </c>
      <c r="I24" s="158">
        <f>'Gaz synth. - Calcul'!E25</f>
        <v>17612.75052701672</v>
      </c>
      <c r="J24" s="13">
        <v>0</v>
      </c>
      <c r="K24" s="650">
        <f t="shared" si="3"/>
        <v>17612.75052701672</v>
      </c>
    </row>
    <row r="25" spans="1:13" x14ac:dyDescent="0.35">
      <c r="B25" s="20" t="s">
        <v>6</v>
      </c>
      <c r="C25" s="21"/>
      <c r="D25" s="22"/>
      <c r="E25" s="20">
        <f>SUM(E21:E24)</f>
        <v>0</v>
      </c>
      <c r="F25" s="23">
        <f>SUM(F21:F24)</f>
        <v>0</v>
      </c>
      <c r="G25" s="23">
        <f>SUM(G21:G24)</f>
        <v>0</v>
      </c>
      <c r="H25" s="211">
        <f>SUM(H21:H24)</f>
        <v>154864.22761497484</v>
      </c>
      <c r="I25" s="210">
        <f>SUM(I21:I24)</f>
        <v>154864.22761497484</v>
      </c>
      <c r="J25" s="20">
        <v>0</v>
      </c>
      <c r="K25" s="654">
        <f t="shared" si="3"/>
        <v>154864.22761497484</v>
      </c>
    </row>
    <row r="26" spans="1:13" x14ac:dyDescent="0.35">
      <c r="B26" s="253" t="s">
        <v>7</v>
      </c>
      <c r="C26" s="254"/>
      <c r="D26" s="255"/>
      <c r="E26" s="253"/>
      <c r="F26" s="256"/>
      <c r="G26" s="256"/>
      <c r="H26" s="256"/>
      <c r="I26" s="255"/>
      <c r="J26" s="253">
        <v>0</v>
      </c>
      <c r="K26" s="254"/>
    </row>
    <row r="28" spans="1:13" s="252" customFormat="1" x14ac:dyDescent="0.35">
      <c r="A28" s="251">
        <v>2015</v>
      </c>
    </row>
    <row r="30" spans="1:13" ht="29" x14ac:dyDescent="0.35">
      <c r="D30" s="14"/>
      <c r="E30" s="970" t="s">
        <v>734</v>
      </c>
      <c r="F30" s="971"/>
      <c r="G30" s="971"/>
      <c r="H30" s="971"/>
      <c r="I30" s="972"/>
      <c r="J30" s="667" t="s">
        <v>728</v>
      </c>
      <c r="K30" s="668" t="s">
        <v>735</v>
      </c>
    </row>
    <row r="31" spans="1:13" ht="15" thickBot="1" x14ac:dyDescent="0.4">
      <c r="B31" s="15" t="s">
        <v>5</v>
      </c>
      <c r="C31" s="17" t="s">
        <v>340</v>
      </c>
      <c r="D31" s="9" t="s">
        <v>1</v>
      </c>
      <c r="E31" s="672" t="s">
        <v>48</v>
      </c>
      <c r="F31" s="4" t="s">
        <v>3</v>
      </c>
      <c r="G31" s="4" t="s">
        <v>50</v>
      </c>
      <c r="H31" s="4" t="s">
        <v>249</v>
      </c>
      <c r="I31" s="9" t="s">
        <v>4</v>
      </c>
      <c r="J31" s="672" t="s">
        <v>4</v>
      </c>
      <c r="K31" s="673" t="s">
        <v>4</v>
      </c>
    </row>
    <row r="32" spans="1:13" ht="15" thickTop="1" x14ac:dyDescent="0.35">
      <c r="B32" s="10">
        <v>2015</v>
      </c>
      <c r="C32" s="18"/>
      <c r="D32" s="12" t="s">
        <v>251</v>
      </c>
      <c r="E32" s="289">
        <v>0</v>
      </c>
      <c r="F32" s="226">
        <v>0</v>
      </c>
      <c r="G32" s="226">
        <v>0</v>
      </c>
      <c r="H32" s="226">
        <f>I32</f>
        <v>141495.69243614559</v>
      </c>
      <c r="I32" s="152">
        <f>'Gaz synth. - Calcul'!D22</f>
        <v>141495.69243614559</v>
      </c>
      <c r="J32" s="10">
        <v>0</v>
      </c>
      <c r="K32" s="649">
        <f>I32+J32</f>
        <v>141495.69243614559</v>
      </c>
      <c r="L32" s="11"/>
    </row>
    <row r="33" spans="1:12" x14ac:dyDescent="0.35">
      <c r="B33" s="10">
        <v>2015</v>
      </c>
      <c r="C33" s="18"/>
      <c r="D33" s="12" t="s">
        <v>253</v>
      </c>
      <c r="E33" s="10">
        <v>0</v>
      </c>
      <c r="F33" s="148">
        <v>0</v>
      </c>
      <c r="G33" s="148">
        <v>0</v>
      </c>
      <c r="H33" s="148">
        <f t="shared" ref="H33:H35" si="4">I33</f>
        <v>2335.4216209616011</v>
      </c>
      <c r="I33" s="152">
        <f>'Gaz synth. - Calcul'!D23</f>
        <v>2335.4216209616011</v>
      </c>
      <c r="J33">
        <v>0</v>
      </c>
      <c r="K33" s="650">
        <f>I33+J34</f>
        <v>2335.4216209616011</v>
      </c>
      <c r="L33" s="317"/>
    </row>
    <row r="34" spans="1:12" x14ac:dyDescent="0.35">
      <c r="B34" s="10">
        <v>2015</v>
      </c>
      <c r="C34" s="18"/>
      <c r="D34" s="12" t="s">
        <v>54</v>
      </c>
      <c r="E34" s="10">
        <v>0</v>
      </c>
      <c r="F34" s="148">
        <v>0</v>
      </c>
      <c r="G34" s="148">
        <v>0</v>
      </c>
      <c r="H34" s="148">
        <f t="shared" si="4"/>
        <v>67.28466493467063</v>
      </c>
      <c r="I34" s="152">
        <f>'Gaz synth. - Calcul'!D24</f>
        <v>67.28466493467063</v>
      </c>
      <c r="J34" s="149">
        <v>0</v>
      </c>
      <c r="K34" s="650">
        <f>I34+J34</f>
        <v>67.28466493467063</v>
      </c>
    </row>
    <row r="35" spans="1:12" x14ac:dyDescent="0.35">
      <c r="B35" s="10">
        <v>2015</v>
      </c>
      <c r="C35" s="18"/>
      <c r="D35" s="18" t="s">
        <v>52</v>
      </c>
      <c r="E35" s="149">
        <v>0</v>
      </c>
      <c r="F35" s="148">
        <v>0</v>
      </c>
      <c r="G35" s="148">
        <v>0</v>
      </c>
      <c r="H35" s="148">
        <f t="shared" si="4"/>
        <v>27804.398303885951</v>
      </c>
      <c r="I35" s="152">
        <f>'Gaz synth. - Calcul'!D25</f>
        <v>27804.398303885951</v>
      </c>
      <c r="J35" s="10">
        <v>0</v>
      </c>
      <c r="K35" s="650">
        <f t="shared" ref="K35:K36" si="5">I35+J35</f>
        <v>27804.398303885951</v>
      </c>
    </row>
    <row r="36" spans="1:12" x14ac:dyDescent="0.35">
      <c r="B36" s="20" t="s">
        <v>6</v>
      </c>
      <c r="C36" s="21"/>
      <c r="D36" s="22"/>
      <c r="E36" s="20">
        <f>SUM(E32:E35)</f>
        <v>0</v>
      </c>
      <c r="F36" s="23">
        <f>SUM(F32:F35)</f>
        <v>0</v>
      </c>
      <c r="G36" s="23">
        <f>SUM(G32:G35)</f>
        <v>0</v>
      </c>
      <c r="H36" s="211">
        <f>SUM(H32:H35)</f>
        <v>171702.79702592781</v>
      </c>
      <c r="I36" s="210">
        <f>SUM(I32:I35)</f>
        <v>171702.79702592781</v>
      </c>
      <c r="J36" s="20">
        <v>0</v>
      </c>
      <c r="K36" s="654">
        <f t="shared" si="5"/>
        <v>171702.79702592781</v>
      </c>
    </row>
    <row r="37" spans="1:12" x14ac:dyDescent="0.35">
      <c r="B37" s="253" t="s">
        <v>7</v>
      </c>
      <c r="C37" s="254"/>
      <c r="D37" s="255"/>
      <c r="E37" s="253"/>
      <c r="F37" s="256"/>
      <c r="G37" s="256"/>
      <c r="H37" s="256"/>
      <c r="I37" s="255"/>
      <c r="J37" s="253">
        <v>0</v>
      </c>
      <c r="K37" s="254"/>
    </row>
    <row r="39" spans="1:12" s="195" customFormat="1" x14ac:dyDescent="0.35">
      <c r="A39" s="194" t="s">
        <v>698</v>
      </c>
    </row>
    <row r="42" spans="1:12" x14ac:dyDescent="0.35">
      <c r="C42" s="107" t="s">
        <v>696</v>
      </c>
      <c r="I42" s="414"/>
    </row>
    <row r="44" spans="1:12" x14ac:dyDescent="0.35">
      <c r="C44" t="s">
        <v>694</v>
      </c>
      <c r="D44" s="39">
        <f>Constantes!C31*POP_VD_1990/Pop_CH_1990*(('Gaz synth. - Emissions'!I25+'Déchets - Emissions'!J30)/POP_VD_2019)/(Constantes!D31/POP_CH_2019)</f>
        <v>237458.88154831124</v>
      </c>
      <c r="E44" t="s">
        <v>695</v>
      </c>
      <c r="I44" s="177"/>
    </row>
    <row r="45" spans="1:12" x14ac:dyDescent="0.35">
      <c r="C45" s="684"/>
      <c r="D45" s="684"/>
    </row>
    <row r="46" spans="1:12" x14ac:dyDescent="0.35">
      <c r="C46" s="684"/>
      <c r="D46" s="684"/>
      <c r="E46" s="684"/>
    </row>
  </sheetData>
  <sheetProtection algorithmName="SHA-512" hashValue="LiwA7rowsBiH47JL5zAOpfg1+03W8wCEmpW3hCVK0IBBlEd8O/MlGp63EpPAxHi8AoRyzaFdVrd9UfUnTxpJ7Q==" saltValue="AI2w8gZocy/DHWgOEulM9g==" spinCount="100000" sheet="1" objects="1" scenarios="1"/>
  <mergeCells count="3">
    <mergeCell ref="E30:I30"/>
    <mergeCell ref="E8:I8"/>
    <mergeCell ref="E19:I1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7467-1BB4-455B-9A22-4F34219BDD57}">
  <sheetPr>
    <tabColor rgb="FF002060"/>
  </sheetPr>
  <dimension ref="B3:O25"/>
  <sheetViews>
    <sheetView workbookViewId="0"/>
  </sheetViews>
  <sheetFormatPr baseColWidth="10" defaultRowHeight="14.5" x14ac:dyDescent="0.35"/>
  <cols>
    <col min="3" max="3" width="16" customWidth="1"/>
    <col min="14" max="14" width="12.81640625" customWidth="1"/>
  </cols>
  <sheetData>
    <row r="3" spans="2:15" s="286" customFormat="1" ht="33.5" x14ac:dyDescent="0.75">
      <c r="B3" s="288" t="s">
        <v>250</v>
      </c>
    </row>
    <row r="6" spans="2:15" x14ac:dyDescent="0.35">
      <c r="C6" s="124" t="s">
        <v>826</v>
      </c>
    </row>
    <row r="7" spans="2:15" x14ac:dyDescent="0.35">
      <c r="C7" s="294" t="s">
        <v>256</v>
      </c>
      <c r="D7" s="295">
        <v>2015</v>
      </c>
      <c r="E7" s="295">
        <v>2019</v>
      </c>
      <c r="F7" s="295">
        <v>2023</v>
      </c>
    </row>
    <row r="8" spans="2:15" x14ac:dyDescent="0.35">
      <c r="C8" s="11" t="s">
        <v>251</v>
      </c>
      <c r="D8" s="39">
        <v>1430</v>
      </c>
      <c r="E8" s="39">
        <v>1358</v>
      </c>
      <c r="F8" s="39">
        <v>1226</v>
      </c>
    </row>
    <row r="9" spans="2:15" x14ac:dyDescent="0.35">
      <c r="B9" s="11"/>
      <c r="C9" s="11" t="s">
        <v>253</v>
      </c>
      <c r="D9" s="39">
        <v>23.602505917148068</v>
      </c>
      <c r="E9" s="39">
        <v>28.636623930286579</v>
      </c>
      <c r="F9" s="39">
        <v>28</v>
      </c>
    </row>
    <row r="10" spans="2:15" x14ac:dyDescent="0.35">
      <c r="C10" s="11" t="s">
        <v>54</v>
      </c>
      <c r="D10" s="39">
        <v>0.68</v>
      </c>
      <c r="E10" s="39">
        <v>0.47</v>
      </c>
      <c r="F10" s="39">
        <v>0.62</v>
      </c>
    </row>
    <row r="11" spans="2:15" x14ac:dyDescent="0.35">
      <c r="C11" s="293" t="s">
        <v>52</v>
      </c>
      <c r="D11" s="39">
        <v>281</v>
      </c>
      <c r="E11" s="39">
        <v>178</v>
      </c>
      <c r="F11" s="39">
        <v>58</v>
      </c>
    </row>
    <row r="12" spans="2:15" x14ac:dyDescent="0.35">
      <c r="I12" s="124" t="s">
        <v>439</v>
      </c>
    </row>
    <row r="13" spans="2:15" x14ac:dyDescent="0.35">
      <c r="C13" s="107" t="s">
        <v>440</v>
      </c>
      <c r="J13" s="38" t="s">
        <v>435</v>
      </c>
      <c r="L13" s="38" t="s">
        <v>436</v>
      </c>
      <c r="N13" s="38" t="s">
        <v>437</v>
      </c>
    </row>
    <row r="14" spans="2:15" x14ac:dyDescent="0.35">
      <c r="C14" s="294"/>
      <c r="D14" s="295">
        <v>2015</v>
      </c>
      <c r="E14" s="295">
        <v>2019</v>
      </c>
      <c r="F14" s="295">
        <v>2023</v>
      </c>
      <c r="I14" s="387"/>
      <c r="J14" s="295" t="s">
        <v>433</v>
      </c>
      <c r="K14" s="295" t="s">
        <v>434</v>
      </c>
      <c r="L14" s="295" t="s">
        <v>433</v>
      </c>
      <c r="M14" s="387" t="s">
        <v>434</v>
      </c>
      <c r="N14" s="295" t="s">
        <v>433</v>
      </c>
      <c r="O14" s="295" t="s">
        <v>434</v>
      </c>
    </row>
    <row r="15" spans="2:15" x14ac:dyDescent="0.35">
      <c r="C15" t="str">
        <f>C8</f>
        <v>HFC</v>
      </c>
      <c r="D15" s="710">
        <f>$J$18</f>
        <v>9.8948036668633277E-2</v>
      </c>
      <c r="E15" s="710">
        <f t="shared" ref="E15:F18" si="0">$J$18</f>
        <v>9.8948036668633277E-2</v>
      </c>
      <c r="F15" s="710">
        <f t="shared" si="0"/>
        <v>9.8948036668633277E-2</v>
      </c>
      <c r="I15" s="38" t="s">
        <v>19</v>
      </c>
      <c r="J15" s="39">
        <v>327156</v>
      </c>
      <c r="K15" s="40" t="s">
        <v>438</v>
      </c>
      <c r="L15" s="39">
        <v>165749</v>
      </c>
      <c r="M15" s="40" t="s">
        <v>438</v>
      </c>
      <c r="N15" s="39">
        <v>86773</v>
      </c>
      <c r="O15" s="40" t="s">
        <v>438</v>
      </c>
    </row>
    <row r="16" spans="2:15" x14ac:dyDescent="0.35">
      <c r="C16" t="str">
        <f t="shared" ref="C16:C18" si="1">C9</f>
        <v>PFC</v>
      </c>
      <c r="D16" s="710">
        <f t="shared" ref="D16:D18" si="2">$J$18</f>
        <v>9.8948036668633277E-2</v>
      </c>
      <c r="E16" s="710">
        <f t="shared" si="0"/>
        <v>9.8948036668633277E-2</v>
      </c>
      <c r="F16" s="710">
        <f t="shared" si="0"/>
        <v>9.8948036668633277E-2</v>
      </c>
      <c r="I16" s="38" t="s">
        <v>21</v>
      </c>
      <c r="J16" s="39">
        <v>32111</v>
      </c>
      <c r="K16" s="39">
        <v>33303</v>
      </c>
      <c r="L16" s="39">
        <v>16038</v>
      </c>
      <c r="M16" s="39">
        <v>16859</v>
      </c>
      <c r="N16" s="39">
        <v>9209</v>
      </c>
      <c r="O16" s="39">
        <v>9343</v>
      </c>
    </row>
    <row r="17" spans="3:12" x14ac:dyDescent="0.35">
      <c r="C17" t="str">
        <f t="shared" si="1"/>
        <v>NF3</v>
      </c>
      <c r="D17" s="710">
        <f t="shared" si="2"/>
        <v>9.8948036668633277E-2</v>
      </c>
      <c r="E17" s="710">
        <f t="shared" si="0"/>
        <v>9.8948036668633277E-2</v>
      </c>
      <c r="F17" s="710">
        <f t="shared" si="0"/>
        <v>9.8948036668633277E-2</v>
      </c>
      <c r="J17" s="216"/>
      <c r="L17" s="216"/>
    </row>
    <row r="18" spans="3:12" x14ac:dyDescent="0.35">
      <c r="C18" s="6" t="str">
        <f t="shared" si="1"/>
        <v>SF6</v>
      </c>
      <c r="D18" s="710">
        <f t="shared" si="2"/>
        <v>9.8948036668633277E-2</v>
      </c>
      <c r="E18" s="710">
        <f t="shared" si="0"/>
        <v>9.8948036668633277E-2</v>
      </c>
      <c r="F18" s="710">
        <f t="shared" si="0"/>
        <v>9.8948036668633277E-2</v>
      </c>
      <c r="I18" t="s">
        <v>124</v>
      </c>
      <c r="J18" s="710">
        <f>(J16+L16+N16)/(J15+L15+N15)</f>
        <v>9.8948036668633277E-2</v>
      </c>
    </row>
    <row r="20" spans="3:12" x14ac:dyDescent="0.35">
      <c r="C20" s="107" t="s">
        <v>255</v>
      </c>
    </row>
    <row r="21" spans="3:12" x14ac:dyDescent="0.35">
      <c r="C21" s="294" t="s">
        <v>254</v>
      </c>
      <c r="D21" s="295">
        <v>2015</v>
      </c>
      <c r="E21" s="295">
        <v>2019</v>
      </c>
      <c r="F21" s="295">
        <v>2023</v>
      </c>
    </row>
    <row r="22" spans="3:12" x14ac:dyDescent="0.35">
      <c r="C22" t="str">
        <f>C15</f>
        <v>HFC</v>
      </c>
      <c r="D22" s="162">
        <f>D15*D8*1000</f>
        <v>141495.69243614559</v>
      </c>
      <c r="E22" s="162">
        <f t="shared" ref="E22" si="3">E15*E8*1000</f>
        <v>134371.43379600398</v>
      </c>
      <c r="F22" s="162">
        <f>F15*F8*1000</f>
        <v>121310.2929557444</v>
      </c>
    </row>
    <row r="23" spans="3:12" x14ac:dyDescent="0.35">
      <c r="C23" t="str">
        <f t="shared" ref="C23:C25" si="4">C16</f>
        <v>PFC</v>
      </c>
      <c r="D23" s="162">
        <f t="shared" ref="D23:F23" si="5">D16*D9*1000</f>
        <v>2335.4216209616011</v>
      </c>
      <c r="E23" s="162">
        <f t="shared" si="5"/>
        <v>2833.5377147198578</v>
      </c>
      <c r="F23" s="162">
        <f t="shared" si="5"/>
        <v>2770.5450267217316</v>
      </c>
    </row>
    <row r="24" spans="3:12" x14ac:dyDescent="0.35">
      <c r="C24" t="str">
        <f t="shared" si="4"/>
        <v>NF3</v>
      </c>
      <c r="D24" s="162">
        <f>D17*D10*1000</f>
        <v>67.28466493467063</v>
      </c>
      <c r="E24" s="162">
        <f t="shared" ref="E24:F24" si="6">E17*E10*1000</f>
        <v>46.505577234257643</v>
      </c>
      <c r="F24" s="162">
        <f t="shared" si="6"/>
        <v>61.347782734552631</v>
      </c>
    </row>
    <row r="25" spans="3:12" x14ac:dyDescent="0.35">
      <c r="C25" t="str">
        <f t="shared" si="4"/>
        <v>SF6</v>
      </c>
      <c r="D25" s="277">
        <f>D18*D11*1000</f>
        <v>27804.398303885951</v>
      </c>
      <c r="E25" s="277">
        <f>E18*E11*1000</f>
        <v>17612.75052701672</v>
      </c>
      <c r="F25" s="277">
        <f t="shared" ref="F25" si="7">F18*F11*1000</f>
        <v>5738.98612678073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93E8-58F2-400D-8155-DAF4BDE61AD9}">
  <sheetPr>
    <tabColor theme="9"/>
  </sheetPr>
  <dimension ref="A2:K63"/>
  <sheetViews>
    <sheetView workbookViewId="0">
      <selection activeCell="L15" sqref="L15"/>
    </sheetView>
  </sheetViews>
  <sheetFormatPr baseColWidth="10" defaultRowHeight="14.5" x14ac:dyDescent="0.35"/>
  <cols>
    <col min="2" max="2" width="19.54296875" customWidth="1"/>
    <col min="3" max="3" width="19" customWidth="1"/>
    <col min="4" max="4" width="37.81640625" customWidth="1"/>
    <col min="5" max="8" width="10.81640625" style="162"/>
    <col min="9" max="10" width="27.453125" style="162" customWidth="1"/>
  </cols>
  <sheetData>
    <row r="2" spans="1:11" s="1" customFormat="1" ht="46" x14ac:dyDescent="1">
      <c r="B2" s="1" t="s">
        <v>0</v>
      </c>
      <c r="E2" s="275"/>
      <c r="F2" s="275"/>
      <c r="G2" s="275"/>
      <c r="H2" s="275"/>
      <c r="I2" s="275"/>
      <c r="J2" s="275"/>
    </row>
    <row r="6" spans="1:11" s="2" customFormat="1" x14ac:dyDescent="0.35">
      <c r="A6" s="3">
        <v>2023</v>
      </c>
      <c r="E6" s="276"/>
      <c r="F6" s="276"/>
      <c r="G6" s="276"/>
      <c r="H6" s="276"/>
      <c r="I6" s="276"/>
      <c r="J6" s="276"/>
    </row>
    <row r="7" spans="1:11" s="6" customFormat="1" x14ac:dyDescent="0.35">
      <c r="C7" s="7"/>
      <c r="E7" s="277"/>
      <c r="F7" s="277"/>
      <c r="G7" s="277"/>
      <c r="H7" s="277"/>
      <c r="I7" s="277"/>
      <c r="J7" s="277"/>
    </row>
    <row r="8" spans="1:11" ht="29" x14ac:dyDescent="0.35">
      <c r="D8" s="14"/>
      <c r="E8" s="970" t="s">
        <v>734</v>
      </c>
      <c r="F8" s="971"/>
      <c r="G8" s="971"/>
      <c r="H8" s="972"/>
      <c r="I8" s="667" t="s">
        <v>728</v>
      </c>
      <c r="J8" s="668" t="s">
        <v>735</v>
      </c>
    </row>
    <row r="9" spans="1:11" ht="15" thickBot="1" x14ac:dyDescent="0.4">
      <c r="B9" s="15" t="s">
        <v>5</v>
      </c>
      <c r="C9" s="17" t="s">
        <v>340</v>
      </c>
      <c r="D9" s="9" t="s">
        <v>1</v>
      </c>
      <c r="E9" s="241" t="s">
        <v>48</v>
      </c>
      <c r="F9" s="240" t="s">
        <v>3</v>
      </c>
      <c r="G9" s="240" t="s">
        <v>50</v>
      </c>
      <c r="H9" s="278" t="s">
        <v>4</v>
      </c>
      <c r="I9" s="241" t="s">
        <v>4</v>
      </c>
      <c r="J9" s="662" t="s">
        <v>4</v>
      </c>
    </row>
    <row r="10" spans="1:11" ht="15" thickTop="1" x14ac:dyDescent="0.35">
      <c r="B10" s="10">
        <v>2023</v>
      </c>
      <c r="C10" s="18" t="s">
        <v>34</v>
      </c>
      <c r="D10" s="12" t="s">
        <v>36</v>
      </c>
      <c r="E10" s="149">
        <v>0</v>
      </c>
      <c r="F10" s="148">
        <f>'Agriculture - Calcul'!E133</f>
        <v>248199.25231204016</v>
      </c>
      <c r="G10" s="148">
        <v>0</v>
      </c>
      <c r="H10" s="152">
        <f>SUM(E10:G10)</f>
        <v>248199.25231204016</v>
      </c>
      <c r="I10" s="149">
        <v>0</v>
      </c>
      <c r="J10" s="650">
        <f>H10+I10</f>
        <v>248199.25231204016</v>
      </c>
    </row>
    <row r="11" spans="1:11" x14ac:dyDescent="0.35">
      <c r="B11" s="10">
        <v>2023</v>
      </c>
      <c r="C11" s="18"/>
      <c r="D11" s="684" t="s">
        <v>819</v>
      </c>
      <c r="E11" s="149">
        <f>'Agriculture - Calcul'!E138</f>
        <v>4789.230519006197</v>
      </c>
      <c r="F11" s="148">
        <f>'Agriculture - Calcul'!E134</f>
        <v>34714.208853981312</v>
      </c>
      <c r="G11" s="148">
        <f>'Agriculture - Calcul'!E135+'Agriculture - Calcul'!E136</f>
        <v>23932.812976062098</v>
      </c>
      <c r="H11" s="152">
        <f>SUM(E11:G11)</f>
        <v>63436.25234904961</v>
      </c>
      <c r="I11" s="149">
        <v>0</v>
      </c>
      <c r="J11" s="650">
        <f t="shared" ref="J11:J17" si="0">H11+I11</f>
        <v>63436.25234904961</v>
      </c>
    </row>
    <row r="12" spans="1:11" s="684" customFormat="1" x14ac:dyDescent="0.35">
      <c r="B12" s="10"/>
      <c r="C12" s="18"/>
      <c r="D12" s="684" t="s">
        <v>820</v>
      </c>
      <c r="E12" s="149">
        <v>0</v>
      </c>
      <c r="F12" s="148">
        <v>0</v>
      </c>
      <c r="G12" s="708">
        <f>'Agriculture - Calcul'!E137</f>
        <v>146562.23755935265</v>
      </c>
      <c r="H12" s="152">
        <f>SUM(E12:G12)</f>
        <v>146562.23755935265</v>
      </c>
      <c r="I12" s="149">
        <v>0</v>
      </c>
      <c r="J12" s="650">
        <f>I12+H12</f>
        <v>146562.23755935265</v>
      </c>
    </row>
    <row r="13" spans="1:11" x14ac:dyDescent="0.35">
      <c r="B13" s="20" t="s">
        <v>6</v>
      </c>
      <c r="C13" s="21"/>
      <c r="D13" s="22"/>
      <c r="E13" s="213">
        <f>SUM(E10:E12)</f>
        <v>4789.230519006197</v>
      </c>
      <c r="F13" s="211">
        <f>SUM(F10:F12)</f>
        <v>282913.46116602147</v>
      </c>
      <c r="G13" s="211">
        <f>SUM(G10:G12)</f>
        <v>170495.05053541475</v>
      </c>
      <c r="H13" s="210">
        <f>SUM(H10:H12)</f>
        <v>458197.74222044239</v>
      </c>
      <c r="I13" s="213">
        <v>0</v>
      </c>
      <c r="J13" s="654">
        <f t="shared" si="0"/>
        <v>458197.74222044239</v>
      </c>
    </row>
    <row r="14" spans="1:11" x14ac:dyDescent="0.35">
      <c r="B14" s="206">
        <v>2023</v>
      </c>
      <c r="C14" s="269" t="s">
        <v>245</v>
      </c>
      <c r="D14" s="270" t="s">
        <v>240</v>
      </c>
      <c r="E14" s="153">
        <f>'Agriculture - Calcul'!F176</f>
        <v>39457.629103506828</v>
      </c>
      <c r="F14" s="154">
        <v>0</v>
      </c>
      <c r="G14" s="154">
        <v>0</v>
      </c>
      <c r="H14" s="157">
        <f>SUM(E14:G14)</f>
        <v>39457.629103506828</v>
      </c>
      <c r="I14" s="153">
        <v>0</v>
      </c>
      <c r="J14" s="657">
        <f t="shared" si="0"/>
        <v>39457.629103506828</v>
      </c>
      <c r="K14" s="177"/>
    </row>
    <row r="15" spans="1:11" x14ac:dyDescent="0.35">
      <c r="B15" s="13">
        <v>2023</v>
      </c>
      <c r="C15" s="71"/>
      <c r="D15" s="71" t="s">
        <v>246</v>
      </c>
      <c r="E15" s="150">
        <f>'Agriculture - Calcul'!F155</f>
        <v>36576.148000000001</v>
      </c>
      <c r="F15" s="151">
        <v>0</v>
      </c>
      <c r="G15" s="151">
        <v>0</v>
      </c>
      <c r="H15" s="158">
        <f>SUM(E15:G15)</f>
        <v>36576.148000000001</v>
      </c>
      <c r="I15" s="150">
        <v>0</v>
      </c>
      <c r="J15" s="658">
        <f t="shared" si="0"/>
        <v>36576.148000000001</v>
      </c>
      <c r="K15" s="177"/>
    </row>
    <row r="16" spans="1:11" x14ac:dyDescent="0.35">
      <c r="B16" s="20" t="s">
        <v>6</v>
      </c>
      <c r="C16" s="21"/>
      <c r="D16" s="22"/>
      <c r="E16" s="213">
        <f>SUM(E14:E15)</f>
        <v>76033.777103506829</v>
      </c>
      <c r="F16" s="211">
        <v>0</v>
      </c>
      <c r="G16" s="211">
        <v>0</v>
      </c>
      <c r="H16" s="210">
        <f>H14+H15</f>
        <v>76033.777103506829</v>
      </c>
      <c r="I16" s="213">
        <v>0</v>
      </c>
      <c r="J16" s="654">
        <f t="shared" si="0"/>
        <v>76033.777103506829</v>
      </c>
    </row>
    <row r="17" spans="1:11" x14ac:dyDescent="0.35">
      <c r="B17" s="24" t="s">
        <v>7</v>
      </c>
      <c r="C17" s="25"/>
      <c r="D17" s="26"/>
      <c r="E17" s="279">
        <f>E16+E13</f>
        <v>80823.007622513032</v>
      </c>
      <c r="F17" s="280">
        <f>F16+F13</f>
        <v>282913.46116602147</v>
      </c>
      <c r="G17" s="280">
        <f>G16+G13</f>
        <v>170495.05053541475</v>
      </c>
      <c r="H17" s="281">
        <f>H13+H16</f>
        <v>534231.51932394924</v>
      </c>
      <c r="I17" s="279">
        <v>0</v>
      </c>
      <c r="J17" s="279">
        <f t="shared" si="0"/>
        <v>534231.51932394924</v>
      </c>
      <c r="K17" s="10"/>
    </row>
    <row r="19" spans="1:11" s="2" customFormat="1" x14ac:dyDescent="0.35">
      <c r="A19" s="3">
        <v>2019</v>
      </c>
      <c r="E19" s="276"/>
      <c r="F19" s="276"/>
      <c r="G19" s="276"/>
      <c r="H19" s="276"/>
      <c r="I19" s="276"/>
      <c r="J19" s="276"/>
    </row>
    <row r="21" spans="1:11" ht="29" x14ac:dyDescent="0.35">
      <c r="D21" s="14"/>
      <c r="E21" s="970" t="s">
        <v>734</v>
      </c>
      <c r="F21" s="971"/>
      <c r="G21" s="971"/>
      <c r="H21" s="972"/>
      <c r="I21" s="667" t="s">
        <v>728</v>
      </c>
      <c r="J21" s="668" t="s">
        <v>735</v>
      </c>
    </row>
    <row r="22" spans="1:11" ht="15" thickBot="1" x14ac:dyDescent="0.4">
      <c r="B22" s="15" t="s">
        <v>5</v>
      </c>
      <c r="C22" s="17" t="s">
        <v>340</v>
      </c>
      <c r="D22" s="9" t="s">
        <v>1</v>
      </c>
      <c r="E22" s="241" t="s">
        <v>48</v>
      </c>
      <c r="F22" s="240" t="s">
        <v>3</v>
      </c>
      <c r="G22" s="240" t="s">
        <v>50</v>
      </c>
      <c r="H22" s="278" t="s">
        <v>4</v>
      </c>
      <c r="I22" s="241" t="s">
        <v>4</v>
      </c>
      <c r="J22" s="662" t="s">
        <v>48</v>
      </c>
    </row>
    <row r="23" spans="1:11" ht="15" thickTop="1" x14ac:dyDescent="0.35">
      <c r="B23" s="10">
        <v>2019</v>
      </c>
      <c r="C23" s="18" t="s">
        <v>34</v>
      </c>
      <c r="D23" s="12" t="str">
        <f>D10</f>
        <v>Fermentation entérique</v>
      </c>
      <c r="E23" s="149">
        <v>0</v>
      </c>
      <c r="F23" s="148">
        <f>'Agriculture - Calcul'!I133</f>
        <v>244132.47059026838</v>
      </c>
      <c r="G23" s="148">
        <v>0</v>
      </c>
      <c r="H23" s="152">
        <f t="shared" ref="H23:H28" si="1">SUM(E23:G23)</f>
        <v>244132.47059026838</v>
      </c>
      <c r="I23" s="149">
        <v>0</v>
      </c>
      <c r="J23" s="650">
        <f>H23+I23</f>
        <v>244132.47059026838</v>
      </c>
    </row>
    <row r="24" spans="1:11" x14ac:dyDescent="0.35">
      <c r="B24" s="10">
        <v>2019</v>
      </c>
      <c r="C24" s="18"/>
      <c r="D24" s="684" t="s">
        <v>819</v>
      </c>
      <c r="E24" s="149">
        <f>'Agriculture - Calcul'!I138</f>
        <v>4720.1046908388753</v>
      </c>
      <c r="F24" s="148">
        <f>'Agriculture - Calcul'!I134</f>
        <v>34896.863820963103</v>
      </c>
      <c r="G24" s="148">
        <f>'Agriculture - Calcul'!I135+'Agriculture - Calcul'!I136</f>
        <v>23716.01320654068</v>
      </c>
      <c r="H24" s="152">
        <f t="shared" si="1"/>
        <v>63332.981718342657</v>
      </c>
      <c r="I24" s="149">
        <v>0</v>
      </c>
      <c r="J24" s="650">
        <f t="shared" ref="J24:J30" si="2">H24+I24</f>
        <v>63332.981718342657</v>
      </c>
    </row>
    <row r="25" spans="1:11" s="684" customFormat="1" x14ac:dyDescent="0.35">
      <c r="B25" s="10"/>
      <c r="C25" s="18"/>
      <c r="D25" s="684" t="s">
        <v>820</v>
      </c>
      <c r="E25" s="149">
        <v>0</v>
      </c>
      <c r="F25" s="148">
        <v>0</v>
      </c>
      <c r="G25" s="148">
        <f>+'Agriculture - Calcul'!I137</f>
        <v>152660.26447353695</v>
      </c>
      <c r="H25" s="152">
        <f t="shared" si="1"/>
        <v>152660.26447353695</v>
      </c>
      <c r="I25" s="149">
        <v>0</v>
      </c>
      <c r="J25" s="650">
        <f>H25+I25</f>
        <v>152660.26447353695</v>
      </c>
    </row>
    <row r="26" spans="1:11" x14ac:dyDescent="0.35">
      <c r="B26" s="20" t="s">
        <v>6</v>
      </c>
      <c r="C26" s="21"/>
      <c r="D26" s="22"/>
      <c r="E26" s="213">
        <f>SUM(E23:E25)</f>
        <v>4720.1046908388753</v>
      </c>
      <c r="F26" s="211">
        <f>SUM(F23:F25)</f>
        <v>279029.33441123145</v>
      </c>
      <c r="G26" s="211">
        <f>SUM(G23:G25)</f>
        <v>176376.27768007765</v>
      </c>
      <c r="H26" s="211">
        <f t="shared" si="1"/>
        <v>460125.716782148</v>
      </c>
      <c r="I26" s="213">
        <v>0</v>
      </c>
      <c r="J26" s="654">
        <f>H26+I26</f>
        <v>460125.716782148</v>
      </c>
    </row>
    <row r="27" spans="1:11" x14ac:dyDescent="0.35">
      <c r="B27" s="206">
        <v>2019</v>
      </c>
      <c r="C27" s="269" t="s">
        <v>245</v>
      </c>
      <c r="D27" s="270" t="s">
        <v>240</v>
      </c>
      <c r="E27" s="153">
        <f>'Agriculture - Calcul'!D176</f>
        <v>41305.142453412074</v>
      </c>
      <c r="F27" s="154">
        <v>0</v>
      </c>
      <c r="G27" s="154">
        <v>0</v>
      </c>
      <c r="H27" s="157">
        <f t="shared" si="1"/>
        <v>41305.142453412074</v>
      </c>
      <c r="I27" s="153">
        <v>0</v>
      </c>
      <c r="J27" s="657">
        <f t="shared" si="2"/>
        <v>41305.142453412074</v>
      </c>
    </row>
    <row r="28" spans="1:11" x14ac:dyDescent="0.35">
      <c r="B28" s="13">
        <v>2019</v>
      </c>
      <c r="C28" s="19"/>
      <c r="D28" s="14" t="s">
        <v>247</v>
      </c>
      <c r="E28" s="572">
        <f>'Agriculture - Calcul'!E155</f>
        <v>45315.837244490278</v>
      </c>
      <c r="F28" s="573">
        <v>0</v>
      </c>
      <c r="G28" s="573">
        <v>0</v>
      </c>
      <c r="H28" s="158">
        <f t="shared" si="1"/>
        <v>45315.837244490278</v>
      </c>
      <c r="I28" s="150">
        <v>0</v>
      </c>
      <c r="J28" s="658">
        <f t="shared" si="2"/>
        <v>45315.837244490278</v>
      </c>
    </row>
    <row r="29" spans="1:11" x14ac:dyDescent="0.35">
      <c r="B29" s="20" t="s">
        <v>6</v>
      </c>
      <c r="C29" s="21"/>
      <c r="D29" s="22"/>
      <c r="E29" s="213">
        <f>SUM(E27:E28)</f>
        <v>86620.979697902352</v>
      </c>
      <c r="F29" s="211">
        <v>0</v>
      </c>
      <c r="G29" s="211">
        <v>0</v>
      </c>
      <c r="H29" s="210">
        <f>H27+H28</f>
        <v>86620.979697902352</v>
      </c>
      <c r="I29" s="213">
        <v>0</v>
      </c>
      <c r="J29" s="654">
        <f t="shared" si="2"/>
        <v>86620.979697902352</v>
      </c>
    </row>
    <row r="30" spans="1:11" x14ac:dyDescent="0.35">
      <c r="B30" s="24" t="s">
        <v>7</v>
      </c>
      <c r="C30" s="25"/>
      <c r="D30" s="26"/>
      <c r="E30" s="279">
        <f>E29+E26</f>
        <v>91341.084388741234</v>
      </c>
      <c r="F30" s="280">
        <f>F322</f>
        <v>0</v>
      </c>
      <c r="G30" s="280">
        <f>G29+G26</f>
        <v>176376.27768007765</v>
      </c>
      <c r="H30" s="281">
        <f>H26+H29</f>
        <v>546746.69648005033</v>
      </c>
      <c r="I30" s="279">
        <v>0</v>
      </c>
      <c r="J30" s="279">
        <f t="shared" si="2"/>
        <v>546746.69648005033</v>
      </c>
      <c r="K30" s="10"/>
    </row>
    <row r="32" spans="1:11" s="2" customFormat="1" x14ac:dyDescent="0.35">
      <c r="A32" s="3">
        <v>2015</v>
      </c>
      <c r="E32" s="276"/>
      <c r="F32" s="276"/>
      <c r="G32" s="276"/>
      <c r="H32" s="276"/>
      <c r="I32" s="276"/>
      <c r="J32" s="276"/>
    </row>
    <row r="34" spans="1:11" ht="29" x14ac:dyDescent="0.35">
      <c r="D34" s="14"/>
      <c r="E34" s="970" t="s">
        <v>734</v>
      </c>
      <c r="F34" s="971"/>
      <c r="G34" s="971"/>
      <c r="H34" s="972"/>
      <c r="I34" s="667" t="s">
        <v>728</v>
      </c>
      <c r="J34" s="668" t="s">
        <v>735</v>
      </c>
    </row>
    <row r="35" spans="1:11" ht="15" thickBot="1" x14ac:dyDescent="0.4">
      <c r="B35" s="15" t="s">
        <v>5</v>
      </c>
      <c r="C35" s="17" t="s">
        <v>340</v>
      </c>
      <c r="D35" s="9" t="s">
        <v>1</v>
      </c>
      <c r="E35" s="241" t="s">
        <v>48</v>
      </c>
      <c r="F35" s="240" t="s">
        <v>3</v>
      </c>
      <c r="G35" s="240" t="s">
        <v>50</v>
      </c>
      <c r="H35" s="278" t="s">
        <v>4</v>
      </c>
      <c r="I35" s="241" t="s">
        <v>4</v>
      </c>
      <c r="J35" s="662" t="s">
        <v>48</v>
      </c>
    </row>
    <row r="36" spans="1:11" ht="15" thickTop="1" x14ac:dyDescent="0.35">
      <c r="B36" s="10">
        <v>2015</v>
      </c>
      <c r="C36" s="18" t="str">
        <f>C23</f>
        <v>Pratiques agricoles</v>
      </c>
      <c r="D36" s="12" t="s">
        <v>36</v>
      </c>
      <c r="E36" s="149">
        <v>0</v>
      </c>
      <c r="F36" s="148">
        <f>'Agriculture - Calcul'!M133</f>
        <v>248550.78733421722</v>
      </c>
      <c r="G36" s="148">
        <v>0</v>
      </c>
      <c r="H36" s="152">
        <f>SUM(E36:G36)</f>
        <v>248550.78733421722</v>
      </c>
      <c r="I36" s="149">
        <v>0</v>
      </c>
      <c r="J36" s="650">
        <f>H36+I36</f>
        <v>248550.78733421722</v>
      </c>
    </row>
    <row r="37" spans="1:11" x14ac:dyDescent="0.35">
      <c r="B37" s="10">
        <v>2015</v>
      </c>
      <c r="C37" s="18"/>
      <c r="D37" s="684" t="s">
        <v>819</v>
      </c>
      <c r="E37" s="149">
        <f>'Agriculture - Calcul'!M138</f>
        <v>4630.4816436324636</v>
      </c>
      <c r="F37" s="148">
        <f>'Agriculture - Calcul'!M134</f>
        <v>38069.138131841311</v>
      </c>
      <c r="G37" s="148">
        <f>'Agriculture - Calcul'!M135+'Agriculture - Calcul'!M136</f>
        <v>24451.352052714261</v>
      </c>
      <c r="H37" s="152">
        <f>SUM(E37:G37)</f>
        <v>67150.971828188034</v>
      </c>
      <c r="I37" s="149">
        <v>0</v>
      </c>
      <c r="J37" s="650">
        <f t="shared" ref="J37:J43" si="3">H37+I37</f>
        <v>67150.971828188034</v>
      </c>
    </row>
    <row r="38" spans="1:11" s="684" customFormat="1" x14ac:dyDescent="0.35">
      <c r="B38" s="10"/>
      <c r="C38" s="18"/>
      <c r="D38" s="684" t="s">
        <v>820</v>
      </c>
      <c r="E38" s="149">
        <v>0</v>
      </c>
      <c r="F38" s="148">
        <v>0</v>
      </c>
      <c r="G38" s="148">
        <f>+'Agriculture - Calcul'!M137</f>
        <v>154384.66340198545</v>
      </c>
      <c r="H38" s="152">
        <f>SUM(E38:G38)</f>
        <v>154384.66340198545</v>
      </c>
      <c r="I38" s="149">
        <v>0</v>
      </c>
      <c r="J38" s="650">
        <f>H38+I38</f>
        <v>154384.66340198545</v>
      </c>
    </row>
    <row r="39" spans="1:11" x14ac:dyDescent="0.35">
      <c r="B39" s="20" t="s">
        <v>6</v>
      </c>
      <c r="C39" s="21"/>
      <c r="D39" s="22"/>
      <c r="E39" s="213">
        <f>SUM(E36:E38)</f>
        <v>4630.4816436324636</v>
      </c>
      <c r="F39" s="211">
        <f>SUM(F36:F38)</f>
        <v>286619.92546605854</v>
      </c>
      <c r="G39" s="211">
        <f>SUM(G36:G38)</f>
        <v>178836.01545469972</v>
      </c>
      <c r="H39" s="210">
        <f>SUM(H36:H38)</f>
        <v>470086.4225643907</v>
      </c>
      <c r="I39" s="213">
        <v>0</v>
      </c>
      <c r="J39" s="654">
        <f t="shared" si="3"/>
        <v>470086.4225643907</v>
      </c>
    </row>
    <row r="40" spans="1:11" x14ac:dyDescent="0.35">
      <c r="B40" s="271">
        <v>2015</v>
      </c>
      <c r="C40" s="273" t="str">
        <f>C27</f>
        <v>Energie</v>
      </c>
      <c r="D40" s="273" t="str">
        <f>D27</f>
        <v>Véhicules agricoles</v>
      </c>
      <c r="E40" s="282">
        <f>'Agriculture - Calcul'!D176</f>
        <v>41305.142453412074</v>
      </c>
      <c r="F40" s="283">
        <v>0</v>
      </c>
      <c r="G40" s="283">
        <v>0</v>
      </c>
      <c r="H40" s="157">
        <f>SUM(E40:G40)</f>
        <v>41305.142453412074</v>
      </c>
      <c r="I40" s="153">
        <v>0</v>
      </c>
      <c r="J40" s="657">
        <f t="shared" si="3"/>
        <v>41305.142453412074</v>
      </c>
    </row>
    <row r="41" spans="1:11" x14ac:dyDescent="0.35">
      <c r="B41" s="272">
        <v>2015</v>
      </c>
      <c r="C41" s="272"/>
      <c r="D41" s="274" t="str">
        <f>D28</f>
        <v>Chauffages des serres</v>
      </c>
      <c r="E41" s="572">
        <f>'Agriculture - Calcul'!D155</f>
        <v>41782.304444010661</v>
      </c>
      <c r="F41" s="573">
        <v>0</v>
      </c>
      <c r="G41" s="573">
        <v>0</v>
      </c>
      <c r="H41" s="158">
        <f>SUM(E41:G41)</f>
        <v>41782.304444010661</v>
      </c>
      <c r="I41" s="150">
        <v>0</v>
      </c>
      <c r="J41" s="658">
        <f t="shared" si="3"/>
        <v>41782.304444010661</v>
      </c>
    </row>
    <row r="42" spans="1:11" x14ac:dyDescent="0.35">
      <c r="B42" s="20" t="s">
        <v>6</v>
      </c>
      <c r="C42" s="21"/>
      <c r="D42" s="22"/>
      <c r="E42" s="213">
        <f>SUM(E40:E41)</f>
        <v>83087.446897422735</v>
      </c>
      <c r="F42" s="211">
        <v>0</v>
      </c>
      <c r="G42" s="211">
        <v>0</v>
      </c>
      <c r="H42" s="210">
        <f>H40+H41</f>
        <v>83087.446897422735</v>
      </c>
      <c r="I42" s="213">
        <v>0</v>
      </c>
      <c r="J42" s="654">
        <f t="shared" si="3"/>
        <v>83087.446897422735</v>
      </c>
    </row>
    <row r="43" spans="1:11" x14ac:dyDescent="0.35">
      <c r="B43" s="24" t="s">
        <v>7</v>
      </c>
      <c r="C43" s="25"/>
      <c r="D43" s="26"/>
      <c r="E43" s="279">
        <f>E42+E39</f>
        <v>87717.928541055197</v>
      </c>
      <c r="F43" s="280">
        <f>F42+F39</f>
        <v>286619.92546605854</v>
      </c>
      <c r="G43" s="280">
        <f>G42+G39</f>
        <v>178836.01545469972</v>
      </c>
      <c r="H43" s="281">
        <f>H39+H42</f>
        <v>553173.86946181348</v>
      </c>
      <c r="I43" s="279">
        <v>0</v>
      </c>
      <c r="J43" s="279">
        <f t="shared" si="3"/>
        <v>553173.86946181348</v>
      </c>
      <c r="K43" s="10"/>
    </row>
    <row r="45" spans="1:11" s="2" customFormat="1" x14ac:dyDescent="0.35">
      <c r="A45" s="3">
        <v>1990</v>
      </c>
      <c r="E45" s="276"/>
      <c r="F45" s="276"/>
      <c r="G45" s="276"/>
      <c r="H45" s="276"/>
      <c r="I45" s="276"/>
      <c r="J45" s="276"/>
    </row>
    <row r="47" spans="1:11" ht="29" x14ac:dyDescent="0.35">
      <c r="B47" s="413"/>
      <c r="C47" s="413"/>
      <c r="D47" s="14"/>
      <c r="E47" s="970" t="s">
        <v>734</v>
      </c>
      <c r="F47" s="971"/>
      <c r="G47" s="971"/>
      <c r="H47" s="972"/>
      <c r="I47" s="667" t="s">
        <v>728</v>
      </c>
      <c r="J47" s="668" t="s">
        <v>735</v>
      </c>
    </row>
    <row r="48" spans="1:11" ht="15" thickBot="1" x14ac:dyDescent="0.4">
      <c r="B48" s="15" t="s">
        <v>5</v>
      </c>
      <c r="C48" s="17" t="s">
        <v>340</v>
      </c>
      <c r="D48" s="9" t="s">
        <v>1</v>
      </c>
      <c r="E48" s="241" t="s">
        <v>48</v>
      </c>
      <c r="F48" s="240" t="s">
        <v>3</v>
      </c>
      <c r="G48" s="240" t="s">
        <v>50</v>
      </c>
      <c r="H48" s="278" t="s">
        <v>4</v>
      </c>
      <c r="I48" s="241" t="s">
        <v>4</v>
      </c>
      <c r="J48" s="662" t="s">
        <v>48</v>
      </c>
    </row>
    <row r="49" spans="2:11" ht="15" thickTop="1" x14ac:dyDescent="0.35">
      <c r="B49" s="10">
        <v>2015</v>
      </c>
      <c r="C49" s="18" t="str">
        <f>C36</f>
        <v>Pratiques agricoles</v>
      </c>
      <c r="D49" s="12" t="s">
        <v>36</v>
      </c>
      <c r="E49" s="149">
        <v>0</v>
      </c>
      <c r="F49" s="148">
        <f>'Agriculture - Calcul'!T133</f>
        <v>280439.66043533193</v>
      </c>
      <c r="G49" s="148">
        <v>0</v>
      </c>
      <c r="H49" s="152">
        <f>SUM(E49:G49)</f>
        <v>280439.66043533193</v>
      </c>
      <c r="I49" s="149">
        <v>0</v>
      </c>
      <c r="J49" s="650">
        <f>H49+I49</f>
        <v>280439.66043533193</v>
      </c>
    </row>
    <row r="50" spans="2:11" x14ac:dyDescent="0.35">
      <c r="B50" s="10">
        <v>2015</v>
      </c>
      <c r="C50" s="18"/>
      <c r="D50" s="684" t="s">
        <v>819</v>
      </c>
      <c r="E50" s="149">
        <f>'Agriculture - Calcul'!T138</f>
        <v>5035.5376507286892</v>
      </c>
      <c r="F50" s="148">
        <f>'Agriculture - Calcul'!T134</f>
        <v>44164.522418992121</v>
      </c>
      <c r="G50" s="148">
        <f>'Agriculture - Calcul'!T135+'Agriculture - Calcul'!T136</f>
        <v>27425.789803964566</v>
      </c>
      <c r="H50" s="152">
        <f>SUM(E50:G50)</f>
        <v>76625.84987368538</v>
      </c>
      <c r="I50" s="149">
        <v>0</v>
      </c>
      <c r="J50" s="650">
        <f t="shared" ref="J50:J56" si="4">H50+I50</f>
        <v>76625.84987368538</v>
      </c>
    </row>
    <row r="51" spans="2:11" s="684" customFormat="1" x14ac:dyDescent="0.35">
      <c r="B51" s="10"/>
      <c r="C51" s="18"/>
      <c r="D51" s="684" t="s">
        <v>820</v>
      </c>
      <c r="E51" s="149">
        <v>0</v>
      </c>
      <c r="F51" s="148">
        <v>0</v>
      </c>
      <c r="G51" s="39">
        <f>'Agriculture - Calcul'!T137</f>
        <v>197083.48355433522</v>
      </c>
      <c r="H51" s="152">
        <f>SUM(E51:G51)</f>
        <v>197083.48355433522</v>
      </c>
      <c r="I51" s="149">
        <v>0</v>
      </c>
      <c r="J51" s="650">
        <f>H51+I51</f>
        <v>197083.48355433522</v>
      </c>
    </row>
    <row r="52" spans="2:11" x14ac:dyDescent="0.35">
      <c r="B52" s="20" t="s">
        <v>6</v>
      </c>
      <c r="C52" s="21"/>
      <c r="D52" s="22"/>
      <c r="E52" s="213">
        <f>SUM(E49:E51)</f>
        <v>5035.5376507286892</v>
      </c>
      <c r="F52" s="211">
        <f>SUM(F49:F51)</f>
        <v>324604.18285432406</v>
      </c>
      <c r="G52" s="211">
        <f>SUM(G49:G51)</f>
        <v>224509.2733582998</v>
      </c>
      <c r="H52" s="210">
        <f>SUM(H49:H51)</f>
        <v>554148.99386335257</v>
      </c>
      <c r="I52" s="213">
        <v>0</v>
      </c>
      <c r="J52" s="654">
        <f>H52+I52</f>
        <v>554148.99386335257</v>
      </c>
    </row>
    <row r="53" spans="2:11" x14ac:dyDescent="0.35">
      <c r="B53" s="271">
        <v>2015</v>
      </c>
      <c r="C53" s="273" t="str">
        <f>C40</f>
        <v>Energie</v>
      </c>
      <c r="D53" s="273" t="str">
        <f>D40</f>
        <v>Véhicules agricoles</v>
      </c>
      <c r="E53" s="282">
        <f>'Agriculture - Calcul'!C176</f>
        <v>40791.838758829617</v>
      </c>
      <c r="F53" s="283">
        <v>0</v>
      </c>
      <c r="G53" s="283">
        <v>0</v>
      </c>
      <c r="H53" s="157">
        <f>SUM(E53:G53)</f>
        <v>40791.838758829617</v>
      </c>
      <c r="I53" s="153">
        <v>0</v>
      </c>
      <c r="J53" s="657">
        <f t="shared" si="4"/>
        <v>40791.838758829617</v>
      </c>
    </row>
    <row r="54" spans="2:11" x14ac:dyDescent="0.35">
      <c r="B54" s="272">
        <v>2015</v>
      </c>
      <c r="C54" s="272"/>
      <c r="D54" s="274" t="str">
        <f>D41</f>
        <v>Chauffages des serres</v>
      </c>
      <c r="E54" s="572">
        <f>'Agriculture - Calcul'!C155</f>
        <v>48682.635075148908</v>
      </c>
      <c r="F54" s="573">
        <v>0</v>
      </c>
      <c r="G54" s="573">
        <v>0</v>
      </c>
      <c r="H54" s="158">
        <f>SUM(E54:G54)</f>
        <v>48682.635075148908</v>
      </c>
      <c r="I54" s="150">
        <v>0</v>
      </c>
      <c r="J54" s="658">
        <f t="shared" si="4"/>
        <v>48682.635075148908</v>
      </c>
    </row>
    <row r="55" spans="2:11" x14ac:dyDescent="0.35">
      <c r="B55" s="20" t="s">
        <v>6</v>
      </c>
      <c r="C55" s="21"/>
      <c r="D55" s="22"/>
      <c r="E55" s="213">
        <f>SUM(E53:E54)</f>
        <v>89474.473833978525</v>
      </c>
      <c r="F55" s="211">
        <v>0</v>
      </c>
      <c r="G55" s="211">
        <v>0</v>
      </c>
      <c r="H55" s="210">
        <f>H53+H54</f>
        <v>89474.473833978525</v>
      </c>
      <c r="I55" s="213">
        <v>0</v>
      </c>
      <c r="J55" s="654">
        <f t="shared" si="4"/>
        <v>89474.473833978525</v>
      </c>
    </row>
    <row r="56" spans="2:11" x14ac:dyDescent="0.35">
      <c r="B56" s="24" t="s">
        <v>7</v>
      </c>
      <c r="C56" s="25"/>
      <c r="D56" s="26"/>
      <c r="E56" s="279">
        <f>E55+E52</f>
        <v>94510.011484707211</v>
      </c>
      <c r="F56" s="280">
        <f>F55+F52</f>
        <v>324604.18285432406</v>
      </c>
      <c r="G56" s="280">
        <f>G55+G52</f>
        <v>224509.2733582998</v>
      </c>
      <c r="H56" s="281">
        <f>H52+H55</f>
        <v>643623.4676973311</v>
      </c>
      <c r="I56" s="279">
        <v>0</v>
      </c>
      <c r="J56" s="279">
        <f t="shared" si="4"/>
        <v>643623.4676973311</v>
      </c>
      <c r="K56" s="10"/>
    </row>
    <row r="59" spans="2:11" x14ac:dyDescent="0.35">
      <c r="C59" s="413"/>
      <c r="D59" s="684"/>
      <c r="H59" s="177"/>
    </row>
    <row r="60" spans="2:11" x14ac:dyDescent="0.35">
      <c r="D60" s="684"/>
      <c r="H60" s="139"/>
    </row>
    <row r="61" spans="2:11" x14ac:dyDescent="0.35">
      <c r="D61" s="684"/>
    </row>
    <row r="63" spans="2:11" x14ac:dyDescent="0.35">
      <c r="E63" s="177"/>
    </row>
  </sheetData>
  <sheetProtection algorithmName="SHA-512" hashValue="rS43tNGBzToHMLOeOfRcpy6banTq+mqn/7nS1m6/myBPtU/eu13HXlgMX+F+IpVBaEBChmDaMaXqVJLJMRQXGQ==" saltValue="geizJrEC0sYbD4bg9/9tpg==" spinCount="100000" sheet="1" objects="1" scenarios="1"/>
  <mergeCells count="4">
    <mergeCell ref="E8:H8"/>
    <mergeCell ref="E21:H21"/>
    <mergeCell ref="E34:H34"/>
    <mergeCell ref="E47:H47"/>
  </mergeCells>
  <phoneticPr fontId="16" type="noConversion"/>
  <pageMargins left="0.7" right="0.7" top="0.75" bottom="0.75" header="0.3" footer="0.3"/>
  <pageSetup paperSize="9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DF8FB-A3AA-444B-B9CF-A009DC1A0082}">
  <sheetPr>
    <tabColor theme="9"/>
  </sheetPr>
  <dimension ref="A2:CM190"/>
  <sheetViews>
    <sheetView topLeftCell="A27" workbookViewId="0">
      <selection activeCell="W39" sqref="W39"/>
    </sheetView>
  </sheetViews>
  <sheetFormatPr baseColWidth="10" defaultRowHeight="14.5" x14ac:dyDescent="0.35"/>
  <cols>
    <col min="2" max="2" width="53.1796875" customWidth="1"/>
    <col min="3" max="3" width="18.1796875" customWidth="1"/>
    <col min="5" max="5" width="15.1796875" customWidth="1"/>
    <col min="6" max="7" width="11.453125" bestFit="1" customWidth="1"/>
    <col min="8" max="8" width="23.1796875" customWidth="1"/>
    <col min="9" max="9" width="15.1796875" customWidth="1"/>
    <col min="10" max="10" width="17.453125" customWidth="1"/>
    <col min="11" max="11" width="14.81640625" customWidth="1"/>
    <col min="12" max="12" width="12.453125" customWidth="1"/>
    <col min="13" max="15" width="11.453125" bestFit="1" customWidth="1"/>
    <col min="16" max="16" width="11" bestFit="1" customWidth="1"/>
    <col min="17" max="17" width="16.453125" customWidth="1"/>
    <col min="18" max="18" width="16.7265625" customWidth="1"/>
    <col min="19" max="19" width="12.453125" bestFit="1" customWidth="1"/>
    <col min="20" max="20" width="14.81640625" customWidth="1"/>
    <col min="21" max="21" width="14.54296875" customWidth="1"/>
    <col min="22" max="22" width="30.453125" customWidth="1"/>
    <col min="23" max="23" width="32.54296875" customWidth="1"/>
    <col min="24" max="24" width="20" customWidth="1"/>
    <col min="25" max="36" width="11" bestFit="1" customWidth="1"/>
  </cols>
  <sheetData>
    <row r="2" spans="2:24" ht="15.65" customHeight="1" x14ac:dyDescent="0.35"/>
    <row r="3" spans="2:24" s="28" customFormat="1" ht="36" x14ac:dyDescent="0.8">
      <c r="B3" s="29" t="s">
        <v>8</v>
      </c>
    </row>
    <row r="6" spans="2:24" s="28" customFormat="1" ht="15.5" x14ac:dyDescent="0.35">
      <c r="B6" s="32" t="s">
        <v>37</v>
      </c>
    </row>
    <row r="7" spans="2:24" s="6" customFormat="1" ht="15.5" x14ac:dyDescent="0.35">
      <c r="B7" s="34"/>
    </row>
    <row r="8" spans="2:24" s="6" customFormat="1" ht="15.5" x14ac:dyDescent="0.35">
      <c r="B8" s="1005" t="s">
        <v>815</v>
      </c>
      <c r="C8" s="1005"/>
      <c r="D8" s="1005"/>
      <c r="E8" s="1005"/>
      <c r="F8" s="1005"/>
      <c r="G8" s="1005"/>
      <c r="J8" s="1005" t="s">
        <v>70</v>
      </c>
      <c r="K8" s="1005"/>
      <c r="L8" s="1005"/>
      <c r="M8" s="1005"/>
      <c r="N8" s="1005"/>
      <c r="O8" s="1005"/>
      <c r="P8" s="1005"/>
      <c r="Q8" s="1006" t="s">
        <v>30</v>
      </c>
      <c r="R8" s="1006"/>
      <c r="S8" s="1006"/>
      <c r="T8" s="1006"/>
      <c r="U8" s="1006"/>
      <c r="V8" s="1006"/>
      <c r="W8" s="707"/>
    </row>
    <row r="10" spans="2:24" x14ac:dyDescent="0.35">
      <c r="B10" s="30" t="s">
        <v>31</v>
      </c>
      <c r="C10" s="30">
        <v>1990</v>
      </c>
      <c r="D10" s="30">
        <v>2015</v>
      </c>
      <c r="E10" s="30">
        <v>2019</v>
      </c>
      <c r="F10" s="30">
        <v>2023</v>
      </c>
      <c r="I10" s="30" t="s">
        <v>31</v>
      </c>
      <c r="J10" s="30"/>
      <c r="K10" s="30">
        <v>1990</v>
      </c>
      <c r="L10" s="30">
        <v>2015</v>
      </c>
      <c r="M10" s="30">
        <v>2019</v>
      </c>
      <c r="N10" s="30">
        <v>2023</v>
      </c>
      <c r="Q10" s="30" t="s">
        <v>35</v>
      </c>
      <c r="R10" s="30"/>
      <c r="S10" s="30">
        <v>1990</v>
      </c>
      <c r="T10" s="30">
        <v>2015</v>
      </c>
      <c r="U10" s="30">
        <v>2019</v>
      </c>
      <c r="V10" s="30">
        <v>2023</v>
      </c>
    </row>
    <row r="11" spans="2:24" x14ac:dyDescent="0.35">
      <c r="B11" s="31" t="s">
        <v>814</v>
      </c>
      <c r="C11" s="48">
        <v>90.437554893800012</v>
      </c>
      <c r="D11" s="48">
        <v>80.682751448908192</v>
      </c>
      <c r="E11" s="48">
        <v>77.321194303796418</v>
      </c>
      <c r="F11" s="48">
        <v>75.039899119029798</v>
      </c>
      <c r="I11" s="31" t="s">
        <v>814</v>
      </c>
      <c r="J11" s="31"/>
      <c r="K11" s="187">
        <f t="shared" ref="K11:N18" si="0" xml:space="preserve"> C11 / INDEX($B$58:$AJ$87,MATCH($I11,$B$58:$B$87,0),MATCH(K$10,$B$58:$AJ$58,0))</f>
        <v>1.1434706980088609E-4</v>
      </c>
      <c r="L11" s="187">
        <f t="shared" si="0"/>
        <v>1.1506841609320993E-4</v>
      </c>
      <c r="M11" s="187">
        <f t="shared" si="0"/>
        <v>1.1323173237158592E-4</v>
      </c>
      <c r="N11" s="187">
        <f xml:space="preserve"> F11 / INDEX($B$58:$AJ$87,MATCH($I11,$B$58:$B$87,0),MATCH(N$10,$B$58:$AJ$58,0))</f>
        <v>1.1156209309891455E-4</v>
      </c>
      <c r="Q11" s="31" t="s">
        <v>814</v>
      </c>
      <c r="R11" s="31"/>
      <c r="S11" s="47" cm="1">
        <f t="array" ref="S11" xml:space="preserve"> K11 * INDEX($B$58:$AJ$87,MATCH($Q11,$B$58:$B$87,0)+1,MATCH(S$10,$B$58:$AJ$58,0))</f>
        <v>6.1168821519286007</v>
      </c>
      <c r="T11" s="47" cm="1">
        <f t="array" ref="T11" xml:space="preserve"> L11 * INDEX($B$58:$AJ$87,MATCH($Q11,$B$58:$B$87,0)+1,MATCH(T$10,$B$58:$AJ$58,0))</f>
        <v>5.1517280569091017</v>
      </c>
      <c r="U11" s="47" cm="1">
        <f t="array" ref="U11" xml:space="preserve"> M11 * INDEX($B$58:$AJ$87,MATCH($Q11,$B$58:$B$87,0)+1,MATCH(U$10,$B$58:$AJ$58,0))</f>
        <v>4.8927431557762278</v>
      </c>
      <c r="V11" s="47" cm="1">
        <f t="array" ref="V11" xml:space="preserve"> N11 * INDEX($B$58:$AJ$87,MATCH($Q11,$B$58:$B$87,0)+1,MATCH(V$10,$B$58:$AJ$58,0))</f>
        <v>4.863437886554081</v>
      </c>
      <c r="X11" t="s">
        <v>869</v>
      </c>
    </row>
    <row r="12" spans="2:24" x14ac:dyDescent="0.35">
      <c r="B12" s="31" t="s">
        <v>9</v>
      </c>
      <c r="C12" s="48">
        <v>1.282109232</v>
      </c>
      <c r="D12" s="48">
        <v>12.59618899222</v>
      </c>
      <c r="E12" s="48">
        <v>13.704679265719999</v>
      </c>
      <c r="F12" s="48">
        <v>14.99106219516</v>
      </c>
      <c r="I12" s="31" t="s">
        <v>9</v>
      </c>
      <c r="J12" s="31"/>
      <c r="K12" s="187">
        <f t="shared" si="0"/>
        <v>2.8853134574227479E-6</v>
      </c>
      <c r="L12" s="187">
        <f t="shared" si="0"/>
        <v>3.562200123928542E-5</v>
      </c>
      <c r="M12" s="187">
        <f t="shared" si="0"/>
        <v>3.9698048118810157E-5</v>
      </c>
      <c r="N12" s="187">
        <f t="shared" si="0"/>
        <v>4.2697049569955252E-5</v>
      </c>
      <c r="Q12" s="31" t="s">
        <v>9</v>
      </c>
      <c r="R12" s="31"/>
      <c r="S12" s="47" cm="1">
        <f t="array" ref="S12" xml:space="preserve"> K12 * INDEX($B$58:$AJ$87,MATCH($Q12,$B$58:$B$87,0)+1,MATCH(S$10,$B$58:$AJ$58,0))</f>
        <v>0.11734281299992573</v>
      </c>
      <c r="T12" s="47" cm="1">
        <f t="array" ref="T12" xml:space="preserve"> L12 * INDEX($B$58:$AJ$87,MATCH($Q12,$B$58:$B$87,0)+1,MATCH(T$10,$B$58:$AJ$58,0))</f>
        <v>1.1666561625878369</v>
      </c>
      <c r="U12" s="47" cm="1">
        <f t="array" ref="U12" xml:space="preserve"> M12 * INDEX($B$58:$AJ$87,MATCH($Q12,$B$58:$B$87,0)+1,MATCH(U$10,$B$58:$AJ$58,0))</f>
        <v>1.2516794571860843</v>
      </c>
      <c r="V12" s="47" cm="1">
        <f t="array" ref="V12" xml:space="preserve"> N12 * INDEX($B$58:$AJ$87,MATCH($Q12,$B$58:$B$87,0)+1,MATCH(V$10,$B$58:$AJ$58,0))</f>
        <v>1.417926319168644</v>
      </c>
      <c r="X12" s="187">
        <f>(N11+N21)*CH4_PRG*1000*1000+N31*N2O_PRG*1000*1000+N41*N2O_PRG*1000*1000</f>
        <v>3772.6544070194886</v>
      </c>
    </row>
    <row r="13" spans="2:24" x14ac:dyDescent="0.35">
      <c r="B13" s="31" t="s">
        <v>10</v>
      </c>
      <c r="C13" s="48">
        <v>42.055922143963997</v>
      </c>
      <c r="D13" s="48">
        <v>31.729094231214809</v>
      </c>
      <c r="E13" s="48">
        <v>30.63808233776928</v>
      </c>
      <c r="F13" s="48">
        <v>30.484875670198299</v>
      </c>
      <c r="I13" s="31" t="s">
        <v>10</v>
      </c>
      <c r="J13" s="31"/>
      <c r="K13" s="187">
        <f t="shared" si="0"/>
        <v>6.7513512269457365E-5</v>
      </c>
      <c r="L13" s="187">
        <f t="shared" si="0"/>
        <v>6.3516623756285399E-5</v>
      </c>
      <c r="M13" s="187">
        <f t="shared" si="0"/>
        <v>6.1678431405163032E-5</v>
      </c>
      <c r="N13" s="187">
        <f t="shared" si="0"/>
        <v>6.0382471423333258E-5</v>
      </c>
      <c r="Q13" s="31" t="s">
        <v>10</v>
      </c>
      <c r="R13" s="31"/>
      <c r="S13" s="47" cm="1">
        <f t="array" ref="S13" xml:space="preserve"> K13 * INDEX($B$58:$AJ$87,MATCH($Q13,$B$58:$B$87,0)+1,MATCH(S$10,$B$58:$AJ$58,0))</f>
        <v>3.4581096119538759</v>
      </c>
      <c r="T13" s="47" cm="1">
        <f t="array" ref="T13" xml:space="preserve"> L13 * INDEX($B$58:$AJ$87,MATCH($Q13,$B$58:$B$87,0)+1,MATCH(T$10,$B$58:$AJ$58,0))</f>
        <v>2.2291159107268359</v>
      </c>
      <c r="U13" s="47" cm="1">
        <f t="array" ref="U13" xml:space="preserve"> M13 * INDEX($B$58:$AJ$87,MATCH($Q13,$B$58:$B$87,0)+1,MATCH(U$10,$B$58:$AJ$58,0))</f>
        <v>2.1500484403525779</v>
      </c>
      <c r="V13" s="47" cm="1">
        <f t="array" ref="V13" xml:space="preserve"> N13 * INDEX($B$58:$AJ$87,MATCH($Q13,$B$58:$B$87,0)+1,MATCH(V$10,$B$58:$AJ$58,0))</f>
        <v>2.1600017677554773</v>
      </c>
    </row>
    <row r="14" spans="2:24" x14ac:dyDescent="0.35">
      <c r="B14" s="31" t="s">
        <v>11</v>
      </c>
      <c r="C14" s="48">
        <v>3.1273837626304002</v>
      </c>
      <c r="D14" s="48">
        <v>3.3616372649883099</v>
      </c>
      <c r="E14" s="48">
        <v>3.5360963832346002</v>
      </c>
      <c r="F14" s="48">
        <v>3.4322034437881199</v>
      </c>
      <c r="I14" s="31" t="s">
        <v>11</v>
      </c>
      <c r="J14" s="31"/>
      <c r="K14" s="187">
        <f t="shared" si="0"/>
        <v>7.5295868086616948E-6</v>
      </c>
      <c r="L14" s="187">
        <f t="shared" si="0"/>
        <v>7.9793143623889959E-6</v>
      </c>
      <c r="M14" s="187">
        <f t="shared" si="0"/>
        <v>8.3388666035481675E-6</v>
      </c>
      <c r="N14" s="187">
        <f t="shared" si="0"/>
        <v>7.7366176930559858E-6</v>
      </c>
      <c r="Q14" s="31" t="s">
        <v>11</v>
      </c>
      <c r="R14" s="31"/>
      <c r="S14" s="47" cm="1">
        <f t="array" ref="S14" xml:space="preserve"> K14 * INDEX($B$58:$AJ$87,MATCH($Q14,$B$58:$B$87,0)+1,MATCH(S$10,$B$58:$AJ$58,0))</f>
        <v>0.13002090501197014</v>
      </c>
      <c r="T14" s="47" cm="1">
        <f t="array" ref="T14" xml:space="preserve"> L14 * INDEX($B$58:$AJ$87,MATCH($Q14,$B$58:$B$87,0)+1,MATCH(T$10,$B$58:$AJ$58,0))</f>
        <v>0.13318273602263472</v>
      </c>
      <c r="U14" s="47" cm="1">
        <f t="array" ref="U14" xml:space="preserve"> M14 * INDEX($B$58:$AJ$87,MATCH($Q14,$B$58:$B$87,0)+1,MATCH(U$10,$B$58:$AJ$58,0))</f>
        <v>0.15397717183451692</v>
      </c>
      <c r="V14" s="47" cm="1">
        <f t="array" ref="V14" xml:space="preserve"> N14 * INDEX($B$58:$AJ$87,MATCH($Q14,$B$58:$B$87,0)+1,MATCH(V$10,$B$58:$AJ$58,0))</f>
        <v>0.15360280767793355</v>
      </c>
    </row>
    <row r="15" spans="2:24" x14ac:dyDescent="0.35">
      <c r="B15" s="31" t="s">
        <v>12</v>
      </c>
      <c r="C15" s="48">
        <v>1.9888521079657999</v>
      </c>
      <c r="D15" s="48">
        <v>1.60549125422053</v>
      </c>
      <c r="E15" s="48">
        <v>1.44946000531242</v>
      </c>
      <c r="F15" s="48">
        <v>1.4931259739656202</v>
      </c>
      <c r="I15" s="31" t="s">
        <v>12</v>
      </c>
      <c r="J15" s="31"/>
      <c r="K15" s="187">
        <f t="shared" si="0"/>
        <v>1.1199689763915058E-6</v>
      </c>
      <c r="L15" s="187">
        <f t="shared" si="0"/>
        <v>1.0733780432124965E-6</v>
      </c>
      <c r="M15" s="187">
        <f t="shared" si="0"/>
        <v>1.0660271102053271E-6</v>
      </c>
      <c r="N15" s="187">
        <f t="shared" si="0"/>
        <v>1.1273852787575045E-6</v>
      </c>
      <c r="Q15" s="31" t="s">
        <v>12</v>
      </c>
      <c r="R15" s="31"/>
      <c r="S15" s="47" cm="1">
        <f t="array" ref="S15" xml:space="preserve"> K15 * INDEX($B$58:$AJ$87,MATCH($Q15,$B$58:$B$87,0)+1,MATCH(S$10,$B$58:$AJ$58,0))</f>
        <v>6.0885993432547823E-2</v>
      </c>
      <c r="T15" s="47" cm="1">
        <f t="array" ref="T15" xml:space="preserve"> L15 * INDEX($B$58:$AJ$87,MATCH($Q15,$B$58:$B$87,0)+1,MATCH(T$10,$B$58:$AJ$58,0))</f>
        <v>4.4687948073065864E-2</v>
      </c>
      <c r="U15" s="47" cm="1">
        <f t="array" ref="U15" xml:space="preserve"> M15 * INDEX($B$58:$AJ$87,MATCH($Q15,$B$58:$B$87,0)+1,MATCH(U$10,$B$58:$AJ$58,0))</f>
        <v>3.3962557704031518E-2</v>
      </c>
      <c r="V15" s="47" cm="1">
        <f t="array" ref="V15" xml:space="preserve"> N15 * INDEX($B$58:$AJ$87,MATCH($Q15,$B$58:$B$87,0)+1,MATCH(V$10,$B$58:$AJ$58,0))</f>
        <v>3.703122425134775E-2</v>
      </c>
    </row>
    <row r="16" spans="2:24" x14ac:dyDescent="0.35">
      <c r="B16" s="31" t="s">
        <v>13</v>
      </c>
      <c r="C16" s="48">
        <f>1.47547410635998-C17-C18</f>
        <v>0.89458506131056015</v>
      </c>
      <c r="D16" s="48">
        <f>3.43820824994115-D17-D18</f>
        <v>2.3311089472194397</v>
      </c>
      <c r="E16" s="48">
        <f>3.27789656790441-E17-E18</f>
        <v>2.2943520148085699</v>
      </c>
      <c r="F16" s="48">
        <f>3.26628574217705-F17-F18</f>
        <v>2.2433171463645309</v>
      </c>
      <c r="I16" s="31" t="s">
        <v>13</v>
      </c>
      <c r="J16" s="31"/>
      <c r="K16" s="187">
        <f t="shared" si="0"/>
        <v>3.5580876105629165E-6</v>
      </c>
      <c r="L16" s="187">
        <f t="shared" si="0"/>
        <v>7.2283792790546175E-6</v>
      </c>
      <c r="M16" s="187">
        <f t="shared" si="0"/>
        <v>1.625735695372657E-5</v>
      </c>
      <c r="N16" s="187">
        <f t="shared" si="0"/>
        <v>1.8079311635567857E-5</v>
      </c>
      <c r="Q16" s="31" t="s">
        <v>13</v>
      </c>
      <c r="R16" s="31"/>
      <c r="S16" s="47" cm="1">
        <f t="array" ref="S16" xml:space="preserve"> K16 * INDEX($B$58:$AJ$87,MATCH($Q16,$B$58:$B$87,0)+1,MATCH(S$10,$B$58:$AJ$58,0))</f>
        <v>7.8160510541235587E-2</v>
      </c>
      <c r="T16" s="47" cm="1">
        <f t="array" ref="T16" xml:space="preserve"> L16 * INDEX($B$58:$AJ$87,MATCH($Q16,$B$58:$B$87,0)+1,MATCH(T$10,$B$58:$AJ$58,0))</f>
        <v>5.2528632220889902E-2</v>
      </c>
      <c r="U16" s="47" cm="1">
        <f t="array" ref="U16" xml:space="preserve"> M16 * INDEX($B$58:$AJ$87,MATCH($Q16,$B$58:$B$87,0)+1,MATCH(U$10,$B$58:$AJ$58,0))</f>
        <v>0.13587898941924667</v>
      </c>
      <c r="V16" s="47" cm="1">
        <f t="array" ref="V16" xml:space="preserve"> N16 * INDEX($B$58:$AJ$87,MATCH($Q16,$B$58:$B$87,0)+1,MATCH(V$10,$B$58:$AJ$58,0))</f>
        <v>0.12901396783141222</v>
      </c>
    </row>
    <row r="17" spans="2:22" x14ac:dyDescent="0.35">
      <c r="B17" s="31" t="s">
        <v>14</v>
      </c>
      <c r="C17" s="48">
        <v>0.48568478126266001</v>
      </c>
      <c r="D17" s="48">
        <v>0.96572409087429001</v>
      </c>
      <c r="E17" s="48">
        <v>0.82041241609584004</v>
      </c>
      <c r="F17" s="48">
        <v>0.83796515298728003</v>
      </c>
      <c r="I17" s="31" t="s">
        <v>14</v>
      </c>
      <c r="J17" s="31"/>
      <c r="K17" s="187">
        <f t="shared" si="0"/>
        <v>1.1086921753661744E-5</v>
      </c>
      <c r="L17" s="187">
        <f t="shared" si="0"/>
        <v>1.2856094289974307E-5</v>
      </c>
      <c r="M17" s="187">
        <f t="shared" si="0"/>
        <v>1.0167460851355063E-5</v>
      </c>
      <c r="N17" s="187">
        <f t="shared" si="0"/>
        <v>1.0274091207651697E-5</v>
      </c>
      <c r="Q17" s="31" t="s">
        <v>14</v>
      </c>
      <c r="R17" s="31"/>
      <c r="S17" s="47" cm="1">
        <f t="array" ref="S17" xml:space="preserve"> K17 * INDEX($B$58:$AJ$87,MATCH($Q17,$B$58:$B$87,0)+1,MATCH(S$10,$B$58:$AJ$58,0))</f>
        <v>4.6143768338740176E-2</v>
      </c>
      <c r="T17" s="47" cm="1">
        <f t="array" ref="T17" xml:space="preserve"> L17 * INDEX($B$58:$AJ$87,MATCH($Q17,$B$58:$B$87,0)+1,MATCH(T$10,$B$58:$AJ$58,0))</f>
        <v>8.2921808170334274E-2</v>
      </c>
      <c r="U17" s="47" cm="1">
        <f t="array" ref="U17" xml:space="preserve"> M17 * INDEX($B$58:$AJ$87,MATCH($Q17,$B$58:$B$87,0)+1,MATCH(U$10,$B$58:$AJ$58,0))</f>
        <v>8.2010739227029936E-2</v>
      </c>
      <c r="V17" s="47" cm="1">
        <f t="array" ref="V17" xml:space="preserve"> N17 * INDEX($B$58:$AJ$87,MATCH($Q17,$B$58:$B$87,0)+1,MATCH(V$10,$B$58:$AJ$58,0))</f>
        <v>8.3579731974246549E-2</v>
      </c>
    </row>
    <row r="18" spans="2:22" x14ac:dyDescent="0.35">
      <c r="B18" s="31" t="s">
        <v>15</v>
      </c>
      <c r="C18" s="48">
        <v>9.5204263786760002E-2</v>
      </c>
      <c r="D18" s="48">
        <v>0.14137521184742</v>
      </c>
      <c r="E18" s="48">
        <v>0.16313213700000001</v>
      </c>
      <c r="F18" s="48">
        <v>0.18500344282523901</v>
      </c>
      <c r="I18" s="31" t="s">
        <v>15</v>
      </c>
      <c r="J18" s="31"/>
      <c r="K18" s="187">
        <f t="shared" si="0"/>
        <v>1.4507108589493728E-8</v>
      </c>
      <c r="L18" s="187">
        <f t="shared" si="0"/>
        <v>1.3060529061485414E-8</v>
      </c>
      <c r="M18" s="187">
        <f t="shared" si="0"/>
        <v>1.3680012407700121E-8</v>
      </c>
      <c r="N18" s="187">
        <f t="shared" si="0"/>
        <v>1.3910886775101314E-8</v>
      </c>
      <c r="Q18" s="31" t="s">
        <v>15</v>
      </c>
      <c r="R18" s="31"/>
      <c r="S18" s="47" cm="1">
        <f t="array" ref="S18" xml:space="preserve"> K18 * INDEX($B$58:$AJ$87,MATCH($Q18,$B$58:$B$87,0)+1,MATCH(S$10,$B$58:$AJ$58,0))</f>
        <v>8.1564041978140055E-3</v>
      </c>
      <c r="T18" s="47" cm="1">
        <f t="array" ref="T18" xml:space="preserve"> L18 * INDEX($B$58:$AJ$87,MATCH($Q18,$B$58:$B$87,0)+1,MATCH(T$10,$B$58:$AJ$58,0))</f>
        <v>1.5992578654201707E-2</v>
      </c>
      <c r="U18" s="47" cm="1">
        <f t="array" ref="U18" xml:space="preserve"> M18 * INDEX($B$58:$AJ$87,MATCH($Q18,$B$58:$B$87,0)+1,MATCH(U$10,$B$58:$AJ$58,0))</f>
        <v>1.8716295295582514E-2</v>
      </c>
      <c r="V18" s="47" cm="1">
        <f t="array" ref="V18" xml:space="preserve"> N18 * INDEX($B$58:$AJ$87,MATCH($Q18,$B$58:$B$87,0)+1,MATCH(V$10,$B$58:$AJ$58,0))</f>
        <v>1.966530593115005E-2</v>
      </c>
    </row>
    <row r="19" spans="2:22" x14ac:dyDescent="0.35">
      <c r="C19" s="48"/>
      <c r="D19" s="48"/>
      <c r="E19" s="48"/>
      <c r="F19" s="48"/>
      <c r="S19" s="47"/>
      <c r="T19" s="47"/>
      <c r="U19" s="47"/>
      <c r="V19" s="47"/>
    </row>
    <row r="20" spans="2:22" x14ac:dyDescent="0.35">
      <c r="B20" s="30" t="s">
        <v>32</v>
      </c>
      <c r="C20" s="49">
        <v>1990</v>
      </c>
      <c r="D20" s="49">
        <v>2015</v>
      </c>
      <c r="E20" s="49">
        <v>2019</v>
      </c>
      <c r="F20" s="49">
        <v>2023</v>
      </c>
      <c r="I20" s="30" t="s">
        <v>32</v>
      </c>
      <c r="J20" s="30"/>
      <c r="K20" s="30">
        <v>1990</v>
      </c>
      <c r="L20" s="30">
        <v>2015</v>
      </c>
      <c r="M20" s="30">
        <v>2019</v>
      </c>
      <c r="N20" s="30">
        <v>2023</v>
      </c>
      <c r="Q20" s="30" t="s">
        <v>32</v>
      </c>
      <c r="R20" s="30"/>
      <c r="S20" s="49">
        <v>1990</v>
      </c>
      <c r="T20" s="49">
        <v>2015</v>
      </c>
      <c r="U20" s="49">
        <v>2019</v>
      </c>
      <c r="V20" s="49">
        <v>2023</v>
      </c>
    </row>
    <row r="21" spans="2:22" x14ac:dyDescent="0.35">
      <c r="B21" s="31" t="s">
        <v>814</v>
      </c>
      <c r="C21" s="48">
        <v>11.942469177475999</v>
      </c>
      <c r="D21" s="48">
        <v>11.76936958206052</v>
      </c>
      <c r="E21" s="48">
        <v>10.9239852451792</v>
      </c>
      <c r="F21" s="48">
        <v>10.423329827219201</v>
      </c>
      <c r="I21" s="31" t="s">
        <v>814</v>
      </c>
      <c r="J21" s="31"/>
      <c r="K21">
        <f t="shared" ref="K21:N28" si="1" xml:space="preserve"> C21 / INDEX($B$58:$AJ$87,MATCH($I11,$B$58:$B$87,0),MATCH(K$10,$B$58:$AJ$58,0))</f>
        <v>1.5099770866598221E-5</v>
      </c>
      <c r="L21">
        <f t="shared" si="1"/>
        <v>1.6785281759768674E-5</v>
      </c>
      <c r="M21">
        <f t="shared" si="1"/>
        <v>1.5997447851792319E-5</v>
      </c>
      <c r="N21">
        <f t="shared" si="1"/>
        <v>1.5496402663606833E-5</v>
      </c>
      <c r="Q21" s="31" t="s">
        <v>814</v>
      </c>
      <c r="R21" s="31"/>
      <c r="S21" s="47" cm="1">
        <f t="array" ref="S21" xml:space="preserve"> K21 * INDEX($B$58:$AJ$87,MATCH($Q21,$B$58:$B$87,0)+1,MATCH(S$20,$B$58:$AJ$58,0))</f>
        <v>0.80774714273780523</v>
      </c>
      <c r="T21" s="47" cm="1">
        <f t="array" ref="T21" xml:space="preserve"> L21 * INDEX($B$58:$AJ$87,MATCH($Q21,$B$58:$B$87,0)+1,MATCH(T$20,$B$58:$AJ$58,0))</f>
        <v>0.75149384966660326</v>
      </c>
      <c r="U21" s="47" cm="1">
        <f t="array" ref="U21" xml:space="preserve"> M21 * INDEX($B$58:$AJ$87,MATCH($Q21,$B$58:$B$87,0)+1,MATCH(U$20,$B$58:$AJ$58,0))</f>
        <v>0.69124972167594612</v>
      </c>
      <c r="V21" s="47" cm="1">
        <f t="array" ref="V21" xml:space="preserve"> N21 * INDEX($B$58:$AJ$87,MATCH($Q21,$B$58:$B$87,0)+1,MATCH(V$20,$B$58:$AJ$58,0))</f>
        <v>0.67555017771727621</v>
      </c>
    </row>
    <row r="22" spans="2:22" x14ac:dyDescent="0.35">
      <c r="B22" s="31" t="s">
        <v>9</v>
      </c>
      <c r="C22" s="48">
        <v>0.12528218052000001</v>
      </c>
      <c r="D22" s="48">
        <v>1.3964458897755501</v>
      </c>
      <c r="E22" s="48">
        <v>1.3551888467035</v>
      </c>
      <c r="F22" s="48">
        <v>1.4575329039033</v>
      </c>
      <c r="I22" s="31" t="s">
        <v>9</v>
      </c>
      <c r="J22" s="31"/>
      <c r="K22">
        <f t="shared" si="1"/>
        <v>2.8194037793935958E-7</v>
      </c>
      <c r="L22">
        <f t="shared" si="1"/>
        <v>3.9491466225938683E-6</v>
      </c>
      <c r="M22">
        <f t="shared" si="1"/>
        <v>3.9255462315764013E-6</v>
      </c>
      <c r="N22">
        <f t="shared" si="1"/>
        <v>4.1512972088056778E-6</v>
      </c>
      <c r="Q22" s="31" t="s">
        <v>9</v>
      </c>
      <c r="R22" s="31"/>
      <c r="S22" s="47" cm="1">
        <f t="array" ref="S22" xml:space="preserve"> K22 * INDEX($B$58:$AJ$87,MATCH($Q22,$B$58:$B$87,0)+1,MATCH(S$20,$B$58:$AJ$58,0))</f>
        <v>1.1466233230415814E-2</v>
      </c>
      <c r="T22" s="47" cm="1">
        <f t="array" ref="T22" xml:space="preserve"> L22 * INDEX($B$58:$AJ$87,MATCH($Q22,$B$58:$B$87,0)+1,MATCH(T$20,$B$58:$AJ$58,0))</f>
        <v>0.12933850103657177</v>
      </c>
      <c r="U22" s="47" cm="1">
        <f t="array" ref="U22" xml:space="preserve"> M22 * INDEX($B$58:$AJ$87,MATCH($Q22,$B$58:$B$87,0)+1,MATCH(U$20,$B$58:$AJ$58,0))</f>
        <v>0.12377247268160393</v>
      </c>
      <c r="V22" s="47" cm="1">
        <f t="array" ref="V22" xml:space="preserve"> N22 * INDEX($B$58:$AJ$87,MATCH($Q22,$B$58:$B$87,0)+1,MATCH(V$20,$B$58:$AJ$58,0))</f>
        <v>0.13786042900722775</v>
      </c>
    </row>
    <row r="23" spans="2:22" x14ac:dyDescent="0.35">
      <c r="B23" s="31" t="s">
        <v>10</v>
      </c>
      <c r="C23" s="48">
        <v>4.8194327908421002</v>
      </c>
      <c r="D23" s="48">
        <v>3.2245991299909198</v>
      </c>
      <c r="E23" s="48">
        <v>3.0919718862518599</v>
      </c>
      <c r="F23" s="48">
        <v>3.0283967738903201</v>
      </c>
      <c r="I23" s="31" t="s">
        <v>10</v>
      </c>
      <c r="J23" s="31"/>
      <c r="K23">
        <f t="shared" si="1"/>
        <v>7.7367661501399853E-6</v>
      </c>
      <c r="L23">
        <f t="shared" si="1"/>
        <v>6.4551369860089679E-6</v>
      </c>
      <c r="M23">
        <f t="shared" si="1"/>
        <v>6.2245402238436281E-6</v>
      </c>
      <c r="N23">
        <f t="shared" si="1"/>
        <v>5.9984525978142987E-6</v>
      </c>
      <c r="Q23" s="31" t="s">
        <v>10</v>
      </c>
      <c r="R23" s="31"/>
      <c r="S23" s="47" cm="1">
        <f t="array" ref="S23" xml:space="preserve"> K23 * INDEX($B$58:$AJ$87,MATCH($Q23,$B$58:$B$87,0)+1,MATCH(S$20,$B$58:$AJ$58,0))</f>
        <v>0.39628489897632019</v>
      </c>
      <c r="T23" s="47" cm="1">
        <f t="array" ref="T23" xml:space="preserve"> L23 * INDEX($B$58:$AJ$87,MATCH($Q23,$B$58:$B$87,0)+1,MATCH(T$20,$B$58:$AJ$58,0))</f>
        <v>0.22654303252398472</v>
      </c>
      <c r="U23" s="47" cm="1">
        <f t="array" ref="U23" xml:space="preserve"> M23 * INDEX($B$58:$AJ$87,MATCH($Q23,$B$58:$B$87,0)+1,MATCH(U$20,$B$58:$AJ$58,0))</f>
        <v>0.21698124766296503</v>
      </c>
      <c r="V23" s="47" cm="1">
        <f t="array" ref="V23" xml:space="preserve"> N23 * INDEX($B$58:$AJ$87,MATCH($Q23,$B$58:$B$87,0)+1,MATCH(V$20,$B$58:$AJ$58,0))</f>
        <v>0.2145766463290131</v>
      </c>
    </row>
    <row r="24" spans="2:22" x14ac:dyDescent="0.35">
      <c r="B24" s="31" t="s">
        <v>11</v>
      </c>
      <c r="C24" s="48">
        <v>0.48541978039360001</v>
      </c>
      <c r="D24" s="48">
        <v>0.41074754076455999</v>
      </c>
      <c r="E24" s="48">
        <v>0.44884806053060999</v>
      </c>
      <c r="F24" s="48">
        <v>0.43551981343809198</v>
      </c>
      <c r="I24" s="31" t="s">
        <v>11</v>
      </c>
      <c r="J24" s="31"/>
      <c r="K24">
        <f t="shared" si="1"/>
        <v>1.1687118219354466E-6</v>
      </c>
      <c r="L24">
        <f t="shared" si="1"/>
        <v>9.7496650976410772E-7</v>
      </c>
      <c r="M24">
        <f t="shared" si="1"/>
        <v>1.0584790956977008E-6</v>
      </c>
      <c r="N24">
        <f t="shared" si="1"/>
        <v>9.8171636661570542E-7</v>
      </c>
      <c r="Q24" s="31" t="s">
        <v>11</v>
      </c>
      <c r="R24" s="31"/>
      <c r="S24" s="47" cm="1">
        <f t="array" ref="S24" xml:space="preserve"> K24 * INDEX($B$58:$AJ$87,MATCH($Q24,$B$58:$B$87,0)+1,MATCH(S$20,$B$58:$AJ$58,0))</f>
        <v>2.0181315741181292E-2</v>
      </c>
      <c r="T24" s="47" cm="1">
        <f t="array" ref="T24" xml:space="preserve"> L24 * INDEX($B$58:$AJ$87,MATCH($Q24,$B$58:$B$87,0)+1,MATCH(T$20,$B$58:$AJ$58,0))</f>
        <v>1.6273166014472724E-2</v>
      </c>
      <c r="U24" s="47" cm="1">
        <f t="array" ref="U24" xml:space="preserve"> M24 * INDEX($B$58:$AJ$87,MATCH($Q24,$B$58:$B$87,0)+1,MATCH(U$20,$B$58:$AJ$58,0))</f>
        <v>1.9544816502058044E-2</v>
      </c>
      <c r="V24" s="47" cm="1">
        <f t="array" ref="V24" xml:space="preserve"> N24 * INDEX($B$58:$AJ$87,MATCH($Q24,$B$58:$B$87,0)+1,MATCH(V$20,$B$58:$AJ$58,0))</f>
        <v>1.9490996742788216E-2</v>
      </c>
    </row>
    <row r="25" spans="2:22" x14ac:dyDescent="0.35">
      <c r="B25" s="31" t="s">
        <v>12</v>
      </c>
      <c r="C25" s="48">
        <v>9.9764476792025896</v>
      </c>
      <c r="D25" s="48">
        <v>7.0106027025232596</v>
      </c>
      <c r="E25" s="48">
        <v>5.8972160089538601</v>
      </c>
      <c r="F25" s="48">
        <v>5.4858208534812203</v>
      </c>
      <c r="I25" s="31" t="s">
        <v>12</v>
      </c>
      <c r="J25" s="31"/>
      <c r="K25">
        <f xml:space="preserve"> C25 / INDEX($B$58:$AJ$87,MATCH($I15,$B$58:$B$87,0),MATCH(K$10,$B$58:$AJ$58,0))</f>
        <v>5.6179702103280131E-6</v>
      </c>
      <c r="L25">
        <f t="shared" si="1"/>
        <v>4.6870557474497585E-6</v>
      </c>
      <c r="M25">
        <f t="shared" si="1"/>
        <v>4.3371960021253908E-6</v>
      </c>
      <c r="N25">
        <f t="shared" si="1"/>
        <v>4.1420709169567098E-6</v>
      </c>
      <c r="Q25" s="31" t="s">
        <v>12</v>
      </c>
      <c r="R25" s="31"/>
      <c r="S25" s="47" cm="1">
        <f t="array" ref="S25" xml:space="preserve"> K25 * INDEX($B$58:$AJ$87,MATCH($Q25,$B$58:$B$87,0)+1,MATCH(S$20,$B$58:$AJ$58,0))</f>
        <v>0.30541533251427211</v>
      </c>
      <c r="T25" s="47" cm="1">
        <f t="array" ref="T25" xml:space="preserve"> L25 * INDEX($B$58:$AJ$87,MATCH($Q25,$B$58:$B$87,0)+1,MATCH(T$20,$B$58:$AJ$58,0))</f>
        <v>0.19513619193357579</v>
      </c>
      <c r="U25" s="47" cm="1">
        <f t="array" ref="U25" xml:space="preserve"> M25 * INDEX($B$58:$AJ$87,MATCH($Q25,$B$58:$B$87,0)+1,MATCH(U$20,$B$58:$AJ$58,0))</f>
        <v>0.13817872743171283</v>
      </c>
      <c r="V25" s="47" cm="1">
        <f t="array" ref="V25" xml:space="preserve"> N25 * INDEX($B$58:$AJ$87,MATCH($Q25,$B$58:$B$87,0)+1,MATCH(V$20,$B$58:$AJ$58,0))</f>
        <v>0.13605460340927705</v>
      </c>
    </row>
    <row r="26" spans="2:22" x14ac:dyDescent="0.35">
      <c r="B26" s="31" t="s">
        <v>13</v>
      </c>
      <c r="C26" s="48">
        <f>0.412008234128224-C27-C28</f>
        <v>0.19769878373414501</v>
      </c>
      <c r="D26" s="48">
        <f>0.655731764244729-D27-D28</f>
        <v>0.33434110062637901</v>
      </c>
      <c r="E26" s="48">
        <f>0.66188501053232-E27-E28</f>
        <v>0.32366731091668993</v>
      </c>
      <c r="F26" s="48">
        <f>0.677800390219338-F27-F28</f>
        <v>0.31075794390130801</v>
      </c>
      <c r="I26" s="31" t="s">
        <v>13</v>
      </c>
      <c r="J26" s="31"/>
      <c r="K26">
        <f t="shared" si="1"/>
        <v>7.8631940488398039E-7</v>
      </c>
      <c r="L26">
        <f t="shared" si="1"/>
        <v>1.0367358791989278E-6</v>
      </c>
      <c r="M26">
        <f t="shared" si="1"/>
        <v>2.293447114419565E-6</v>
      </c>
      <c r="N26">
        <f t="shared" si="1"/>
        <v>2.5044562781169548E-6</v>
      </c>
      <c r="Q26" s="31" t="s">
        <v>13</v>
      </c>
      <c r="R26" s="31"/>
      <c r="S26" s="47" cm="1">
        <f t="array" ref="S26" xml:space="preserve"> K26 * INDEX($B$58:$AJ$87,MATCH($Q26,$B$58:$B$87,0)+1,MATCH(S$20,$B$58:$AJ$58,0))</f>
        <v>1.7273078367086397E-2</v>
      </c>
      <c r="T26" s="47" cm="1">
        <f t="array" ref="T26" xml:space="preserve"> L26 * INDEX($B$58:$AJ$87,MATCH($Q26,$B$58:$B$87,0)+1,MATCH(T$20,$B$58:$AJ$58,0))</f>
        <v>7.5339596341386086E-3</v>
      </c>
      <c r="U26" s="47" cm="1">
        <f t="array" ref="U26" xml:space="preserve"> M26 * INDEX($B$58:$AJ$87,MATCH($Q26,$B$58:$B$87,0)+1,MATCH(U$20,$B$58:$AJ$58,0))</f>
        <v>1.9168630982318725E-2</v>
      </c>
      <c r="V26" s="47" cm="1">
        <f t="array" ref="V26" xml:space="preserve"> N26 * INDEX($B$58:$AJ$87,MATCH($Q26,$B$58:$B$87,0)+1,MATCH(V$20,$B$58:$AJ$58,0))</f>
        <v>1.787180000064259E-2</v>
      </c>
    </row>
    <row r="27" spans="2:22" x14ac:dyDescent="0.35">
      <c r="B27" s="31" t="s">
        <v>14</v>
      </c>
      <c r="C27" s="48">
        <v>6.1693408231709997E-2</v>
      </c>
      <c r="D27" s="48">
        <v>0.11236996440597</v>
      </c>
      <c r="E27" s="48">
        <v>9.3652704835520004E-2</v>
      </c>
      <c r="F27" s="48">
        <v>9.5639395817952014E-2</v>
      </c>
      <c r="I27" s="31" t="s">
        <v>14</v>
      </c>
      <c r="J27" s="31"/>
      <c r="K27">
        <f t="shared" si="1"/>
        <v>1.4083002312806172E-6</v>
      </c>
      <c r="L27">
        <f t="shared" si="1"/>
        <v>1.4959126228862588E-6</v>
      </c>
      <c r="M27">
        <f t="shared" si="1"/>
        <v>1.1606482195503781E-6</v>
      </c>
      <c r="N27">
        <f t="shared" si="1"/>
        <v>1.1726118588289992E-6</v>
      </c>
      <c r="Q27" s="31" t="s">
        <v>14</v>
      </c>
      <c r="R27" s="31"/>
      <c r="S27" s="47" cm="1">
        <f t="array" ref="S27" xml:space="preserve"> K27 * INDEX($B$58:$AJ$87,MATCH($Q27,$B$58:$B$87,0)+1,MATCH(S$20,$B$58:$AJ$58,0))</f>
        <v>5.8613455625899291E-3</v>
      </c>
      <c r="T27" s="47" cm="1">
        <f t="array" ref="T27" xml:space="preserve"> L27 * INDEX($B$58:$AJ$87,MATCH($Q27,$B$58:$B$87,0)+1,MATCH(T$20,$B$58:$AJ$58,0))</f>
        <v>9.6486364176163689E-3</v>
      </c>
      <c r="U27" s="47" cm="1">
        <f t="array" ref="U27" xml:space="preserve"> M27 * INDEX($B$58:$AJ$87,MATCH($Q27,$B$58:$B$87,0)+1,MATCH(U$20,$B$58:$AJ$58,0))</f>
        <v>9.3617885388933494E-3</v>
      </c>
      <c r="V27" s="47" cm="1">
        <f t="array" ref="V27" xml:space="preserve"> N27 * INDEX($B$58:$AJ$87,MATCH($Q27,$B$58:$B$87,0)+1,MATCH(V$20,$B$58:$AJ$58,0))</f>
        <v>9.5391974715739094E-3</v>
      </c>
    </row>
    <row r="28" spans="2:22" x14ac:dyDescent="0.35">
      <c r="B28" s="31" t="s">
        <v>15</v>
      </c>
      <c r="C28" s="48">
        <v>0.15261604216236901</v>
      </c>
      <c r="D28" s="48">
        <v>0.20902069921238001</v>
      </c>
      <c r="E28" s="48">
        <v>0.24456499478011001</v>
      </c>
      <c r="F28" s="48">
        <v>0.27140305050007801</v>
      </c>
      <c r="I28" s="31" t="s">
        <v>15</v>
      </c>
      <c r="J28" s="31"/>
      <c r="K28">
        <f t="shared" si="1"/>
        <v>2.325544474675243E-8</v>
      </c>
      <c r="L28">
        <f t="shared" si="1"/>
        <v>1.9309756504284308E-8</v>
      </c>
      <c r="M28">
        <f t="shared" si="1"/>
        <v>2.0508847763583333E-8</v>
      </c>
      <c r="N28">
        <f t="shared" si="1"/>
        <v>2.0407496467458304E-8</v>
      </c>
      <c r="Q28" s="31" t="s">
        <v>15</v>
      </c>
      <c r="R28" s="31"/>
      <c r="S28" s="47" cm="1">
        <f t="array" ref="S28" xml:space="preserve"> K28 * INDEX($B$58:$AJ$87,MATCH($Q28,$B$58:$B$87,0)+1,MATCH(S$20,$B$58:$AJ$58,0))</f>
        <v>1.3075024977190352E-2</v>
      </c>
      <c r="T28" s="47" cm="1">
        <f t="array" ref="T28" xml:space="preserve"> L28 * INDEX($B$58:$AJ$87,MATCH($Q28,$B$58:$B$87,0)+1,MATCH(T$20,$B$58:$AJ$58,0))</f>
        <v>2.3644738910226622E-2</v>
      </c>
      <c r="U28" s="47" cm="1">
        <f t="array" ref="U28" xml:space="preserve"> M28 * INDEX($B$58:$AJ$87,MATCH($Q28,$B$58:$B$87,0)+1,MATCH(U$20,$B$58:$AJ$58,0))</f>
        <v>2.8059159558898775E-2</v>
      </c>
      <c r="V28" s="47" cm="1">
        <f t="array" ref="V28" xml:space="preserve"> N28 * INDEX($B$58:$AJ$87,MATCH($Q28,$B$58:$B$87,0)+1,MATCH(V$20,$B$58:$AJ$58,0))</f>
        <v>2.8849322678676508E-2</v>
      </c>
    </row>
    <row r="29" spans="2:22" x14ac:dyDescent="0.35">
      <c r="C29" s="48"/>
      <c r="D29" s="48"/>
      <c r="E29" s="48"/>
      <c r="F29" s="48"/>
      <c r="S29" s="47"/>
      <c r="T29" s="47"/>
      <c r="U29" s="47"/>
      <c r="V29" s="47"/>
    </row>
    <row r="30" spans="2:22" x14ac:dyDescent="0.35">
      <c r="B30" s="30" t="s">
        <v>33</v>
      </c>
      <c r="C30" s="49">
        <v>1990</v>
      </c>
      <c r="D30" s="49">
        <v>2015</v>
      </c>
      <c r="E30" s="49">
        <v>2019</v>
      </c>
      <c r="F30" s="49">
        <v>2023</v>
      </c>
      <c r="I30" s="30" t="s">
        <v>33</v>
      </c>
      <c r="J30" s="30"/>
      <c r="K30" s="30">
        <v>1990</v>
      </c>
      <c r="L30" s="30">
        <v>2015</v>
      </c>
      <c r="M30" s="30">
        <v>2019</v>
      </c>
      <c r="N30" s="30">
        <v>2023</v>
      </c>
      <c r="Q30" s="30" t="s">
        <v>33</v>
      </c>
      <c r="R30" s="30"/>
      <c r="S30" s="49">
        <v>1990</v>
      </c>
      <c r="T30" s="49">
        <v>2015</v>
      </c>
      <c r="U30" s="49">
        <v>2019</v>
      </c>
      <c r="V30" s="49">
        <v>2023</v>
      </c>
    </row>
    <row r="31" spans="2:22" x14ac:dyDescent="0.35">
      <c r="B31" s="31" t="s">
        <v>814</v>
      </c>
      <c r="C31" s="48">
        <v>0.32029658849449999</v>
      </c>
      <c r="D31" s="48">
        <v>0.19178174999035999</v>
      </c>
      <c r="E31" s="48">
        <v>0.17514723195810999</v>
      </c>
      <c r="F31" s="48">
        <v>0.16394754957147101</v>
      </c>
      <c r="I31" s="31" t="s">
        <v>814</v>
      </c>
      <c r="J31" s="31"/>
      <c r="K31">
        <f xml:space="preserve"> C31/ INDEX($B$58:$AJ$87,MATCH($I11,$B$58:$B$87,0),MATCH(K$10,$B$58:$AJ$58,0))</f>
        <v>4.0497530483408857E-7</v>
      </c>
      <c r="L31">
        <f t="shared" ref="K31:N38" si="2" xml:space="preserve"> D31/ INDEX($B$58:$AJ$87,MATCH($I11,$B$58:$B$87,0),MATCH(L$10,$B$58:$AJ$58,0))</f>
        <v>2.735159846519256E-7</v>
      </c>
      <c r="M31">
        <f t="shared" si="2"/>
        <v>2.5649144032596821E-7</v>
      </c>
      <c r="N31">
        <f t="shared" si="2"/>
        <v>2.4374142294113249E-7</v>
      </c>
      <c r="Q31" s="31" t="s">
        <v>814</v>
      </c>
      <c r="R31" s="31"/>
      <c r="S31" s="47" cm="1">
        <f t="array" ref="S31" xml:space="preserve"> K31 * INDEX($B$58:$AJ$87,MATCH($Q31,$B$58:$B$87,0)+1,MATCH(S$30,$B$58:$AJ$58,0))</f>
        <v>2.1663748956794734E-2</v>
      </c>
      <c r="T31" s="47" cm="1">
        <f t="array" ref="T31" xml:space="preserve"> L31 * INDEX($B$58:$AJ$87,MATCH($Q31,$B$58:$B$87,0)+1,MATCH(T$30,$B$58:$AJ$58,0))</f>
        <v>1.224558414885136E-2</v>
      </c>
      <c r="U31" s="47" cm="1">
        <f t="array" ref="U31" xml:space="preserve"> M31 * INDEX($B$58:$AJ$87,MATCH($Q31,$B$58:$B$87,0)+1,MATCH(U$30,$B$58:$AJ$58,0))</f>
        <v>1.1082995136485087E-2</v>
      </c>
      <c r="V31" s="47" cm="1">
        <f t="array" ref="V31" xml:space="preserve"> N31 * INDEX($B$58:$AJ$87,MATCH($Q31,$B$58:$B$87,0)+1,MATCH(V$30,$B$58:$AJ$58,0))</f>
        <v>1.0625663591695729E-2</v>
      </c>
    </row>
    <row r="32" spans="2:22" x14ac:dyDescent="0.35">
      <c r="B32" s="31" t="s">
        <v>9</v>
      </c>
      <c r="C32" s="48">
        <v>3.627662268E-3</v>
      </c>
      <c r="D32" s="48">
        <v>2.6806347448099999E-2</v>
      </c>
      <c r="E32" s="48">
        <v>2.8194855663769999E-2</v>
      </c>
      <c r="F32" s="48">
        <v>3.0003215789520001E-2</v>
      </c>
      <c r="I32" s="31" t="s">
        <v>9</v>
      </c>
      <c r="J32" s="31"/>
      <c r="K32">
        <f t="shared" si="2"/>
        <v>8.16384633976735E-9</v>
      </c>
      <c r="L32">
        <f t="shared" si="2"/>
        <v>7.5808305401476776E-8</v>
      </c>
      <c r="M32">
        <f t="shared" si="2"/>
        <v>8.1671428797530867E-8</v>
      </c>
      <c r="N32">
        <f t="shared" si="2"/>
        <v>8.5454170968405291E-8</v>
      </c>
      <c r="Q32" s="31" t="s">
        <v>9</v>
      </c>
      <c r="R32" s="31"/>
      <c r="S32" s="47" cm="1">
        <f t="array" ref="S32" xml:space="preserve"> K32 * INDEX($B$58:$AJ$87,MATCH($Q32,$B$58:$B$87,0)+1,MATCH(S$30,$B$58:$AJ$58,0))</f>
        <v>3.3201546679199835E-4</v>
      </c>
      <c r="T32" s="47" cm="1">
        <f t="array" ref="T32" xml:space="preserve"> L32 * INDEX($B$58:$AJ$87,MATCH($Q32,$B$58:$B$87,0)+1,MATCH(T$30,$B$58:$AJ$58,0))</f>
        <v>2.4827978102037658E-3</v>
      </c>
      <c r="U32" s="47" cm="1">
        <f t="array" ref="U32" xml:space="preserve"> M32 * INDEX($B$58:$AJ$87,MATCH($Q32,$B$58:$B$87,0)+1,MATCH(U$30,$B$58:$AJ$58,0))</f>
        <v>2.5751001499861484E-3</v>
      </c>
      <c r="V32" s="47" cm="1">
        <f t="array" ref="V32" xml:space="preserve"> N32 * INDEX($B$58:$AJ$87,MATCH($Q32,$B$58:$B$87,0)+1,MATCH(V$30,$B$58:$AJ$58,0))</f>
        <v>2.8378475636897712E-3</v>
      </c>
    </row>
    <row r="33" spans="2:22" x14ac:dyDescent="0.35">
      <c r="B33" s="31" t="s">
        <v>10</v>
      </c>
      <c r="C33" s="48">
        <v>0.16047034132339999</v>
      </c>
      <c r="D33" s="48">
        <v>0.10185830212039999</v>
      </c>
      <c r="E33" s="48">
        <v>9.5511014108140002E-2</v>
      </c>
      <c r="F33" s="48">
        <v>9.4888189678871998E-2</v>
      </c>
      <c r="I33" s="31" t="s">
        <v>10</v>
      </c>
      <c r="J33" s="31"/>
      <c r="K33">
        <f t="shared" si="2"/>
        <v>2.5760739048201548E-7</v>
      </c>
      <c r="L33">
        <f t="shared" si="2"/>
        <v>2.039041961012131E-7</v>
      </c>
      <c r="M33">
        <f t="shared" si="2"/>
        <v>1.9227605263154292E-7</v>
      </c>
      <c r="N33">
        <f t="shared" si="2"/>
        <v>1.8794839328465742E-7</v>
      </c>
      <c r="Q33" s="31" t="s">
        <v>10</v>
      </c>
      <c r="R33" s="31"/>
      <c r="S33" s="47" cm="1">
        <f t="array" ref="S33" xml:space="preserve"> K33 * INDEX($B$58:$AJ$87,MATCH($Q33,$B$58:$B$87,0)+1,MATCH(S$30,$B$58:$AJ$58,0))</f>
        <v>1.3194908147879315E-2</v>
      </c>
      <c r="T33" s="47" cm="1">
        <f t="array" ref="T33" xml:space="preserve"> L33 * INDEX($B$58:$AJ$87,MATCH($Q33,$B$58:$B$87,0)+1,MATCH(T$30,$B$58:$AJ$58,0))</f>
        <v>7.1560177621720735E-3</v>
      </c>
      <c r="U33" s="47" cm="1">
        <f t="array" ref="U33" xml:space="preserve"> M33 * INDEX($B$58:$AJ$87,MATCH($Q33,$B$58:$B$87,0)+1,MATCH(U$30,$B$58:$AJ$58,0))</f>
        <v>6.7025509186829542E-3</v>
      </c>
      <c r="V33" s="47" cm="1">
        <f t="array" ref="V33" xml:space="preserve"> N33 * INDEX($B$58:$AJ$87,MATCH($Q33,$B$58:$B$87,0)+1,MATCH(V$30,$B$58:$AJ$58,0))</f>
        <v>6.7232899245787655E-3</v>
      </c>
    </row>
    <row r="34" spans="2:22" x14ac:dyDescent="0.35">
      <c r="B34" s="31" t="s">
        <v>11</v>
      </c>
      <c r="C34" s="48">
        <v>3.2328538486400001E-2</v>
      </c>
      <c r="D34" s="48">
        <v>2.865694806921E-2</v>
      </c>
      <c r="E34" s="48">
        <v>3.0438723054499999E-2</v>
      </c>
      <c r="F34" s="48">
        <v>3.10173782303464E-2</v>
      </c>
      <c r="I34" s="31" t="s">
        <v>11</v>
      </c>
      <c r="J34" s="31"/>
      <c r="K34">
        <f xml:space="preserve"> C34/ INDEX($B$58:$AJ$87,MATCH($I14,$B$58:$B$87,0),MATCH(K$10,$B$58:$AJ$58,0))</f>
        <v>7.7835198813519333E-8</v>
      </c>
      <c r="L34">
        <f t="shared" si="2"/>
        <v>6.8021258477951265E-8</v>
      </c>
      <c r="M34">
        <f t="shared" si="2"/>
        <v>7.1780976428487199E-8</v>
      </c>
      <c r="N34">
        <f t="shared" si="2"/>
        <v>6.9917066729661356E-8</v>
      </c>
      <c r="Q34" s="31" t="s">
        <v>11</v>
      </c>
      <c r="R34" s="31"/>
      <c r="S34" s="47" cm="1">
        <f t="array" ref="S34" xml:space="preserve"> K34 * INDEX($B$58:$AJ$87,MATCH($Q34,$B$58:$B$87,0)+1,MATCH(S$30,$B$58:$AJ$58,0))</f>
        <v>1.3440582131118519E-3</v>
      </c>
      <c r="T34" s="47" cm="1">
        <f t="array" ref="T34" xml:space="preserve"> L34 * INDEX($B$58:$AJ$87,MATCH($Q34,$B$58:$B$87,0)+1,MATCH(T$30,$B$58:$AJ$58,0))</f>
        <v>1.1353428252554845E-3</v>
      </c>
      <c r="U34" s="47" cm="1">
        <f t="array" ref="U34" xml:space="preserve"> M34 * INDEX($B$58:$AJ$87,MATCH($Q34,$B$58:$B$87,0)+1,MATCH(U$30,$B$58:$AJ$58,0))</f>
        <v>1.3254357297520162E-3</v>
      </c>
      <c r="V34" s="47" cm="1">
        <f t="array" ref="V34" xml:space="preserve"> N34 * INDEX($B$58:$AJ$87,MATCH($Q34,$B$58:$B$87,0)+1,MATCH(V$30,$B$58:$AJ$58,0))</f>
        <v>1.3881334428506966E-3</v>
      </c>
    </row>
    <row r="35" spans="2:22" x14ac:dyDescent="0.35">
      <c r="B35" s="31" t="s">
        <v>12</v>
      </c>
      <c r="C35" s="48">
        <v>8.7637846274020006E-2</v>
      </c>
      <c r="D35" s="48">
        <v>4.0961454154250003E-2</v>
      </c>
      <c r="E35" s="48">
        <v>3.3845925070129998E-2</v>
      </c>
      <c r="F35" s="48">
        <v>3.0963603184618001E-2</v>
      </c>
      <c r="I35" s="31" t="s">
        <v>12</v>
      </c>
      <c r="J35" s="31"/>
      <c r="K35">
        <f t="shared" si="2"/>
        <v>4.9350913821872838E-8</v>
      </c>
      <c r="L35">
        <f t="shared" si="2"/>
        <v>2.7385465596057329E-8</v>
      </c>
      <c r="M35">
        <f t="shared" si="2"/>
        <v>2.4892493454457062E-8</v>
      </c>
      <c r="N35">
        <f t="shared" si="2"/>
        <v>2.3379079204492549E-8</v>
      </c>
      <c r="Q35" s="31" t="s">
        <v>12</v>
      </c>
      <c r="R35" s="31"/>
      <c r="S35" s="47" cm="1">
        <f t="array" ref="S35" xml:space="preserve"> K35 * INDEX($B$58:$AJ$87,MATCH($Q35,$B$58:$B$87,0)+1,MATCH(S$30,$B$58:$AJ$58,0))</f>
        <v>2.6829130790122948E-3</v>
      </c>
      <c r="T35" s="47" cm="1">
        <f t="array" ref="T35" xml:space="preserve"> L35 * INDEX($B$58:$AJ$87,MATCH($Q35,$B$58:$B$87,0)+1,MATCH(T$30,$B$58:$AJ$58,0))</f>
        <v>1.1401390891606549E-3</v>
      </c>
      <c r="U35" s="47" cm="1">
        <f t="array" ref="U35" xml:space="preserve"> M35 * INDEX($B$58:$AJ$87,MATCH($Q35,$B$58:$B$87,0)+1,MATCH(U$30,$B$58:$AJ$58,0))</f>
        <v>7.9304994896554752E-4</v>
      </c>
      <c r="V35" s="47" cm="1">
        <f t="array" ref="V35" xml:space="preserve"> N35 * INDEX($B$58:$AJ$87,MATCH($Q35,$B$58:$B$87,0)+1,MATCH(V$30,$B$58:$AJ$58,0))</f>
        <v>7.6793261462996675E-4</v>
      </c>
    </row>
    <row r="36" spans="2:22" x14ac:dyDescent="0.35">
      <c r="B36" s="31" t="s">
        <v>13</v>
      </c>
      <c r="C36" s="48">
        <f>0.03015026374695-C37-C38</f>
        <v>1.5559021525359996E-2</v>
      </c>
      <c r="D36" s="48">
        <f>0.05264206733492-D37-D38</f>
        <v>2.8900015320060004E-2</v>
      </c>
      <c r="E36" s="48">
        <f>0.05079110653461-E37-E38</f>
        <v>2.669042123198E-2</v>
      </c>
      <c r="F36" s="48">
        <f>0.05182454001513-F37-F38</f>
        <v>2.7840272501467096E-2</v>
      </c>
      <c r="I36" s="31" t="s">
        <v>13</v>
      </c>
      <c r="J36" s="31"/>
      <c r="K36">
        <f t="shared" si="2"/>
        <v>6.1883843265572344E-8</v>
      </c>
      <c r="L36">
        <f t="shared" si="2"/>
        <v>8.9614117844238981E-8</v>
      </c>
      <c r="M36">
        <f t="shared" si="2"/>
        <v>1.8912342239245502E-7</v>
      </c>
      <c r="N36">
        <f t="shared" si="2"/>
        <v>2.2436995294617347E-7</v>
      </c>
      <c r="Q36" s="31" t="s">
        <v>13</v>
      </c>
      <c r="R36" s="31"/>
      <c r="S36" s="47" cm="1">
        <f t="array" ref="S36" xml:space="preserve"> K36 * INDEX($B$58:$AJ$87,MATCH($Q36,$B$58:$B$87,0)+1,MATCH(S$30,$B$58:$AJ$58,0))</f>
        <v>1.3594023850148278E-3</v>
      </c>
      <c r="T36" s="47" cm="1">
        <f t="array" ref="T36" xml:space="preserve"> L36 * INDEX($B$58:$AJ$87,MATCH($Q36,$B$58:$B$87,0)+1,MATCH(T$30,$B$58:$AJ$58,0))</f>
        <v>6.512257943740847E-4</v>
      </c>
      <c r="U36" s="47" cm="1">
        <f t="array" ref="U36" xml:space="preserve"> M36 * INDEX($B$58:$AJ$87,MATCH($Q36,$B$58:$B$87,0)+1,MATCH(U$30,$B$58:$AJ$58,0))</f>
        <v>1.5806935643561391E-3</v>
      </c>
      <c r="V36" s="47" cm="1">
        <f t="array" ref="V36" xml:space="preserve"> N36 * INDEX($B$58:$AJ$87,MATCH($Q36,$B$58:$B$87,0)+1,MATCH(V$30,$B$58:$AJ$58,0))</f>
        <v>1.6011039842238938E-3</v>
      </c>
    </row>
    <row r="37" spans="2:22" x14ac:dyDescent="0.35">
      <c r="B37" s="31" t="s">
        <v>14</v>
      </c>
      <c r="C37" s="48">
        <v>8.4078382281900007E-3</v>
      </c>
      <c r="D37" s="48">
        <v>1.49811177553E-2</v>
      </c>
      <c r="E37" s="48">
        <v>1.242598898407E-2</v>
      </c>
      <c r="F37" s="48">
        <v>1.2689452159016E-2</v>
      </c>
      <c r="I37" s="31" t="s">
        <v>14</v>
      </c>
      <c r="J37" s="31"/>
      <c r="K37">
        <f t="shared" si="2"/>
        <v>1.9192910329833133E-7</v>
      </c>
      <c r="L37">
        <f t="shared" si="2"/>
        <v>1.9943445985382997E-7</v>
      </c>
      <c r="M37">
        <f t="shared" si="2"/>
        <v>1.5399664126992192E-7</v>
      </c>
      <c r="N37">
        <f t="shared" si="2"/>
        <v>1.5558235135684947E-7</v>
      </c>
      <c r="Q37" s="31" t="s">
        <v>14</v>
      </c>
      <c r="R37" s="31"/>
      <c r="S37" s="47" cm="1">
        <f t="array" ref="S37" xml:space="preserve"> K37 * INDEX($B$58:$AJ$87,MATCH($Q37,$B$58:$B$87,0)+1,MATCH(S$30,$B$58:$AJ$58,0))</f>
        <v>7.9880892792765499E-4</v>
      </c>
      <c r="T37" s="47" cm="1">
        <f t="array" ref="T37" xml:space="preserve"> L37 * INDEX($B$58:$AJ$87,MATCH($Q37,$B$58:$B$87,0)+1,MATCH(T$30,$B$58:$AJ$58,0))</f>
        <v>1.2863522660572033E-3</v>
      </c>
      <c r="U37" s="47" cm="1">
        <f t="array" ref="U37" xml:space="preserve"> M37 * INDEX($B$58:$AJ$87,MATCH($Q37,$B$58:$B$87,0)+1,MATCH(U$30,$B$58:$AJ$58,0))</f>
        <v>1.2421369084831902E-3</v>
      </c>
      <c r="V37" s="47" cm="1">
        <f t="array" ref="V37" xml:space="preserve"> N37 * INDEX($B$58:$AJ$87,MATCH($Q37,$B$58:$B$87,0)+1,MATCH(V$30,$B$58:$AJ$58,0))</f>
        <v>1.2656624282879705E-3</v>
      </c>
    </row>
    <row r="38" spans="2:22" x14ac:dyDescent="0.35">
      <c r="B38" s="31" t="s">
        <v>15</v>
      </c>
      <c r="C38" s="48">
        <v>6.1834039933999999E-3</v>
      </c>
      <c r="D38" s="48">
        <v>8.76093425956E-3</v>
      </c>
      <c r="E38" s="48">
        <v>1.167469631856E-2</v>
      </c>
      <c r="F38" s="48">
        <v>1.12948153546469E-2</v>
      </c>
      <c r="I38" s="31" t="s">
        <v>15</v>
      </c>
      <c r="J38" s="31"/>
      <c r="K38">
        <f t="shared" si="2"/>
        <v>9.4221949329792452E-10</v>
      </c>
      <c r="L38">
        <f t="shared" si="2"/>
        <v>8.0935289155384353E-10</v>
      </c>
      <c r="M38">
        <f t="shared" si="2"/>
        <v>9.7902224191442851E-10</v>
      </c>
      <c r="N38">
        <f t="shared" si="2"/>
        <v>8.4928634378221253E-10</v>
      </c>
      <c r="Q38" s="31" t="s">
        <v>15</v>
      </c>
      <c r="R38" s="31"/>
      <c r="S38" s="47" cm="1">
        <f t="array" ref="S38" xml:space="preserve"> K38 * INDEX($B$58:$AJ$87,MATCH($Q38,$B$58:$B$87,0)+1,MATCH(S$30,$B$58:$AJ$58,0))</f>
        <v>5.2974877681435863E-4</v>
      </c>
      <c r="T38" s="47" cm="1">
        <f t="array" ref="T38" xml:space="preserve"> L38 * INDEX($B$58:$AJ$87,MATCH($Q38,$B$58:$B$87,0)+1,MATCH(T$30,$B$58:$AJ$58,0))</f>
        <v>9.9105018764900684E-4</v>
      </c>
      <c r="U38" s="47" cm="1">
        <f t="array" ref="U38" xml:space="preserve"> M38 * INDEX($B$58:$AJ$87,MATCH($Q38,$B$58:$B$87,0)+1,MATCH(U$30,$B$58:$AJ$58,0))</f>
        <v>1.3394483012529835E-3</v>
      </c>
      <c r="V38" s="47" cm="1">
        <f t="array" ref="V38" xml:space="preserve"> N38 * INDEX($B$58:$AJ$87,MATCH($Q38,$B$58:$B$87,0)+1,MATCH(V$30,$B$58:$AJ$58,0))</f>
        <v>1.2006046806101939E-3</v>
      </c>
    </row>
    <row r="39" spans="2:22" x14ac:dyDescent="0.35">
      <c r="T39" s="47"/>
      <c r="U39" s="47"/>
      <c r="V39" s="47"/>
    </row>
    <row r="40" spans="2:22" x14ac:dyDescent="0.35">
      <c r="B40" s="30" t="s">
        <v>817</v>
      </c>
      <c r="C40" s="49">
        <v>1990</v>
      </c>
      <c r="D40" s="49">
        <v>2015</v>
      </c>
      <c r="E40" s="49">
        <v>2019</v>
      </c>
      <c r="F40" s="49">
        <v>2023</v>
      </c>
      <c r="I40" s="30" t="s">
        <v>421</v>
      </c>
      <c r="J40" s="30"/>
      <c r="K40" s="49">
        <v>1990</v>
      </c>
      <c r="L40" s="49">
        <v>2015</v>
      </c>
      <c r="M40" s="49">
        <v>2019</v>
      </c>
      <c r="N40" s="49">
        <v>2023</v>
      </c>
      <c r="Q40" s="30" t="s">
        <v>421</v>
      </c>
      <c r="R40" s="30"/>
      <c r="S40" s="49">
        <v>1990</v>
      </c>
      <c r="T40" s="49">
        <v>2015</v>
      </c>
      <c r="U40" s="49">
        <v>2019</v>
      </c>
      <c r="V40" s="49">
        <v>2023</v>
      </c>
    </row>
    <row r="41" spans="2:22" x14ac:dyDescent="0.35">
      <c r="B41" s="77" t="s">
        <v>422</v>
      </c>
      <c r="C41" s="76">
        <v>0.78716993662965995</v>
      </c>
      <c r="D41" s="76">
        <v>0.89961255853906996</v>
      </c>
      <c r="E41" s="76">
        <v>0.87445578093644005</v>
      </c>
      <c r="F41" s="76">
        <v>0.86769425339113793</v>
      </c>
      <c r="I41" s="77" t="s">
        <v>422</v>
      </c>
      <c r="J41" s="77"/>
      <c r="K41" s="80">
        <f xml:space="preserve"> C41/ _xlfn.XLOOKUP(K40,$E$58:$AJ$58,$E$72:$AJ$72)</f>
        <v>4.2362256146967983E-7</v>
      </c>
      <c r="L41" s="80">
        <f xml:space="preserve"> D41/ _xlfn.XLOOKUP(L40,$E$58:$AJ$58,$E$72:$AJ$72)</f>
        <v>5.7878244976679176E-7</v>
      </c>
      <c r="M41" s="80">
        <f xml:space="preserve"> E41/ _xlfn.XLOOKUP(M40,$E$58:$AJ$58,$E$72:$AJ$72)</f>
        <v>5.734813164415735E-7</v>
      </c>
      <c r="N41" s="80">
        <f xml:space="preserve"> F41/ _xlfn.XLOOKUP(N40,$E$58:$AJ$58,$E$72:$AJ$72)</f>
        <v>5.6764169279052856E-7</v>
      </c>
      <c r="O41" s="124" t="s">
        <v>868</v>
      </c>
      <c r="Q41" s="77" t="s">
        <v>422</v>
      </c>
      <c r="R41" s="77"/>
      <c r="S41" s="80">
        <f xml:space="preserve"> K41*_xlfn.XLOOKUP(S40,$E$58:$AJ$58,$E$73:$AJ$73)</f>
        <v>6.158794247670793E-2</v>
      </c>
      <c r="T41" s="80">
        <f t="shared" ref="T41:V41" si="3" xml:space="preserve"> L41*_xlfn.XLOOKUP(T40,$E$58:$AJ$58,$E$73:$AJ$73)</f>
        <v>6.5180743145386785E-2</v>
      </c>
      <c r="U41" s="80">
        <f t="shared" si="3"/>
        <v>6.2852978800680012E-2</v>
      </c>
      <c r="V41" s="80">
        <f t="shared" si="3"/>
        <v>6.3902263565893749E-2</v>
      </c>
    </row>
    <row r="42" spans="2:22" s="6" customFormat="1" x14ac:dyDescent="0.35">
      <c r="B42" s="77" t="s">
        <v>423</v>
      </c>
      <c r="C42" s="76">
        <v>7.2061337728894115</v>
      </c>
      <c r="D42" s="76">
        <v>5.6227483979385928</v>
      </c>
      <c r="E42" s="76">
        <v>5.5397488198077394</v>
      </c>
      <c r="F42" s="76">
        <v>5.33132009857394</v>
      </c>
      <c r="I42" s="77" t="s">
        <v>423</v>
      </c>
      <c r="J42" s="77"/>
      <c r="K42" s="80">
        <f>C42/_xlfn.XLOOKUP(K40,$E$58:$AJ$58,$E$70:$AJ$70)</f>
        <v>6.753766493176453E-6</v>
      </c>
      <c r="L42" s="80">
        <f>D42/_xlfn.XLOOKUP(L40,$E$58:$AJ$58,$E$70:$AJ$70)</f>
        <v>5.3564013412451768E-6</v>
      </c>
      <c r="M42" s="80">
        <f>E42/_xlfn.XLOOKUP(M40,$E$58:$AJ$58,$E$70:$AJ$70)</f>
        <v>5.3076505681146538E-6</v>
      </c>
      <c r="N42" s="80">
        <f>F42/_xlfn.XLOOKUP(N40,$E$58:$AJ$58,$E$70:$AJ$70)</f>
        <v>5.11628273521294E-6</v>
      </c>
      <c r="Q42" s="77" t="s">
        <v>424</v>
      </c>
      <c r="R42" s="77"/>
      <c r="S42" s="80">
        <f>K42*_xlfn.XLOOKUP(S40,$E$58:$AJ$58,$E$71:$AJ$71)</f>
        <v>0.7350326687518729</v>
      </c>
      <c r="T42" s="80">
        <f>L42*_xlfn.XLOOKUP(T40,$E$58:$AJ$58,$E$71:$AJ$71)</f>
        <v>0.58258363547919045</v>
      </c>
      <c r="U42" s="80">
        <f>M42*_xlfn.XLOOKUP(U40,$E$58:$AJ$58,$E$71:$AJ$71)</f>
        <v>0.5760764697114602</v>
      </c>
      <c r="V42" s="80">
        <f>N42*_xlfn.XLOOKUP(V40,$E$58:$AJ$58,$E$71:$AJ$71)</f>
        <v>0.55306504739378359</v>
      </c>
    </row>
    <row r="43" spans="2:22" s="6" customFormat="1" x14ac:dyDescent="0.35"/>
    <row r="44" spans="2:22" s="6" customFormat="1" x14ac:dyDescent="0.35">
      <c r="B44" s="30" t="s">
        <v>59</v>
      </c>
      <c r="C44" s="49">
        <v>1990</v>
      </c>
      <c r="D44" s="49">
        <v>2015</v>
      </c>
      <c r="E44" s="49">
        <v>2019</v>
      </c>
      <c r="F44" s="49">
        <v>2023</v>
      </c>
      <c r="I44" s="30" t="s">
        <v>59</v>
      </c>
      <c r="J44" s="30"/>
      <c r="K44" s="49">
        <v>1990</v>
      </c>
      <c r="L44" s="49">
        <v>2015</v>
      </c>
      <c r="M44" s="49">
        <v>2019</v>
      </c>
      <c r="N44" s="49">
        <v>2023</v>
      </c>
      <c r="Q44" s="30" t="s">
        <v>59</v>
      </c>
      <c r="R44" s="30"/>
      <c r="S44" s="49">
        <v>1990</v>
      </c>
      <c r="T44" s="49">
        <v>2015</v>
      </c>
      <c r="U44" s="49">
        <v>2019</v>
      </c>
      <c r="V44" s="49">
        <v>2023</v>
      </c>
    </row>
    <row r="45" spans="2:22" s="6" customFormat="1" x14ac:dyDescent="0.35">
      <c r="B45" s="77" t="s">
        <v>57</v>
      </c>
      <c r="C45" s="76">
        <v>22.247394390644899</v>
      </c>
      <c r="D45" s="76">
        <v>32.864975750163929</v>
      </c>
      <c r="E45" s="76">
        <v>32.700063443517337</v>
      </c>
      <c r="F45" s="76">
        <v>32.77674972729038</v>
      </c>
      <c r="I45" s="77" t="s">
        <v>57</v>
      </c>
      <c r="J45" s="77"/>
      <c r="K45" s="76">
        <f xml:space="preserve"> C45 / _xlfn.XLOOKUP(K$44,$E$58:$AJ$58,$E$70:$AJ$70)</f>
        <v>2.0850807316580349E-5</v>
      </c>
      <c r="L45" s="76">
        <f t="shared" ref="L45:N45" si="4" xml:space="preserve"> D45 / _xlfn.XLOOKUP(L$44,$E$58:$AJ$58,$E$70:$AJ$70)</f>
        <v>3.1308176665473272E-5</v>
      </c>
      <c r="M45" s="76">
        <f t="shared" si="4"/>
        <v>3.1330032454322277E-5</v>
      </c>
      <c r="N45" s="76">
        <f t="shared" si="4"/>
        <v>3.1454708335931191E-5</v>
      </c>
      <c r="Q45" s="77" t="s">
        <v>57</v>
      </c>
      <c r="R45" s="77"/>
      <c r="S45" s="76">
        <f xml:space="preserve"> K45 *_xlfn.XLOOKUP(S$44,$E$58:$AJ$58,$E$71:$AJ$71)</f>
        <v>2.2692559126853893</v>
      </c>
      <c r="T45" s="76">
        <f t="shared" ref="T45:U45" si="5" xml:space="preserve"> L45 *_xlfn.XLOOKUP(T$44,$E$58:$AJ$58,$E$71:$AJ$71)</f>
        <v>3.4052025268435351</v>
      </c>
      <c r="U45" s="76">
        <f t="shared" si="5"/>
        <v>3.4004677324947767</v>
      </c>
      <c r="V45" s="76">
        <f xml:space="preserve"> N45 *_xlfn.XLOOKUP(V$44,$E$58:$AJ$58,$E$71:$AJ$71)</f>
        <v>3.400222516405826</v>
      </c>
    </row>
    <row r="46" spans="2:22" s="6" customFormat="1" x14ac:dyDescent="0.35">
      <c r="B46" s="77" t="s">
        <v>58</v>
      </c>
      <c r="C46" s="76">
        <v>26.655978468788369</v>
      </c>
      <c r="D46" s="76">
        <v>11.825660336795799</v>
      </c>
      <c r="E46" s="76">
        <v>12.69008138142318</v>
      </c>
      <c r="F46" s="76">
        <v>13.389467145391398</v>
      </c>
      <c r="I46" s="77" t="s">
        <v>58</v>
      </c>
      <c r="J46" s="77"/>
      <c r="K46" s="76">
        <f xml:space="preserve"> C46 / _xlfn.XLOOKUP(K$44,$E$58:$AJ$58,$E$70:$AJ$70)</f>
        <v>2.4982641163647276E-5</v>
      </c>
      <c r="L46" s="76">
        <f t="shared" ref="L46" si="6" xml:space="preserve"> D46 / _xlfn.XLOOKUP(L$44,$E$58:$AJ$58,$E$70:$AJ$70)</f>
        <v>1.1265484138032151E-5</v>
      </c>
      <c r="M46" s="76">
        <f t="shared" ref="M46" si="7" xml:space="preserve"> E46 / _xlfn.XLOOKUP(M$44,$E$58:$AJ$58,$E$70:$AJ$70)</f>
        <v>1.2158406426786245E-5</v>
      </c>
      <c r="N46" s="76">
        <f xml:space="preserve"> F46 / _xlfn.XLOOKUP(N$44,$E$58:$AJ$58,$E$70:$AJ$70)</f>
        <v>1.2849406586558352E-5</v>
      </c>
      <c r="Q46" s="77" t="s">
        <v>58</v>
      </c>
      <c r="R46" s="77"/>
      <c r="S46" s="76">
        <f t="shared" ref="S46:V47" si="8" xml:space="preserve"> K46 * _xlfn.XLOOKUP(S$44,$E$58:$AJ$58,$E$71:$AJ$71)</f>
        <v>2.7189357857632239</v>
      </c>
      <c r="T46" s="76">
        <f t="shared" si="8"/>
        <v>1.2252791167889288</v>
      </c>
      <c r="U46" s="76">
        <f t="shared" si="8"/>
        <v>1.3196369583440986</v>
      </c>
      <c r="V46" s="76">
        <f t="shared" si="8"/>
        <v>1.3890080026003713</v>
      </c>
    </row>
    <row r="47" spans="2:22" s="6" customFormat="1" x14ac:dyDescent="0.35">
      <c r="B47" s="77" t="s">
        <v>65</v>
      </c>
      <c r="C47" s="76">
        <v>530.36994723671478</v>
      </c>
      <c r="D47" s="78">
        <v>2008.0383878911593</v>
      </c>
      <c r="E47" s="76">
        <v>-852.65015409254602</v>
      </c>
      <c r="F47" s="76">
        <v>515.01947895876833</v>
      </c>
      <c r="I47" s="77" t="str">
        <f>B47</f>
        <v>Sols agricoles (Table4B - Cropland)</v>
      </c>
      <c r="J47" s="77"/>
      <c r="K47" s="76">
        <f xml:space="preserve"> C47 / _xlfn.XLOOKUP(K$44,$E$58:$AJ$58,$E$70:$AJ$70)</f>
        <v>4.9707580951537501E-4</v>
      </c>
      <c r="L47" s="76">
        <f xml:space="preserve"> D47 / _xlfn.XLOOKUP(L$44,$E$58:$AJ$58,$E$70:$AJ$70)</f>
        <v>1.9129185147454422E-3</v>
      </c>
      <c r="M47" s="76">
        <f xml:space="preserve"> E47 / _xlfn.XLOOKUP(M$44,$E$58:$AJ$58,$E$70:$AJ$70)</f>
        <v>-8.16926763645109E-4</v>
      </c>
      <c r="N47" s="76">
        <f xml:space="preserve"> F47 / _xlfn.XLOOKUP(N$44,$E$58:$AJ$58,$E$70:$AJ$70)</f>
        <v>4.9424630668864458E-4</v>
      </c>
      <c r="Q47" s="77" t="str">
        <f>B47</f>
        <v>Sols agricoles (Table4B - Cropland)</v>
      </c>
      <c r="R47" s="77"/>
      <c r="S47" s="76">
        <f t="shared" si="8"/>
        <v>54.098251576986812</v>
      </c>
      <c r="T47" s="76">
        <f t="shared" ref="T47" si="9" xml:space="preserve"> L47 * _xlfn.XLOOKUP(T$44,$E$58:$AJ$58,$E$71:$AJ$71)</f>
        <v>208.05666933777329</v>
      </c>
      <c r="U47" s="76">
        <f t="shared" ref="U47" si="10" xml:space="preserve"> M47 * _xlfn.XLOOKUP(U$44,$E$58:$AJ$58,$E$71:$AJ$71)</f>
        <v>-88.6667801457492</v>
      </c>
      <c r="V47" s="76">
        <f t="shared" ref="V47" si="11" xml:space="preserve"> N47 * _xlfn.XLOOKUP(V$44,$E$58:$AJ$58,$E$71:$AJ$71)</f>
        <v>53.427531506735789</v>
      </c>
    </row>
    <row r="48" spans="2:22" s="6" customFormat="1" x14ac:dyDescent="0.35">
      <c r="B48" s="77" t="s">
        <v>66</v>
      </c>
      <c r="C48" s="76">
        <v>-438.60553193958799</v>
      </c>
      <c r="D48" s="78">
        <v>1990.2859944029638</v>
      </c>
      <c r="E48" s="76">
        <v>5.8945442120959246</v>
      </c>
      <c r="F48" s="76">
        <v>756.46241676595844</v>
      </c>
      <c r="I48" s="77" t="str">
        <f>B48</f>
        <v>Sols agricoles (Table4C - Grassland)</v>
      </c>
      <c r="J48" s="76"/>
      <c r="K48" s="76">
        <f xml:space="preserve"> C48 / _xlfn.XLOOKUP(K$44,$E$58:$AJ$58,$E$70:$AJ$70)</f>
        <v>-4.1107193381280621E-4</v>
      </c>
      <c r="L48" s="76">
        <f t="shared" ref="L48:N48" si="12" xml:space="preserve"> D48 / _xlfn.XLOOKUP(L$44,$E$58:$AJ$58,$E$70:$AJ$70)</f>
        <v>1.896007044133429E-3</v>
      </c>
      <c r="M48" s="76">
        <f t="shared" si="12"/>
        <v>5.6475811365746518E-6</v>
      </c>
      <c r="N48" s="76">
        <f t="shared" si="12"/>
        <v>7.2595070848819937E-4</v>
      </c>
      <c r="Q48" s="77" t="str">
        <f>B48</f>
        <v>Sols agricoles (Table4C - Grassland)</v>
      </c>
      <c r="R48" s="77"/>
      <c r="S48" s="76"/>
      <c r="T48" s="76"/>
      <c r="U48" s="76"/>
      <c r="V48" s="76"/>
    </row>
    <row r="49" spans="1:91" s="6" customFormat="1" x14ac:dyDescent="0.35"/>
    <row r="50" spans="1:91" s="28" customFormat="1" x14ac:dyDescent="0.35">
      <c r="B50" s="33" t="s">
        <v>22</v>
      </c>
    </row>
    <row r="52" spans="1:91" x14ac:dyDescent="0.35">
      <c r="A52" s="6" t="s">
        <v>16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 spans="1:91" x14ac:dyDescent="0.35">
      <c r="A53" s="37" t="s">
        <v>23</v>
      </c>
      <c r="B53" s="35"/>
      <c r="C53" s="35"/>
      <c r="D53" s="35"/>
      <c r="E53" s="35"/>
      <c r="F53" s="35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91" x14ac:dyDescent="0.35">
      <c r="A54" s="3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91" x14ac:dyDescent="0.35">
      <c r="A55" s="36"/>
      <c r="B55" s="6"/>
      <c r="C55" s="6"/>
      <c r="D55" s="6"/>
      <c r="E55" s="6"/>
      <c r="F55" s="6"/>
      <c r="G55" s="6"/>
      <c r="H55" s="6"/>
      <c r="I55" s="6"/>
      <c r="J55" s="6"/>
      <c r="K55" s="706"/>
      <c r="L55" s="6"/>
      <c r="M55" s="6"/>
      <c r="N55" s="6"/>
      <c r="O55" s="6"/>
      <c r="P55" s="6"/>
      <c r="Q55" s="6"/>
      <c r="R55" s="6"/>
    </row>
    <row r="56" spans="1:91" ht="18.5" x14ac:dyDescent="0.45">
      <c r="A56" s="42" t="s">
        <v>17</v>
      </c>
    </row>
    <row r="58" spans="1:91" s="41" customFormat="1" x14ac:dyDescent="0.35">
      <c r="A58"/>
      <c r="E58" s="49">
        <v>2023</v>
      </c>
      <c r="F58" s="49">
        <v>2022</v>
      </c>
      <c r="G58" s="49">
        <v>2021</v>
      </c>
      <c r="H58" s="49">
        <v>2020</v>
      </c>
      <c r="I58" s="49">
        <v>2019</v>
      </c>
      <c r="J58" s="49">
        <v>2018</v>
      </c>
      <c r="K58" s="49">
        <v>2017</v>
      </c>
      <c r="L58" s="49">
        <v>2016</v>
      </c>
      <c r="M58" s="49">
        <v>2015</v>
      </c>
      <c r="N58" s="49">
        <v>2014</v>
      </c>
      <c r="O58" s="49">
        <v>2013</v>
      </c>
      <c r="P58" s="49">
        <v>2012</v>
      </c>
      <c r="Q58" s="49">
        <v>2011</v>
      </c>
      <c r="R58" s="49">
        <v>2010</v>
      </c>
      <c r="S58" s="49">
        <v>2009</v>
      </c>
      <c r="T58" s="49">
        <v>2008</v>
      </c>
      <c r="U58" s="49">
        <v>2007</v>
      </c>
      <c r="V58" s="49">
        <v>2006</v>
      </c>
      <c r="W58" s="49">
        <v>2005</v>
      </c>
      <c r="X58" s="49">
        <v>2004</v>
      </c>
      <c r="Y58" s="49">
        <v>2003</v>
      </c>
      <c r="Z58" s="49">
        <v>2002</v>
      </c>
      <c r="AA58" s="49">
        <v>2001</v>
      </c>
      <c r="AB58" s="49">
        <v>2000</v>
      </c>
      <c r="AC58" s="49">
        <v>1999</v>
      </c>
      <c r="AD58" s="49">
        <v>1998</v>
      </c>
      <c r="AE58" s="49">
        <v>1997</v>
      </c>
      <c r="AF58" s="49">
        <v>1996</v>
      </c>
      <c r="AG58" s="49">
        <v>1990</v>
      </c>
      <c r="AH58" s="49">
        <v>1985</v>
      </c>
      <c r="AI58" s="49">
        <v>1980</v>
      </c>
      <c r="AJ58" s="49">
        <v>1975</v>
      </c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</row>
    <row r="59" spans="1:91" x14ac:dyDescent="0.35">
      <c r="B59" s="38" t="s">
        <v>814</v>
      </c>
      <c r="C59" s="38" t="s">
        <v>18</v>
      </c>
      <c r="D59" s="38" t="s">
        <v>19</v>
      </c>
      <c r="E59" s="39">
        <v>672629</v>
      </c>
      <c r="F59" s="39">
        <v>680657</v>
      </c>
      <c r="G59" s="39">
        <v>680593</v>
      </c>
      <c r="H59" s="39">
        <v>677863</v>
      </c>
      <c r="I59" s="39">
        <v>682858</v>
      </c>
      <c r="J59" s="39">
        <v>689644</v>
      </c>
      <c r="K59" s="39">
        <v>692583</v>
      </c>
      <c r="L59" s="39">
        <v>696568</v>
      </c>
      <c r="M59" s="39">
        <v>701172</v>
      </c>
      <c r="N59" s="39">
        <v>705371</v>
      </c>
      <c r="O59" s="39">
        <v>703489</v>
      </c>
      <c r="P59" s="39">
        <v>705642</v>
      </c>
      <c r="Q59" s="39">
        <v>699947</v>
      </c>
      <c r="R59" s="39">
        <v>700315</v>
      </c>
      <c r="S59" s="39">
        <v>707742</v>
      </c>
      <c r="T59" s="39">
        <v>726875</v>
      </c>
      <c r="U59" s="39">
        <v>708340</v>
      </c>
      <c r="V59" s="39">
        <v>705354</v>
      </c>
      <c r="W59" s="39">
        <v>699182</v>
      </c>
      <c r="X59" s="39">
        <v>690997</v>
      </c>
      <c r="Y59" s="39">
        <v>703432</v>
      </c>
      <c r="Z59" s="39">
        <v>716027</v>
      </c>
      <c r="AA59" s="39">
        <v>720034</v>
      </c>
      <c r="AB59" s="39">
        <v>714292</v>
      </c>
      <c r="AC59" s="39">
        <v>724778</v>
      </c>
      <c r="AD59" s="39">
        <v>737343</v>
      </c>
      <c r="AE59" s="39">
        <v>743613</v>
      </c>
      <c r="AF59" s="39">
        <v>764043</v>
      </c>
      <c r="AG59" s="39">
        <v>790904</v>
      </c>
      <c r="AH59" s="39">
        <v>822120</v>
      </c>
      <c r="AI59" s="39">
        <v>871752</v>
      </c>
      <c r="AJ59" s="39">
        <v>869677</v>
      </c>
    </row>
    <row r="60" spans="1:91" x14ac:dyDescent="0.35">
      <c r="C60" s="38" t="s">
        <v>20</v>
      </c>
      <c r="D60" s="38" t="s">
        <v>21</v>
      </c>
      <c r="E60" s="39">
        <v>43594</v>
      </c>
      <c r="F60" s="39">
        <v>44331</v>
      </c>
      <c r="G60" s="39">
        <v>43673</v>
      </c>
      <c r="H60" s="39">
        <v>43327</v>
      </c>
      <c r="I60" s="39">
        <v>43210</v>
      </c>
      <c r="J60" s="39">
        <v>43366</v>
      </c>
      <c r="K60" s="39">
        <v>43271</v>
      </c>
      <c r="L60" s="39">
        <v>43720</v>
      </c>
      <c r="M60" s="39">
        <v>44771</v>
      </c>
      <c r="N60" s="39">
        <v>44393</v>
      </c>
      <c r="O60" s="39">
        <v>43913</v>
      </c>
      <c r="P60" s="39">
        <v>44427</v>
      </c>
      <c r="Q60" s="39">
        <v>43895</v>
      </c>
      <c r="R60" s="39">
        <v>44560</v>
      </c>
      <c r="S60" s="39">
        <v>45880</v>
      </c>
      <c r="T60" s="39">
        <v>46782</v>
      </c>
      <c r="U60" s="39">
        <v>45491</v>
      </c>
      <c r="V60" s="39">
        <v>45047</v>
      </c>
      <c r="W60" s="39">
        <v>44773</v>
      </c>
      <c r="X60" s="39">
        <v>44781</v>
      </c>
      <c r="Y60" s="39">
        <v>45947</v>
      </c>
      <c r="Z60" s="39">
        <v>47351</v>
      </c>
      <c r="AA60" s="39">
        <v>47989</v>
      </c>
      <c r="AB60" s="39">
        <v>46856</v>
      </c>
      <c r="AC60" s="39">
        <v>47806</v>
      </c>
      <c r="AD60" s="39">
        <v>49511</v>
      </c>
      <c r="AE60" s="39">
        <v>49832</v>
      </c>
      <c r="AF60" s="39">
        <v>51277</v>
      </c>
      <c r="AG60" s="39">
        <v>53494</v>
      </c>
      <c r="AH60" s="39">
        <v>55769</v>
      </c>
      <c r="AI60" s="39">
        <v>61108</v>
      </c>
      <c r="AJ60" s="39">
        <v>61735</v>
      </c>
    </row>
    <row r="61" spans="1:91" x14ac:dyDescent="0.35">
      <c r="B61" s="38" t="s">
        <v>10</v>
      </c>
      <c r="C61" s="38" t="s">
        <v>18</v>
      </c>
      <c r="D61" s="38" t="s">
        <v>19</v>
      </c>
      <c r="E61" s="39">
        <v>504863</v>
      </c>
      <c r="F61" s="39">
        <v>508947</v>
      </c>
      <c r="G61" s="39">
        <v>499728</v>
      </c>
      <c r="H61" s="39">
        <v>497845</v>
      </c>
      <c r="I61" s="39">
        <v>496739</v>
      </c>
      <c r="J61" s="39">
        <v>495378</v>
      </c>
      <c r="K61" s="39">
        <v>501151</v>
      </c>
      <c r="L61" s="39">
        <v>505499</v>
      </c>
      <c r="M61" s="39">
        <v>499540</v>
      </c>
      <c r="N61" s="39">
        <v>499896</v>
      </c>
      <c r="O61" s="39">
        <v>483422</v>
      </c>
      <c r="P61" s="39">
        <v>490538</v>
      </c>
      <c r="Q61" s="39">
        <v>501185</v>
      </c>
      <c r="R61" s="39">
        <v>506921</v>
      </c>
      <c r="S61" s="39">
        <v>512174</v>
      </c>
      <c r="T61" s="39">
        <v>551326</v>
      </c>
      <c r="U61" s="39">
        <v>540269</v>
      </c>
      <c r="V61" s="39">
        <v>537265</v>
      </c>
      <c r="W61" s="39">
        <v>534296</v>
      </c>
      <c r="X61" s="39">
        <v>525225</v>
      </c>
      <c r="Y61" s="39">
        <v>530075</v>
      </c>
      <c r="Z61" s="39">
        <v>532550</v>
      </c>
      <c r="AA61" s="39">
        <v>541668</v>
      </c>
      <c r="AB61" s="39">
        <v>522082</v>
      </c>
      <c r="AC61" s="39">
        <v>578475</v>
      </c>
      <c r="AD61" s="39">
        <v>527165</v>
      </c>
      <c r="AE61" s="39">
        <v>528916</v>
      </c>
      <c r="AF61" s="39">
        <v>569825</v>
      </c>
      <c r="AG61" s="39">
        <v>622926</v>
      </c>
      <c r="AH61" s="39">
        <v>521862</v>
      </c>
      <c r="AI61" s="39">
        <v>505539</v>
      </c>
      <c r="AJ61" s="39">
        <v>468817</v>
      </c>
    </row>
    <row r="62" spans="1:91" x14ac:dyDescent="0.35">
      <c r="C62" s="38" t="s">
        <v>20</v>
      </c>
      <c r="D62" s="38" t="s">
        <v>21</v>
      </c>
      <c r="E62" s="39">
        <v>35772</v>
      </c>
      <c r="F62" s="39">
        <v>36575</v>
      </c>
      <c r="G62" s="39">
        <v>35353</v>
      </c>
      <c r="H62" s="39">
        <v>34112</v>
      </c>
      <c r="I62" s="39">
        <v>34859</v>
      </c>
      <c r="J62" s="39">
        <v>34916</v>
      </c>
      <c r="K62" s="39">
        <v>35122</v>
      </c>
      <c r="L62" s="39">
        <v>35771</v>
      </c>
      <c r="M62" s="39">
        <v>35095</v>
      </c>
      <c r="N62" s="39">
        <v>36907</v>
      </c>
      <c r="O62" s="39">
        <v>34878</v>
      </c>
      <c r="P62" s="39">
        <v>35182</v>
      </c>
      <c r="Q62" s="39">
        <v>36382</v>
      </c>
      <c r="R62" s="39">
        <v>36800</v>
      </c>
      <c r="S62" s="39">
        <v>37374</v>
      </c>
      <c r="T62" s="39">
        <v>44424</v>
      </c>
      <c r="U62" s="39">
        <v>42127</v>
      </c>
      <c r="V62" s="39">
        <v>42472</v>
      </c>
      <c r="W62" s="39">
        <v>41835</v>
      </c>
      <c r="X62" s="39">
        <v>41623</v>
      </c>
      <c r="Y62" s="39">
        <v>42928</v>
      </c>
      <c r="Z62" s="39">
        <v>42964</v>
      </c>
      <c r="AA62" s="39">
        <v>44601</v>
      </c>
      <c r="AB62" s="39">
        <v>42370</v>
      </c>
      <c r="AC62" s="39">
        <v>49672</v>
      </c>
      <c r="AD62" s="39">
        <v>42352</v>
      </c>
      <c r="AE62" s="39">
        <v>42918</v>
      </c>
      <c r="AF62" s="39">
        <v>46196</v>
      </c>
      <c r="AG62" s="39">
        <v>51221</v>
      </c>
      <c r="AH62" s="39">
        <v>48330</v>
      </c>
      <c r="AI62" s="39">
        <v>54841</v>
      </c>
      <c r="AJ62" s="39">
        <v>53774</v>
      </c>
    </row>
    <row r="63" spans="1:91" x14ac:dyDescent="0.35">
      <c r="B63" s="38" t="str">
        <f>I12</f>
        <v>Cheptel - Autres vaches</v>
      </c>
      <c r="C63" s="38" t="s">
        <v>18</v>
      </c>
      <c r="D63" s="38" t="s">
        <v>19</v>
      </c>
      <c r="E63" s="39">
        <v>351103</v>
      </c>
      <c r="F63" s="39">
        <v>335666</v>
      </c>
      <c r="G63" s="39">
        <v>333380</v>
      </c>
      <c r="H63" s="39">
        <v>339415</v>
      </c>
      <c r="I63" s="39">
        <v>345223</v>
      </c>
      <c r="J63" s="39">
        <v>358323</v>
      </c>
      <c r="K63" s="39">
        <v>350878</v>
      </c>
      <c r="L63" s="39">
        <v>353329</v>
      </c>
      <c r="M63" s="39">
        <v>353607</v>
      </c>
      <c r="N63" s="39">
        <v>357534</v>
      </c>
      <c r="O63" s="39">
        <v>363408</v>
      </c>
      <c r="P63" s="39">
        <v>368451</v>
      </c>
      <c r="Q63" s="39">
        <v>376275</v>
      </c>
      <c r="R63" s="39">
        <v>383997</v>
      </c>
      <c r="S63" s="39">
        <v>377568</v>
      </c>
      <c r="T63" s="39">
        <v>326086</v>
      </c>
      <c r="U63" s="39">
        <v>323155</v>
      </c>
      <c r="V63" s="39">
        <v>324268</v>
      </c>
      <c r="W63" s="39">
        <v>321218</v>
      </c>
      <c r="X63" s="39">
        <v>328325</v>
      </c>
      <c r="Y63" s="39">
        <v>336671</v>
      </c>
      <c r="Z63" s="39">
        <v>345120</v>
      </c>
      <c r="AA63" s="39">
        <v>349649</v>
      </c>
      <c r="AB63" s="39">
        <v>351631</v>
      </c>
      <c r="AC63" s="39">
        <v>305482</v>
      </c>
      <c r="AD63" s="39">
        <v>376363</v>
      </c>
      <c r="AE63" s="39">
        <v>400401</v>
      </c>
      <c r="AF63" s="39">
        <v>413203</v>
      </c>
      <c r="AG63" s="39">
        <v>444357</v>
      </c>
      <c r="AH63" s="39">
        <v>504449</v>
      </c>
      <c r="AI63" s="39">
        <v>526434</v>
      </c>
      <c r="AJ63" s="39">
        <v>507417</v>
      </c>
    </row>
    <row r="64" spans="1:91" x14ac:dyDescent="0.35">
      <c r="C64" s="38" t="s">
        <v>20</v>
      </c>
      <c r="D64" s="38" t="s">
        <v>21</v>
      </c>
      <c r="E64" s="39">
        <v>33209</v>
      </c>
      <c r="F64" s="39">
        <v>31220</v>
      </c>
      <c r="G64" s="39">
        <v>30267</v>
      </c>
      <c r="H64" s="39">
        <v>31081</v>
      </c>
      <c r="I64" s="39">
        <v>31530</v>
      </c>
      <c r="J64" s="39">
        <v>33307</v>
      </c>
      <c r="K64" s="39">
        <v>32443</v>
      </c>
      <c r="L64" s="39">
        <v>32671</v>
      </c>
      <c r="M64" s="39">
        <v>32751</v>
      </c>
      <c r="N64" s="39">
        <v>32506</v>
      </c>
      <c r="O64" s="39">
        <v>31769</v>
      </c>
      <c r="P64" s="39">
        <v>32303</v>
      </c>
      <c r="Q64" s="39">
        <v>33083</v>
      </c>
      <c r="R64" s="39">
        <v>33706</v>
      </c>
      <c r="S64" s="39">
        <v>34027</v>
      </c>
      <c r="T64" s="39">
        <v>26293</v>
      </c>
      <c r="U64" s="39">
        <v>26499</v>
      </c>
      <c r="V64" s="39">
        <v>26566</v>
      </c>
      <c r="W64" s="39">
        <v>26955</v>
      </c>
      <c r="X64" s="39">
        <v>28134</v>
      </c>
      <c r="Y64" s="39">
        <v>28728</v>
      </c>
      <c r="Z64" s="39">
        <v>29018</v>
      </c>
      <c r="AA64" s="39">
        <v>29079</v>
      </c>
      <c r="AB64" s="39">
        <v>30000</v>
      </c>
      <c r="AC64" s="39">
        <v>24903</v>
      </c>
      <c r="AD64" s="39">
        <v>34469</v>
      </c>
      <c r="AE64" s="39">
        <v>36424</v>
      </c>
      <c r="AF64" s="39">
        <v>35934</v>
      </c>
      <c r="AG64" s="39">
        <v>40669</v>
      </c>
      <c r="AH64" s="39">
        <v>48256</v>
      </c>
      <c r="AI64" s="39">
        <v>52921</v>
      </c>
      <c r="AJ64" s="39">
        <v>53752</v>
      </c>
    </row>
    <row r="65" spans="1:36" x14ac:dyDescent="0.35">
      <c r="B65" s="38"/>
      <c r="C65" s="38"/>
      <c r="D65" s="38"/>
      <c r="E65" s="50"/>
      <c r="F65" s="50"/>
      <c r="G65" s="50"/>
      <c r="H65" s="50"/>
      <c r="I65" s="50"/>
      <c r="J65" s="5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</row>
    <row r="66" spans="1:36" s="6" customFormat="1" ht="18.5" x14ac:dyDescent="0.45">
      <c r="A66" s="42" t="s">
        <v>24</v>
      </c>
      <c r="B66"/>
      <c r="C66" s="38"/>
      <c r="D66" s="38"/>
      <c r="E66" s="50"/>
      <c r="F66" s="50"/>
      <c r="G66" s="50"/>
      <c r="H66" s="50"/>
      <c r="I66" s="50"/>
      <c r="J66" s="5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</row>
    <row r="67" spans="1:36" ht="18.5" x14ac:dyDescent="0.45">
      <c r="A67" s="42"/>
      <c r="E67" s="39"/>
      <c r="F67" s="39"/>
      <c r="G67" s="39"/>
      <c r="H67" s="39"/>
      <c r="I67" s="39"/>
      <c r="J67" s="39"/>
      <c r="K67" s="39" cm="1">
        <f t="array" ref="K67">INDEX($B$58:$AJ$87,MATCH($B98,$B$58:$B$87,0)+1,MATCH(E$92,$B$58:$AJ$58,0))</f>
        <v>32847</v>
      </c>
      <c r="L67" s="39"/>
      <c r="M67" s="39" cm="1">
        <f t="array" ref="M67">INDEX($B$58:$AJ$87,MATCH($B98,$B$58:$B$87,0)+1,MATCH(E$92,$B$58:$AJ$58,0))</f>
        <v>32847</v>
      </c>
      <c r="N67" s="39"/>
      <c r="O67" s="39" cm="1">
        <f t="array" ref="O67">INDEX($B$58:$AJ$87,MATCH($B124,$B$58:$B$87,0)+1,MATCH(E$119,$B$58:$AJ$58,0))</f>
        <v>32847</v>
      </c>
      <c r="P67" s="39"/>
      <c r="Q67" s="39" cm="1">
        <f t="array" ref="Q67">INDEX($B$58:$AJ$87,MATCH($B120,$B$58:$B$87,0)+1,MATCH(E$119,$B$58:$AJ$58,0))</f>
        <v>43594</v>
      </c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</row>
    <row r="68" spans="1:36" x14ac:dyDescent="0.35"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</row>
    <row r="69" spans="1:36" x14ac:dyDescent="0.35">
      <c r="B69" s="43"/>
      <c r="C69" s="43"/>
      <c r="D69" s="43"/>
      <c r="E69" s="267">
        <v>2023</v>
      </c>
      <c r="F69" s="267">
        <v>2022</v>
      </c>
      <c r="G69" s="267">
        <v>2021</v>
      </c>
      <c r="H69" s="267">
        <v>2020</v>
      </c>
      <c r="I69" s="267">
        <v>2019</v>
      </c>
      <c r="J69" s="267">
        <v>2018</v>
      </c>
      <c r="K69" s="267">
        <v>2017</v>
      </c>
      <c r="L69" s="267">
        <v>2016</v>
      </c>
      <c r="M69" s="267">
        <v>2015</v>
      </c>
      <c r="N69" s="267">
        <v>2014</v>
      </c>
      <c r="O69" s="267">
        <v>2013</v>
      </c>
      <c r="P69" s="267">
        <v>2012</v>
      </c>
      <c r="Q69" s="267">
        <v>2011</v>
      </c>
      <c r="R69" s="267">
        <v>2010</v>
      </c>
      <c r="S69" s="267">
        <v>2009</v>
      </c>
      <c r="T69" s="267">
        <v>2008</v>
      </c>
      <c r="U69" s="267">
        <v>2007</v>
      </c>
      <c r="V69" s="267">
        <v>2006</v>
      </c>
      <c r="W69" s="267">
        <v>2005</v>
      </c>
      <c r="X69" s="267">
        <v>2004</v>
      </c>
      <c r="Y69" s="267">
        <v>2003</v>
      </c>
      <c r="Z69" s="267">
        <v>2002</v>
      </c>
      <c r="AA69" s="267">
        <v>2001</v>
      </c>
      <c r="AB69" s="267">
        <v>2000</v>
      </c>
      <c r="AC69" s="267">
        <v>1999</v>
      </c>
      <c r="AD69" s="267">
        <v>1998</v>
      </c>
      <c r="AE69" s="267">
        <v>1997</v>
      </c>
      <c r="AF69" s="267">
        <v>1996</v>
      </c>
      <c r="AG69" s="266">
        <v>1990</v>
      </c>
      <c r="AH69" s="267">
        <v>1985</v>
      </c>
      <c r="AI69" s="267">
        <v>1980</v>
      </c>
      <c r="AJ69" s="267">
        <v>1975</v>
      </c>
    </row>
    <row r="70" spans="1:36" x14ac:dyDescent="0.35">
      <c r="B70" s="38" t="s">
        <v>25</v>
      </c>
      <c r="C70" s="38" t="s">
        <v>18</v>
      </c>
      <c r="D70" s="38" t="s">
        <v>19</v>
      </c>
      <c r="E70" s="39">
        <v>1042030</v>
      </c>
      <c r="F70" s="39">
        <v>1042014</v>
      </c>
      <c r="G70" s="39">
        <v>1042053</v>
      </c>
      <c r="H70" s="39">
        <v>1044034</v>
      </c>
      <c r="I70" s="39">
        <v>1043729</v>
      </c>
      <c r="J70" s="39">
        <v>1044976</v>
      </c>
      <c r="K70" s="39">
        <v>1046109</v>
      </c>
      <c r="L70" s="39">
        <v>1049072</v>
      </c>
      <c r="M70" s="39">
        <v>1049725</v>
      </c>
      <c r="N70" s="39">
        <v>1051265</v>
      </c>
      <c r="O70" s="39">
        <v>1049923</v>
      </c>
      <c r="P70" s="39">
        <v>1051037</v>
      </c>
      <c r="Q70" s="39">
        <v>1051866</v>
      </c>
      <c r="R70" s="39">
        <v>1051747</v>
      </c>
      <c r="S70" s="39">
        <v>1055649</v>
      </c>
      <c r="T70" s="39">
        <v>1058099</v>
      </c>
      <c r="U70" s="39">
        <v>1060243</v>
      </c>
      <c r="V70" s="39">
        <v>1065199</v>
      </c>
      <c r="W70" s="39">
        <v>1065118</v>
      </c>
      <c r="X70" s="39">
        <v>1064574</v>
      </c>
      <c r="Y70" s="39">
        <v>1067055</v>
      </c>
      <c r="Z70" s="39">
        <v>1069770</v>
      </c>
      <c r="AA70" s="39">
        <v>1071130</v>
      </c>
      <c r="AB70" s="39">
        <v>1072492</v>
      </c>
      <c r="AC70" s="39">
        <v>1071899</v>
      </c>
      <c r="AD70" s="39">
        <v>1078405</v>
      </c>
      <c r="AE70" s="39">
        <v>1075728</v>
      </c>
      <c r="AF70" s="39">
        <v>1082876</v>
      </c>
      <c r="AG70" s="39">
        <v>1066980</v>
      </c>
      <c r="AH70" s="39">
        <v>1068893</v>
      </c>
      <c r="AI70" s="39">
        <v>1077855</v>
      </c>
      <c r="AJ70" s="39">
        <v>1046855</v>
      </c>
    </row>
    <row r="71" spans="1:36" x14ac:dyDescent="0.35">
      <c r="C71" s="38" t="s">
        <v>20</v>
      </c>
      <c r="D71" s="38" t="s">
        <v>21</v>
      </c>
      <c r="E71" s="39">
        <v>108099</v>
      </c>
      <c r="F71" s="39">
        <v>107990</v>
      </c>
      <c r="G71" s="39">
        <v>108211</v>
      </c>
      <c r="H71" s="39">
        <v>108346</v>
      </c>
      <c r="I71" s="39">
        <v>108537</v>
      </c>
      <c r="J71" s="39">
        <v>108656</v>
      </c>
      <c r="K71" s="39">
        <v>108350</v>
      </c>
      <c r="L71" s="39">
        <v>108985</v>
      </c>
      <c r="M71" s="39">
        <v>108764</v>
      </c>
      <c r="N71" s="39">
        <v>109065</v>
      </c>
      <c r="O71" s="39">
        <v>109129</v>
      </c>
      <c r="P71" s="39">
        <v>109306</v>
      </c>
      <c r="Q71" s="39">
        <v>109615</v>
      </c>
      <c r="R71" s="39">
        <v>109465</v>
      </c>
      <c r="S71" s="39">
        <v>109866</v>
      </c>
      <c r="T71" s="39">
        <v>110118</v>
      </c>
      <c r="U71" s="39">
        <v>109560</v>
      </c>
      <c r="V71" s="39">
        <v>110451</v>
      </c>
      <c r="W71" s="39">
        <v>110715</v>
      </c>
      <c r="X71" s="39">
        <v>110595</v>
      </c>
      <c r="Y71" s="39">
        <v>111693</v>
      </c>
      <c r="Z71" s="39">
        <v>110818</v>
      </c>
      <c r="AA71" s="39">
        <v>110892</v>
      </c>
      <c r="AB71" s="39">
        <v>110836</v>
      </c>
      <c r="AC71" s="39">
        <v>110770</v>
      </c>
      <c r="AD71" s="39">
        <v>111587</v>
      </c>
      <c r="AE71" s="39">
        <v>111331</v>
      </c>
      <c r="AF71" s="39">
        <v>110370</v>
      </c>
      <c r="AG71" s="39">
        <v>108833</v>
      </c>
      <c r="AH71" s="39">
        <v>108136</v>
      </c>
      <c r="AI71" s="39">
        <v>110200</v>
      </c>
      <c r="AJ71" s="39">
        <v>107236</v>
      </c>
    </row>
    <row r="72" spans="1:36" x14ac:dyDescent="0.35">
      <c r="B72" s="38" t="s">
        <v>26</v>
      </c>
      <c r="C72" s="38" t="s">
        <v>18</v>
      </c>
      <c r="D72" s="38" t="s">
        <v>19</v>
      </c>
      <c r="E72" s="39">
        <v>1528595</v>
      </c>
      <c r="F72" s="39">
        <v>1525270</v>
      </c>
      <c r="G72" s="39">
        <v>1513701</v>
      </c>
      <c r="H72" s="39">
        <v>1515123</v>
      </c>
      <c r="I72" s="39">
        <v>1524820</v>
      </c>
      <c r="J72" s="39">
        <v>1543345</v>
      </c>
      <c r="K72" s="39">
        <v>1544612</v>
      </c>
      <c r="L72" s="39">
        <v>1555396</v>
      </c>
      <c r="M72" s="39">
        <v>1554319</v>
      </c>
      <c r="N72" s="39">
        <v>1562801</v>
      </c>
      <c r="O72" s="39">
        <v>1550319</v>
      </c>
      <c r="P72" s="39">
        <v>1564631</v>
      </c>
      <c r="Q72" s="39">
        <v>1577407</v>
      </c>
      <c r="R72" s="39">
        <v>1591233</v>
      </c>
      <c r="S72" s="39">
        <v>1597484</v>
      </c>
      <c r="T72" s="39">
        <v>1604287</v>
      </c>
      <c r="U72" s="39">
        <v>1571764</v>
      </c>
      <c r="V72" s="39">
        <v>1566887</v>
      </c>
      <c r="W72" s="39">
        <v>1554696</v>
      </c>
      <c r="X72" s="39">
        <v>1544547</v>
      </c>
      <c r="Y72" s="39">
        <v>1570178</v>
      </c>
      <c r="Z72" s="39">
        <v>1593697</v>
      </c>
      <c r="AA72" s="39">
        <v>1611351</v>
      </c>
      <c r="AB72" s="39">
        <v>1588005</v>
      </c>
      <c r="AC72" s="39">
        <v>1608735</v>
      </c>
      <c r="AD72" s="39">
        <v>1640871</v>
      </c>
      <c r="AE72" s="39">
        <v>1672930</v>
      </c>
      <c r="AF72" s="39">
        <v>1747071</v>
      </c>
      <c r="AG72" s="39">
        <v>1858187</v>
      </c>
      <c r="AH72" s="39">
        <v>1848431</v>
      </c>
      <c r="AI72" s="39">
        <v>1903725</v>
      </c>
      <c r="AJ72" s="39">
        <v>1845911</v>
      </c>
    </row>
    <row r="73" spans="1:36" x14ac:dyDescent="0.35">
      <c r="C73" s="38" t="s">
        <v>20</v>
      </c>
      <c r="D73" s="38" t="s">
        <v>21</v>
      </c>
      <c r="E73" s="39">
        <v>112575</v>
      </c>
      <c r="F73" s="39">
        <v>112126</v>
      </c>
      <c r="G73" s="39">
        <v>109293</v>
      </c>
      <c r="H73" s="39">
        <v>108520</v>
      </c>
      <c r="I73" s="39">
        <v>109599</v>
      </c>
      <c r="J73" s="39">
        <v>111589</v>
      </c>
      <c r="K73" s="39">
        <v>110836</v>
      </c>
      <c r="L73" s="39">
        <v>112162</v>
      </c>
      <c r="M73" s="39">
        <v>112617</v>
      </c>
      <c r="N73" s="39">
        <v>113806</v>
      </c>
      <c r="O73" s="39">
        <v>110560</v>
      </c>
      <c r="P73" s="39">
        <v>111912</v>
      </c>
      <c r="Q73" s="39">
        <v>113360</v>
      </c>
      <c r="R73" s="39">
        <v>115066</v>
      </c>
      <c r="S73" s="39">
        <v>117281</v>
      </c>
      <c r="T73" s="39">
        <v>117499</v>
      </c>
      <c r="U73" s="39">
        <v>114117</v>
      </c>
      <c r="V73" s="39">
        <v>114085</v>
      </c>
      <c r="W73" s="39">
        <v>113563</v>
      </c>
      <c r="X73" s="39">
        <v>114538</v>
      </c>
      <c r="Y73" s="39">
        <v>117603</v>
      </c>
      <c r="Z73" s="39">
        <v>119333</v>
      </c>
      <c r="AA73" s="39">
        <v>121669</v>
      </c>
      <c r="AB73" s="39">
        <v>119226</v>
      </c>
      <c r="AC73" s="39">
        <v>122381</v>
      </c>
      <c r="AD73" s="39">
        <v>126332</v>
      </c>
      <c r="AE73" s="39">
        <v>129174</v>
      </c>
      <c r="AF73" s="39">
        <v>133407</v>
      </c>
      <c r="AG73" s="39">
        <v>145384</v>
      </c>
      <c r="AH73" s="39">
        <v>152355</v>
      </c>
      <c r="AI73" s="39">
        <v>168870</v>
      </c>
      <c r="AJ73" s="39">
        <v>169261</v>
      </c>
    </row>
    <row r="74" spans="1:36" x14ac:dyDescent="0.35">
      <c r="B74" s="38" t="s">
        <v>14</v>
      </c>
      <c r="C74" s="38" t="s">
        <v>18</v>
      </c>
      <c r="D74" s="38" t="s">
        <v>19</v>
      </c>
      <c r="E74" s="39">
        <v>81561</v>
      </c>
      <c r="F74" s="39">
        <v>80950</v>
      </c>
      <c r="G74" s="39">
        <v>80096</v>
      </c>
      <c r="H74" s="39">
        <v>80072</v>
      </c>
      <c r="I74" s="39">
        <v>80690</v>
      </c>
      <c r="J74" s="39">
        <v>79934</v>
      </c>
      <c r="K74" s="39">
        <v>76209</v>
      </c>
      <c r="L74" s="39">
        <v>75864</v>
      </c>
      <c r="M74" s="39">
        <v>75118</v>
      </c>
      <c r="N74" s="39">
        <v>76818</v>
      </c>
      <c r="O74" s="39">
        <v>76889</v>
      </c>
      <c r="P74" s="39">
        <v>78171</v>
      </c>
      <c r="Q74" s="39">
        <v>76212</v>
      </c>
      <c r="R74" s="39">
        <v>82520</v>
      </c>
      <c r="S74" s="39">
        <v>79345</v>
      </c>
      <c r="T74" s="39">
        <v>76777</v>
      </c>
      <c r="U74" s="39">
        <v>74881</v>
      </c>
      <c r="V74" s="39">
        <v>72855</v>
      </c>
      <c r="W74" s="39">
        <v>71084</v>
      </c>
      <c r="X74" s="39">
        <v>68547</v>
      </c>
      <c r="Y74" s="39">
        <v>66777</v>
      </c>
      <c r="Z74" s="39">
        <v>64445</v>
      </c>
      <c r="AA74" s="39">
        <v>62581</v>
      </c>
      <c r="AB74" s="39">
        <v>62155</v>
      </c>
      <c r="AC74" s="39">
        <v>59800</v>
      </c>
      <c r="AD74" s="39">
        <v>56237</v>
      </c>
      <c r="AE74" s="39">
        <v>55211</v>
      </c>
      <c r="AF74" s="39">
        <v>51485</v>
      </c>
      <c r="AG74" s="39">
        <v>43807</v>
      </c>
      <c r="AH74" s="39">
        <v>37354</v>
      </c>
      <c r="AI74" s="39">
        <v>37117</v>
      </c>
      <c r="AJ74" s="39">
        <v>39070</v>
      </c>
    </row>
    <row r="75" spans="1:36" x14ac:dyDescent="0.35">
      <c r="C75" s="38" t="s">
        <v>20</v>
      </c>
      <c r="D75" s="38" t="s">
        <v>21</v>
      </c>
      <c r="E75" s="39">
        <v>8135</v>
      </c>
      <c r="F75" s="39">
        <v>7909</v>
      </c>
      <c r="G75" s="39">
        <v>7854</v>
      </c>
      <c r="H75" s="39">
        <v>7890</v>
      </c>
      <c r="I75" s="39">
        <v>8066</v>
      </c>
      <c r="J75" s="39">
        <v>8108</v>
      </c>
      <c r="K75" s="39">
        <v>6923</v>
      </c>
      <c r="L75" s="39">
        <v>6802</v>
      </c>
      <c r="M75" s="39">
        <v>6450</v>
      </c>
      <c r="N75" s="39">
        <v>6766</v>
      </c>
      <c r="O75" s="39">
        <v>6715</v>
      </c>
      <c r="P75" s="39">
        <v>6735</v>
      </c>
      <c r="Q75" s="39">
        <v>6799</v>
      </c>
      <c r="R75" s="39">
        <v>7404</v>
      </c>
      <c r="S75" s="39">
        <v>7265</v>
      </c>
      <c r="T75" s="39">
        <v>7095</v>
      </c>
      <c r="U75" s="39">
        <v>6868</v>
      </c>
      <c r="V75" s="39">
        <v>6492</v>
      </c>
      <c r="W75" s="39">
        <v>6264</v>
      </c>
      <c r="X75" s="39">
        <v>6005</v>
      </c>
      <c r="Y75" s="39">
        <v>5941</v>
      </c>
      <c r="Z75" s="39">
        <v>5578</v>
      </c>
      <c r="AA75" s="39">
        <v>5507</v>
      </c>
      <c r="AB75" s="39">
        <v>5230</v>
      </c>
      <c r="AC75" s="39">
        <v>4943</v>
      </c>
      <c r="AD75" s="39">
        <v>4893</v>
      </c>
      <c r="AE75" s="39">
        <v>4887</v>
      </c>
      <c r="AF75" s="39">
        <v>4079</v>
      </c>
      <c r="AG75" s="39">
        <v>4162</v>
      </c>
      <c r="AH75" s="39">
        <v>3197</v>
      </c>
      <c r="AI75" s="39">
        <v>3375</v>
      </c>
      <c r="AJ75" s="39">
        <v>3110</v>
      </c>
    </row>
    <row r="76" spans="1:36" x14ac:dyDescent="0.35">
      <c r="B76" s="38" t="s">
        <v>27</v>
      </c>
      <c r="C76" s="38" t="s">
        <v>18</v>
      </c>
      <c r="D76" s="38" t="s">
        <v>19</v>
      </c>
      <c r="E76" s="39">
        <v>362375</v>
      </c>
      <c r="F76" s="39">
        <v>355893</v>
      </c>
      <c r="G76" s="39">
        <v>349112</v>
      </c>
      <c r="H76" s="39">
        <v>343528</v>
      </c>
      <c r="I76" s="39">
        <v>343581</v>
      </c>
      <c r="J76" s="39">
        <v>343470</v>
      </c>
      <c r="K76" s="39">
        <v>342419</v>
      </c>
      <c r="L76" s="39">
        <v>338922</v>
      </c>
      <c r="M76" s="39">
        <v>347025</v>
      </c>
      <c r="N76" s="39">
        <v>402772</v>
      </c>
      <c r="O76" s="39">
        <v>409493</v>
      </c>
      <c r="P76" s="39">
        <v>417274</v>
      </c>
      <c r="Q76" s="39">
        <v>424018</v>
      </c>
      <c r="R76" s="39">
        <v>434083</v>
      </c>
      <c r="S76" s="39">
        <v>431889</v>
      </c>
      <c r="T76" s="39">
        <v>446153</v>
      </c>
      <c r="U76" s="39">
        <v>443584</v>
      </c>
      <c r="V76" s="39">
        <v>447605</v>
      </c>
      <c r="W76" s="39">
        <v>446350</v>
      </c>
      <c r="X76" s="39">
        <v>440522</v>
      </c>
      <c r="Y76" s="39">
        <v>444811</v>
      </c>
      <c r="Z76" s="39">
        <v>429503</v>
      </c>
      <c r="AA76" s="39">
        <v>419995</v>
      </c>
      <c r="AB76" s="39">
        <v>420740</v>
      </c>
      <c r="AC76" s="39">
        <v>423521</v>
      </c>
      <c r="AD76" s="39">
        <v>422270</v>
      </c>
      <c r="AE76" s="39">
        <v>420350</v>
      </c>
      <c r="AF76" s="39">
        <v>418576</v>
      </c>
      <c r="AG76" s="39">
        <v>354582</v>
      </c>
      <c r="AH76" s="39">
        <v>271780</v>
      </c>
      <c r="AI76" s="39">
        <v>275309</v>
      </c>
      <c r="AJ76" s="39">
        <v>274154</v>
      </c>
    </row>
    <row r="77" spans="1:36" x14ac:dyDescent="0.35">
      <c r="C77" s="38" t="s">
        <v>20</v>
      </c>
      <c r="D77" s="38" t="s">
        <v>21</v>
      </c>
      <c r="E77" s="39">
        <v>16162</v>
      </c>
      <c r="F77" s="39">
        <v>15849</v>
      </c>
      <c r="G77" s="39">
        <v>14600</v>
      </c>
      <c r="H77" s="39">
        <v>14419</v>
      </c>
      <c r="I77" s="39">
        <v>15163</v>
      </c>
      <c r="J77" s="39">
        <v>15295</v>
      </c>
      <c r="K77" s="39">
        <v>14421</v>
      </c>
      <c r="L77" s="39">
        <v>13388</v>
      </c>
      <c r="M77" s="39">
        <v>14038</v>
      </c>
      <c r="N77" s="39">
        <v>14715</v>
      </c>
      <c r="O77" s="39">
        <v>13845</v>
      </c>
      <c r="P77" s="39">
        <v>15586</v>
      </c>
      <c r="Q77" s="39">
        <v>16848</v>
      </c>
      <c r="R77" s="39">
        <v>16520</v>
      </c>
      <c r="S77" s="39">
        <v>16713</v>
      </c>
      <c r="T77" s="39">
        <v>16741</v>
      </c>
      <c r="U77" s="39">
        <v>17318</v>
      </c>
      <c r="V77" s="39">
        <v>17776</v>
      </c>
      <c r="W77" s="39">
        <v>17616</v>
      </c>
      <c r="X77" s="39">
        <v>18637</v>
      </c>
      <c r="Y77" s="39">
        <v>19393</v>
      </c>
      <c r="Z77" s="39">
        <v>18489</v>
      </c>
      <c r="AA77" s="39">
        <v>17973</v>
      </c>
      <c r="AB77" s="39">
        <v>17172</v>
      </c>
      <c r="AC77" s="39">
        <v>16699</v>
      </c>
      <c r="AD77" s="39">
        <v>16448</v>
      </c>
      <c r="AE77" s="39">
        <v>18107</v>
      </c>
      <c r="AF77" s="39">
        <v>14230</v>
      </c>
      <c r="AG77" s="39">
        <v>15046</v>
      </c>
      <c r="AH77" s="39">
        <v>10871</v>
      </c>
      <c r="AI77" s="39">
        <v>11987</v>
      </c>
      <c r="AJ77" s="39">
        <v>10730</v>
      </c>
    </row>
    <row r="78" spans="1:36" x14ac:dyDescent="0.35">
      <c r="B78" s="38" t="s">
        <v>28</v>
      </c>
      <c r="C78" s="38" t="s">
        <v>18</v>
      </c>
      <c r="D78" s="38" t="s">
        <v>19</v>
      </c>
      <c r="E78" s="39">
        <v>81256</v>
      </c>
      <c r="F78" s="39">
        <v>82313</v>
      </c>
      <c r="G78" s="39">
        <v>82045</v>
      </c>
      <c r="H78" s="39">
        <v>79562</v>
      </c>
      <c r="I78" s="39">
        <v>80469</v>
      </c>
      <c r="J78" s="39">
        <v>80552</v>
      </c>
      <c r="K78" s="39">
        <v>78146</v>
      </c>
      <c r="L78" s="39">
        <v>75351</v>
      </c>
      <c r="M78" s="39">
        <v>74269</v>
      </c>
      <c r="N78" s="39">
        <v>87817</v>
      </c>
      <c r="O78" s="39">
        <v>87935</v>
      </c>
      <c r="P78" s="39">
        <v>88089</v>
      </c>
      <c r="Q78" s="39">
        <v>86215</v>
      </c>
      <c r="R78" s="39">
        <v>86987</v>
      </c>
      <c r="S78" s="39">
        <v>85313</v>
      </c>
      <c r="T78" s="39">
        <v>87602</v>
      </c>
      <c r="U78" s="39">
        <v>85103</v>
      </c>
      <c r="V78" s="39">
        <v>82019</v>
      </c>
      <c r="W78" s="39">
        <v>79499</v>
      </c>
      <c r="X78" s="39">
        <v>75892</v>
      </c>
      <c r="Y78" s="39">
        <v>72531</v>
      </c>
      <c r="Z78" s="39">
        <v>70810</v>
      </c>
      <c r="AA78" s="39">
        <v>67693</v>
      </c>
      <c r="AB78" s="39">
        <v>66972</v>
      </c>
      <c r="AC78" s="39">
        <v>66007</v>
      </c>
      <c r="AD78" s="39">
        <v>60106</v>
      </c>
      <c r="AE78" s="39">
        <v>57966</v>
      </c>
      <c r="AF78" s="39">
        <v>56846</v>
      </c>
      <c r="AG78" s="39">
        <v>60764</v>
      </c>
      <c r="AH78" s="39">
        <v>53386</v>
      </c>
      <c r="AI78" s="39">
        <v>54216</v>
      </c>
      <c r="AJ78" s="39">
        <v>47575</v>
      </c>
    </row>
    <row r="79" spans="1:36" x14ac:dyDescent="0.35">
      <c r="C79" s="38" t="s">
        <v>20</v>
      </c>
      <c r="D79" s="38" t="s">
        <v>21</v>
      </c>
      <c r="E79" s="39">
        <v>3692</v>
      </c>
      <c r="F79" s="39">
        <v>4146</v>
      </c>
      <c r="G79" s="39">
        <v>3853</v>
      </c>
      <c r="H79" s="39">
        <v>3661</v>
      </c>
      <c r="I79" s="39">
        <v>3302</v>
      </c>
      <c r="J79" s="39">
        <v>3117</v>
      </c>
      <c r="K79" s="39">
        <v>2877</v>
      </c>
      <c r="L79" s="39">
        <v>2735</v>
      </c>
      <c r="M79" s="39">
        <v>2653</v>
      </c>
      <c r="N79" s="39">
        <v>2654</v>
      </c>
      <c r="O79" s="39">
        <v>2530</v>
      </c>
      <c r="P79" s="39">
        <v>2682</v>
      </c>
      <c r="Q79" s="39">
        <v>2939</v>
      </c>
      <c r="R79" s="39">
        <v>3249</v>
      </c>
      <c r="S79" s="39">
        <v>3332</v>
      </c>
      <c r="T79" s="39">
        <v>3395</v>
      </c>
      <c r="U79" s="39">
        <v>3339</v>
      </c>
      <c r="V79" s="39">
        <v>3267</v>
      </c>
      <c r="W79" s="39">
        <v>2900</v>
      </c>
      <c r="X79" s="39">
        <v>3009</v>
      </c>
      <c r="Y79" s="39">
        <v>2786</v>
      </c>
      <c r="Z79" s="39">
        <v>2734</v>
      </c>
      <c r="AA79" s="39">
        <v>2725</v>
      </c>
      <c r="AB79" s="39">
        <v>2391</v>
      </c>
      <c r="AC79" s="39">
        <v>2199</v>
      </c>
      <c r="AD79" s="39">
        <v>1925</v>
      </c>
      <c r="AE79" s="39">
        <v>1915</v>
      </c>
      <c r="AF79" s="39">
        <v>1730</v>
      </c>
      <c r="AG79" s="39">
        <v>2222</v>
      </c>
      <c r="AH79" s="39">
        <v>1694</v>
      </c>
      <c r="AI79" s="39">
        <v>1369</v>
      </c>
      <c r="AJ79" s="39">
        <v>1242</v>
      </c>
    </row>
    <row r="80" spans="1:36" x14ac:dyDescent="0.35">
      <c r="B80" s="38" t="s">
        <v>12</v>
      </c>
      <c r="C80" s="38" t="s">
        <v>18</v>
      </c>
      <c r="D80" s="38" t="s">
        <v>19</v>
      </c>
      <c r="E80" s="39">
        <v>1324415</v>
      </c>
      <c r="F80" s="39">
        <v>1372772</v>
      </c>
      <c r="G80" s="39">
        <v>1366359</v>
      </c>
      <c r="H80" s="39">
        <v>1348306</v>
      </c>
      <c r="I80" s="39">
        <v>1359684</v>
      </c>
      <c r="J80" s="39">
        <v>1417549</v>
      </c>
      <c r="K80" s="39">
        <v>1444591</v>
      </c>
      <c r="L80" s="39">
        <v>1453602</v>
      </c>
      <c r="M80" s="39">
        <v>1495737</v>
      </c>
      <c r="N80" s="39">
        <v>1498321</v>
      </c>
      <c r="O80" s="39">
        <v>1484732</v>
      </c>
      <c r="P80" s="39">
        <v>1544017</v>
      </c>
      <c r="Q80" s="39">
        <v>1578687</v>
      </c>
      <c r="R80" s="39">
        <v>1588998</v>
      </c>
      <c r="S80" s="39">
        <v>1557204</v>
      </c>
      <c r="T80" s="39">
        <v>1540129</v>
      </c>
      <c r="U80" s="39">
        <v>1573090</v>
      </c>
      <c r="V80" s="39">
        <v>1634801</v>
      </c>
      <c r="W80" s="39">
        <v>1609497</v>
      </c>
      <c r="X80" s="39">
        <v>1537505</v>
      </c>
      <c r="Y80" s="39">
        <v>1528933</v>
      </c>
      <c r="Z80" s="39">
        <v>1556717</v>
      </c>
      <c r="AA80" s="39">
        <v>1547711</v>
      </c>
      <c r="AB80" s="39">
        <v>1498223</v>
      </c>
      <c r="AC80" s="39">
        <v>1453250</v>
      </c>
      <c r="AD80" s="39">
        <v>1486955</v>
      </c>
      <c r="AE80" s="39">
        <v>1394913</v>
      </c>
      <c r="AF80" s="39">
        <v>1379359</v>
      </c>
      <c r="AG80" s="39">
        <v>1775810</v>
      </c>
      <c r="AH80" s="39">
        <v>1966973</v>
      </c>
      <c r="AI80" s="39">
        <v>2099430</v>
      </c>
      <c r="AJ80" s="39">
        <v>1923584</v>
      </c>
    </row>
    <row r="81" spans="1:45" x14ac:dyDescent="0.35">
      <c r="C81" s="38" t="s">
        <v>20</v>
      </c>
      <c r="D81" s="38" t="s">
        <v>21</v>
      </c>
      <c r="E81" s="39">
        <v>32847</v>
      </c>
      <c r="F81" s="39">
        <v>33448</v>
      </c>
      <c r="G81" s="39">
        <v>32587</v>
      </c>
      <c r="H81" s="39">
        <v>31960</v>
      </c>
      <c r="I81" s="39">
        <v>31859</v>
      </c>
      <c r="J81" s="39">
        <v>31483</v>
      </c>
      <c r="K81" s="39">
        <v>38515</v>
      </c>
      <c r="L81" s="39">
        <v>39762</v>
      </c>
      <c r="M81" s="39">
        <v>41633</v>
      </c>
      <c r="N81" s="39">
        <v>41283</v>
      </c>
      <c r="O81" s="39">
        <v>42794</v>
      </c>
      <c r="P81" s="39">
        <v>42276</v>
      </c>
      <c r="Q81" s="39">
        <v>41992</v>
      </c>
      <c r="R81" s="39">
        <v>41634</v>
      </c>
      <c r="S81" s="39">
        <v>41998</v>
      </c>
      <c r="T81" s="39">
        <v>37213</v>
      </c>
      <c r="U81" s="39">
        <v>44613</v>
      </c>
      <c r="V81" s="39">
        <v>44594</v>
      </c>
      <c r="W81" s="39">
        <v>43273</v>
      </c>
      <c r="X81" s="39">
        <v>40475</v>
      </c>
      <c r="Y81" s="39">
        <v>42059</v>
      </c>
      <c r="Z81" s="39">
        <v>46185</v>
      </c>
      <c r="AA81" s="39">
        <v>45098</v>
      </c>
      <c r="AB81" s="39">
        <v>47792</v>
      </c>
      <c r="AC81" s="39">
        <v>49475</v>
      </c>
      <c r="AD81" s="39">
        <v>47539</v>
      </c>
      <c r="AE81" s="39">
        <v>42067</v>
      </c>
      <c r="AF81" s="39">
        <v>30430</v>
      </c>
      <c r="AG81" s="39">
        <v>54364</v>
      </c>
      <c r="AH81" s="39">
        <v>60975</v>
      </c>
      <c r="AI81" s="39">
        <v>73031</v>
      </c>
      <c r="AJ81" s="39">
        <v>79286</v>
      </c>
    </row>
    <row r="82" spans="1:45" x14ac:dyDescent="0.35">
      <c r="B82" s="38" t="s">
        <v>15</v>
      </c>
      <c r="C82" s="38" t="s">
        <v>18</v>
      </c>
      <c r="D82" s="38" t="s">
        <v>19</v>
      </c>
      <c r="E82" s="39">
        <v>13299184</v>
      </c>
      <c r="F82" s="39">
        <v>13219724</v>
      </c>
      <c r="G82" s="39">
        <v>12676402</v>
      </c>
      <c r="H82" s="39">
        <v>12541044</v>
      </c>
      <c r="I82" s="39">
        <v>11924853</v>
      </c>
      <c r="J82" s="39">
        <v>11638766</v>
      </c>
      <c r="K82" s="39">
        <v>11501632</v>
      </c>
      <c r="L82" s="39">
        <v>10994180</v>
      </c>
      <c r="M82" s="39">
        <v>10824616</v>
      </c>
      <c r="N82" s="39">
        <v>10723390</v>
      </c>
      <c r="O82" s="39">
        <v>10078981</v>
      </c>
      <c r="P82" s="39">
        <v>9954601</v>
      </c>
      <c r="Q82" s="39">
        <v>9477676</v>
      </c>
      <c r="R82" s="39">
        <v>9029982</v>
      </c>
      <c r="S82" s="39">
        <v>8816348</v>
      </c>
      <c r="T82" s="39">
        <v>8542786</v>
      </c>
      <c r="U82" s="39">
        <v>8228464</v>
      </c>
      <c r="V82" s="39">
        <v>7670222</v>
      </c>
      <c r="W82" s="39">
        <v>8260380</v>
      </c>
      <c r="X82" s="39">
        <v>8060688</v>
      </c>
      <c r="Y82" s="39">
        <v>7587257</v>
      </c>
      <c r="Z82" s="39">
        <v>7338616</v>
      </c>
      <c r="AA82" s="39">
        <v>6939498</v>
      </c>
      <c r="AB82" s="39">
        <v>6982983</v>
      </c>
      <c r="AC82" s="39">
        <v>6907546</v>
      </c>
      <c r="AD82" s="39">
        <v>6739596</v>
      </c>
      <c r="AE82" s="39">
        <v>6552523</v>
      </c>
      <c r="AF82" s="39">
        <v>6426173</v>
      </c>
      <c r="AG82" s="39">
        <v>6562594</v>
      </c>
      <c r="AH82" s="39">
        <v>6279601</v>
      </c>
      <c r="AI82" s="39">
        <v>6498843</v>
      </c>
      <c r="AJ82" s="39">
        <v>6356495</v>
      </c>
    </row>
    <row r="83" spans="1:45" x14ac:dyDescent="0.35">
      <c r="C83" s="38" t="s">
        <v>20</v>
      </c>
      <c r="D83" s="38" t="s">
        <v>21</v>
      </c>
      <c r="E83" s="39">
        <v>1413663</v>
      </c>
      <c r="F83" s="39">
        <v>1404326</v>
      </c>
      <c r="G83" s="39">
        <v>1352359</v>
      </c>
      <c r="H83" s="39">
        <v>1486381</v>
      </c>
      <c r="I83" s="39">
        <v>1368149</v>
      </c>
      <c r="J83" s="39">
        <v>1238688</v>
      </c>
      <c r="K83" s="39">
        <v>1182517</v>
      </c>
      <c r="L83" s="39">
        <v>1242776</v>
      </c>
      <c r="M83" s="39">
        <v>1224497</v>
      </c>
      <c r="N83" s="39">
        <v>1109958</v>
      </c>
      <c r="O83" s="39">
        <v>932766</v>
      </c>
      <c r="P83" s="39">
        <v>987099</v>
      </c>
      <c r="Q83" s="39">
        <v>902999</v>
      </c>
      <c r="R83" s="39">
        <v>891869</v>
      </c>
      <c r="S83" s="39">
        <v>925165</v>
      </c>
      <c r="T83" s="39">
        <v>891845</v>
      </c>
      <c r="U83" s="39">
        <v>764358</v>
      </c>
      <c r="V83" s="39">
        <v>619379</v>
      </c>
      <c r="W83" s="39">
        <v>770224</v>
      </c>
      <c r="X83" s="39">
        <v>764656</v>
      </c>
      <c r="Y83" s="39">
        <v>747462</v>
      </c>
      <c r="Z83" s="39">
        <v>705290</v>
      </c>
      <c r="AA83" s="39">
        <v>706713</v>
      </c>
      <c r="AB83" s="39">
        <v>740027</v>
      </c>
      <c r="AC83" s="39">
        <v>722640</v>
      </c>
      <c r="AD83" s="39">
        <v>710131</v>
      </c>
      <c r="AE83" s="39">
        <v>661446</v>
      </c>
      <c r="AF83" s="39">
        <v>612177</v>
      </c>
      <c r="AG83" s="39">
        <v>562235</v>
      </c>
      <c r="AH83" s="39">
        <v>572412</v>
      </c>
      <c r="AI83" s="39">
        <v>697178</v>
      </c>
      <c r="AJ83" s="39">
        <v>675379</v>
      </c>
    </row>
    <row r="84" spans="1:45" x14ac:dyDescent="0.35">
      <c r="B84" s="38" t="s">
        <v>13</v>
      </c>
      <c r="C84" s="38" t="s">
        <v>18</v>
      </c>
      <c r="D84" s="38" t="s">
        <v>19</v>
      </c>
      <c r="E84" s="39">
        <v>124082</v>
      </c>
      <c r="F84" s="39">
        <v>126789</v>
      </c>
      <c r="G84" s="39">
        <v>137616</v>
      </c>
      <c r="H84" s="39">
        <v>131876</v>
      </c>
      <c r="I84" s="39">
        <v>141127</v>
      </c>
      <c r="J84" s="39">
        <v>310657</v>
      </c>
      <c r="K84" s="39">
        <v>309899</v>
      </c>
      <c r="L84" s="39">
        <v>341703</v>
      </c>
      <c r="M84" s="39">
        <v>322494</v>
      </c>
      <c r="N84" s="39">
        <v>274072</v>
      </c>
      <c r="O84" s="39">
        <v>296808</v>
      </c>
      <c r="P84" s="39">
        <v>127226</v>
      </c>
      <c r="Q84" s="39">
        <v>149305</v>
      </c>
      <c r="R84" s="39">
        <v>139223</v>
      </c>
      <c r="S84" s="39">
        <v>121621</v>
      </c>
      <c r="T84" s="39">
        <v>122362</v>
      </c>
      <c r="U84" s="39">
        <v>127584</v>
      </c>
      <c r="V84" s="39">
        <v>114254</v>
      </c>
      <c r="W84" s="39">
        <v>116859</v>
      </c>
      <c r="X84" s="39">
        <v>102007</v>
      </c>
      <c r="Y84" s="39">
        <v>72736</v>
      </c>
      <c r="Z84" s="39">
        <v>77347</v>
      </c>
      <c r="AA84" s="39">
        <v>72052</v>
      </c>
      <c r="AB84" s="39">
        <v>81566</v>
      </c>
      <c r="AC84" s="39">
        <v>90549</v>
      </c>
      <c r="AD84" s="39">
        <v>127736</v>
      </c>
      <c r="AE84" s="39">
        <v>150623</v>
      </c>
      <c r="AF84" s="39">
        <v>43682</v>
      </c>
      <c r="AG84" s="39">
        <v>251423</v>
      </c>
      <c r="AH84" s="39">
        <v>357704</v>
      </c>
      <c r="AI84" s="39">
        <v>451428</v>
      </c>
      <c r="AJ84" s="39">
        <v>138599</v>
      </c>
    </row>
    <row r="85" spans="1:45" x14ac:dyDescent="0.35">
      <c r="B85" s="38"/>
      <c r="C85" s="38" t="s">
        <v>20</v>
      </c>
      <c r="D85" s="38" t="s">
        <v>21</v>
      </c>
      <c r="E85" s="39">
        <v>7136</v>
      </c>
      <c r="F85" s="39">
        <v>7353</v>
      </c>
      <c r="G85" s="39">
        <v>8223</v>
      </c>
      <c r="H85" s="39">
        <v>7450</v>
      </c>
      <c r="I85" s="39">
        <v>8358</v>
      </c>
      <c r="J85" s="39">
        <v>7721</v>
      </c>
      <c r="K85" s="39">
        <v>6776</v>
      </c>
      <c r="L85" s="39">
        <v>6714</v>
      </c>
      <c r="M85" s="39">
        <v>7267</v>
      </c>
      <c r="N85" s="39">
        <v>5737</v>
      </c>
      <c r="O85" s="39">
        <v>3275</v>
      </c>
      <c r="P85" s="39">
        <v>4012</v>
      </c>
      <c r="Q85" s="39">
        <v>4341</v>
      </c>
      <c r="R85" s="39">
        <v>4467</v>
      </c>
      <c r="S85" s="39">
        <v>5049</v>
      </c>
      <c r="T85" s="39">
        <v>4265</v>
      </c>
      <c r="U85" s="39">
        <v>4579</v>
      </c>
      <c r="V85" s="39">
        <v>3880</v>
      </c>
      <c r="W85" s="39">
        <v>4058</v>
      </c>
      <c r="X85" s="39">
        <v>3763</v>
      </c>
      <c r="Y85" s="39">
        <v>3050</v>
      </c>
      <c r="Z85" s="39">
        <v>3329</v>
      </c>
      <c r="AA85" s="39">
        <v>4529</v>
      </c>
      <c r="AB85" s="39">
        <v>3227</v>
      </c>
      <c r="AC85" s="39">
        <v>4101</v>
      </c>
      <c r="AD85" s="39">
        <v>10315</v>
      </c>
      <c r="AE85" s="39">
        <v>13754</v>
      </c>
      <c r="AF85" s="39">
        <v>2769</v>
      </c>
      <c r="AG85" s="39">
        <v>21967</v>
      </c>
      <c r="AH85" s="39">
        <v>37146</v>
      </c>
      <c r="AI85" s="39">
        <v>42869</v>
      </c>
      <c r="AJ85" s="39">
        <v>13442</v>
      </c>
    </row>
    <row r="86" spans="1:45" s="45" customFormat="1" x14ac:dyDescent="0.35">
      <c r="B86" s="44" t="s">
        <v>11</v>
      </c>
      <c r="D86" s="44" t="s">
        <v>29</v>
      </c>
      <c r="E86" s="46">
        <f>E78+E76</f>
        <v>443631</v>
      </c>
      <c r="F86" s="46">
        <f t="shared" ref="F86:AJ86" si="13">F78+F76</f>
        <v>438206</v>
      </c>
      <c r="G86" s="46">
        <f t="shared" si="13"/>
        <v>431157</v>
      </c>
      <c r="H86" s="46">
        <f t="shared" si="13"/>
        <v>423090</v>
      </c>
      <c r="I86" s="46">
        <f t="shared" si="13"/>
        <v>424050</v>
      </c>
      <c r="J86" s="46">
        <f t="shared" si="13"/>
        <v>424022</v>
      </c>
      <c r="K86" s="46">
        <f t="shared" si="13"/>
        <v>420565</v>
      </c>
      <c r="L86" s="46">
        <f t="shared" si="13"/>
        <v>414273</v>
      </c>
      <c r="M86" s="46">
        <f t="shared" si="13"/>
        <v>421294</v>
      </c>
      <c r="N86" s="46">
        <f t="shared" si="13"/>
        <v>490589</v>
      </c>
      <c r="O86" s="46">
        <f t="shared" si="13"/>
        <v>497428</v>
      </c>
      <c r="P86" s="46">
        <f t="shared" si="13"/>
        <v>505363</v>
      </c>
      <c r="Q86" s="46">
        <f t="shared" si="13"/>
        <v>510233</v>
      </c>
      <c r="R86" s="46">
        <f t="shared" si="13"/>
        <v>521070</v>
      </c>
      <c r="S86" s="46">
        <f t="shared" si="13"/>
        <v>517202</v>
      </c>
      <c r="T86" s="46">
        <f t="shared" si="13"/>
        <v>533755</v>
      </c>
      <c r="U86" s="46">
        <f t="shared" si="13"/>
        <v>528687</v>
      </c>
      <c r="V86" s="46">
        <f t="shared" si="13"/>
        <v>529624</v>
      </c>
      <c r="W86" s="46">
        <f t="shared" si="13"/>
        <v>525849</v>
      </c>
      <c r="X86" s="46">
        <f t="shared" si="13"/>
        <v>516414</v>
      </c>
      <c r="Y86" s="46">
        <f t="shared" si="13"/>
        <v>517342</v>
      </c>
      <c r="Z86" s="46">
        <f t="shared" si="13"/>
        <v>500313</v>
      </c>
      <c r="AA86" s="46">
        <f t="shared" si="13"/>
        <v>487688</v>
      </c>
      <c r="AB86" s="46">
        <f t="shared" si="13"/>
        <v>487712</v>
      </c>
      <c r="AC86" s="46">
        <f t="shared" si="13"/>
        <v>489528</v>
      </c>
      <c r="AD86" s="46">
        <f t="shared" si="13"/>
        <v>482376</v>
      </c>
      <c r="AE86" s="46">
        <f t="shared" si="13"/>
        <v>478316</v>
      </c>
      <c r="AF86" s="46">
        <f t="shared" si="13"/>
        <v>475422</v>
      </c>
      <c r="AG86" s="46">
        <f t="shared" si="13"/>
        <v>415346</v>
      </c>
      <c r="AH86" s="46">
        <f t="shared" si="13"/>
        <v>325166</v>
      </c>
      <c r="AI86" s="46">
        <f t="shared" si="13"/>
        <v>329525</v>
      </c>
      <c r="AJ86" s="46">
        <f t="shared" si="13"/>
        <v>321729</v>
      </c>
    </row>
    <row r="87" spans="1:45" s="45" customFormat="1" x14ac:dyDescent="0.35">
      <c r="A87" s="44"/>
      <c r="D87" s="44" t="s">
        <v>21</v>
      </c>
      <c r="E87" s="46">
        <f>E79+E77</f>
        <v>19854</v>
      </c>
      <c r="F87" s="46">
        <f t="shared" ref="F87:AJ87" si="14">F79+F77</f>
        <v>19995</v>
      </c>
      <c r="G87" s="46">
        <f t="shared" si="14"/>
        <v>18453</v>
      </c>
      <c r="H87" s="46">
        <f t="shared" si="14"/>
        <v>18080</v>
      </c>
      <c r="I87" s="46">
        <f t="shared" si="14"/>
        <v>18465</v>
      </c>
      <c r="J87" s="46">
        <f t="shared" si="14"/>
        <v>18412</v>
      </c>
      <c r="K87" s="46">
        <f t="shared" si="14"/>
        <v>17298</v>
      </c>
      <c r="L87" s="46">
        <f t="shared" si="14"/>
        <v>16123</v>
      </c>
      <c r="M87" s="46">
        <f t="shared" si="14"/>
        <v>16691</v>
      </c>
      <c r="N87" s="46">
        <f t="shared" si="14"/>
        <v>17369</v>
      </c>
      <c r="O87" s="46">
        <f t="shared" si="14"/>
        <v>16375</v>
      </c>
      <c r="P87" s="46">
        <f t="shared" si="14"/>
        <v>18268</v>
      </c>
      <c r="Q87" s="46">
        <f t="shared" si="14"/>
        <v>19787</v>
      </c>
      <c r="R87" s="46">
        <f t="shared" si="14"/>
        <v>19769</v>
      </c>
      <c r="S87" s="46">
        <f t="shared" si="14"/>
        <v>20045</v>
      </c>
      <c r="T87" s="46">
        <f t="shared" si="14"/>
        <v>20136</v>
      </c>
      <c r="U87" s="46">
        <f t="shared" si="14"/>
        <v>20657</v>
      </c>
      <c r="V87" s="46">
        <f t="shared" si="14"/>
        <v>21043</v>
      </c>
      <c r="W87" s="46">
        <f t="shared" si="14"/>
        <v>20516</v>
      </c>
      <c r="X87" s="46">
        <f t="shared" si="14"/>
        <v>21646</v>
      </c>
      <c r="Y87" s="46">
        <f t="shared" si="14"/>
        <v>22179</v>
      </c>
      <c r="Z87" s="46">
        <f t="shared" si="14"/>
        <v>21223</v>
      </c>
      <c r="AA87" s="46">
        <f t="shared" si="14"/>
        <v>20698</v>
      </c>
      <c r="AB87" s="46">
        <f t="shared" si="14"/>
        <v>19563</v>
      </c>
      <c r="AC87" s="46">
        <f t="shared" si="14"/>
        <v>18898</v>
      </c>
      <c r="AD87" s="46">
        <f t="shared" si="14"/>
        <v>18373</v>
      </c>
      <c r="AE87" s="46">
        <f t="shared" si="14"/>
        <v>20022</v>
      </c>
      <c r="AF87" s="46">
        <f t="shared" si="14"/>
        <v>15960</v>
      </c>
      <c r="AG87" s="46">
        <f t="shared" si="14"/>
        <v>17268</v>
      </c>
      <c r="AH87" s="46">
        <f t="shared" si="14"/>
        <v>12565</v>
      </c>
      <c r="AI87" s="46">
        <f t="shared" si="14"/>
        <v>13356</v>
      </c>
      <c r="AJ87" s="46">
        <f t="shared" si="14"/>
        <v>11972</v>
      </c>
      <c r="AK87" s="46"/>
      <c r="AL87" s="46"/>
      <c r="AM87" s="46"/>
      <c r="AN87" s="46"/>
      <c r="AO87" s="46"/>
      <c r="AP87" s="46"/>
      <c r="AQ87" s="46"/>
      <c r="AR87" s="46"/>
      <c r="AS87" s="46"/>
    </row>
    <row r="88" spans="1:45" x14ac:dyDescent="0.35">
      <c r="L88" s="38"/>
      <c r="M88" s="38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</row>
    <row r="89" spans="1:45" s="52" customFormat="1" x14ac:dyDescent="0.35">
      <c r="A89" s="51"/>
      <c r="B89" s="54" t="s">
        <v>40</v>
      </c>
      <c r="K89" s="51"/>
      <c r="L89" s="51"/>
      <c r="M89" s="51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</row>
    <row r="90" spans="1:45" x14ac:dyDescent="0.35">
      <c r="L90" s="38"/>
      <c r="M90" s="38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</row>
    <row r="91" spans="1:45" x14ac:dyDescent="0.35">
      <c r="A91" s="38"/>
      <c r="B91" s="74" t="str">
        <f>Q10</f>
        <v xml:space="preserve">Fermentation entérique (kt CH4) </v>
      </c>
      <c r="K91" s="38"/>
      <c r="L91" s="38"/>
      <c r="M91" s="38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</row>
    <row r="92" spans="1:45" x14ac:dyDescent="0.35">
      <c r="B92" s="79" t="s">
        <v>38</v>
      </c>
      <c r="C92" s="55"/>
      <c r="D92" s="55"/>
      <c r="E92" s="56">
        <f>E58</f>
        <v>2023</v>
      </c>
      <c r="F92" s="56">
        <f t="shared" ref="F92:R92" si="15">F58</f>
        <v>2022</v>
      </c>
      <c r="G92" s="56">
        <f t="shared" si="15"/>
        <v>2021</v>
      </c>
      <c r="H92" s="56">
        <f t="shared" si="15"/>
        <v>2020</v>
      </c>
      <c r="I92" s="56">
        <f t="shared" si="15"/>
        <v>2019</v>
      </c>
      <c r="J92" s="56">
        <f t="shared" si="15"/>
        <v>2018</v>
      </c>
      <c r="K92" s="56">
        <f t="shared" si="15"/>
        <v>2017</v>
      </c>
      <c r="L92" s="56">
        <f t="shared" si="15"/>
        <v>2016</v>
      </c>
      <c r="M92" s="56">
        <f t="shared" si="15"/>
        <v>2015</v>
      </c>
      <c r="N92" s="56">
        <f t="shared" si="15"/>
        <v>2014</v>
      </c>
      <c r="O92" s="56">
        <f t="shared" si="15"/>
        <v>2013</v>
      </c>
      <c r="P92" s="56">
        <f t="shared" si="15"/>
        <v>2012</v>
      </c>
      <c r="Q92" s="56">
        <f t="shared" si="15"/>
        <v>2011</v>
      </c>
      <c r="R92" s="56">
        <f t="shared" si="15"/>
        <v>2010</v>
      </c>
      <c r="S92" s="57">
        <v>1990</v>
      </c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pans="1:45" s="45" customFormat="1" x14ac:dyDescent="0.35">
      <c r="A93" s="44"/>
      <c r="B93" s="60" t="s">
        <v>39</v>
      </c>
      <c r="C93" s="61"/>
      <c r="D93" s="61"/>
      <c r="E93" s="61">
        <v>2023</v>
      </c>
      <c r="F93" s="61">
        <v>2023</v>
      </c>
      <c r="G93" s="61">
        <v>2019</v>
      </c>
      <c r="H93" s="61">
        <v>2019</v>
      </c>
      <c r="I93" s="61">
        <v>2019</v>
      </c>
      <c r="J93" s="61">
        <v>2019</v>
      </c>
      <c r="K93" s="62">
        <v>2015</v>
      </c>
      <c r="L93" s="62">
        <v>2015</v>
      </c>
      <c r="M93" s="62">
        <v>2015</v>
      </c>
      <c r="N93" s="63">
        <v>2015</v>
      </c>
      <c r="O93" s="63">
        <v>2015</v>
      </c>
      <c r="P93" s="63">
        <v>2015</v>
      </c>
      <c r="Q93" s="63">
        <v>2015</v>
      </c>
      <c r="R93" s="63">
        <v>2015</v>
      </c>
      <c r="S93" s="64">
        <v>1990</v>
      </c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65"/>
      <c r="AR93" s="65"/>
      <c r="AS93" s="65"/>
    </row>
    <row r="94" spans="1:45" x14ac:dyDescent="0.35">
      <c r="B94" s="58" t="s">
        <v>814</v>
      </c>
      <c r="C94" s="11"/>
      <c r="D94" s="11"/>
      <c r="E94" s="66" cm="1">
        <f t="array" ref="E94" xml:space="preserve"> _xlfn.XLOOKUP(E$93,$K$10:$N$10,$K11:$N11) * INDEX($B$58:$AJ$87,MATCH($B94,$B$58:$B$87,0)+1,MATCH(E$92,$B$58:$AJ$58,0))</f>
        <v>4.863437886554081</v>
      </c>
      <c r="F94" s="66" cm="1">
        <f t="array" ref="F94" xml:space="preserve"> _xlfn.XLOOKUP(F$93,$K$10:$N$10,$K11:$N11) * INDEX($B$58:$AJ$87,MATCH($B94,$B$58:$B$87,0)+1,MATCH(F$92,$B$58:$AJ$58,0))</f>
        <v>4.9456591491679811</v>
      </c>
      <c r="G94" s="66" cm="1">
        <f t="array" ref="G94" xml:space="preserve"> _xlfn.XLOOKUP(G$93,$K$10:$N$10,$K11:$N11) * INDEX($B$58:$AJ$87,MATCH($B94,$B$58:$B$87,0)+1,MATCH(G$92,$B$58:$AJ$58,0))</f>
        <v>4.9451694478642718</v>
      </c>
      <c r="H94" s="66" cm="1">
        <f t="array" ref="H94" xml:space="preserve"> _xlfn.XLOOKUP(H$93,$K$10:$N$10,$K11:$N11) * INDEX($B$58:$AJ$87,MATCH($B94,$B$58:$B$87,0)+1,MATCH(H$92,$B$58:$AJ$58,0))</f>
        <v>4.905991268463703</v>
      </c>
      <c r="I94" s="66" cm="1">
        <f t="array" ref="I94" xml:space="preserve"> _xlfn.XLOOKUP(I$93,$K$10:$N$10,$K11:$N11) * INDEX($B$58:$AJ$87,MATCH($B94,$B$58:$B$87,0)+1,MATCH(I$92,$B$58:$AJ$58,0))</f>
        <v>4.8927431557762278</v>
      </c>
      <c r="J94" s="66" cm="1">
        <f t="array" ref="J94" xml:space="preserve"> _xlfn.XLOOKUP(J$93,$K$10:$N$10,$K11:$N11) * INDEX($B$58:$AJ$87,MATCH($B94,$B$58:$B$87,0)+1,MATCH(J$92,$B$58:$AJ$58,0))</f>
        <v>4.9104073060261948</v>
      </c>
      <c r="K94" s="66" cm="1">
        <f t="array" ref="K94" xml:space="preserve"> _xlfn.XLOOKUP(K$93,$K$10:$N$10,$K11:$N11) * INDEX($B$58:$AJ$87,MATCH($B94,$B$58:$B$87,0)+1,MATCH(K$92,$B$58:$AJ$58,0))</f>
        <v>4.9791254327692869</v>
      </c>
      <c r="L94" s="66" cm="1">
        <f t="array" ref="L94" xml:space="preserve"> _xlfn.XLOOKUP(L$93,$K$10:$N$10,$K11:$N11) * INDEX($B$58:$AJ$87,MATCH($B94,$B$58:$B$87,0)+1,MATCH(L$92,$B$58:$AJ$58,0))</f>
        <v>5.030791151595138</v>
      </c>
      <c r="M94" s="66" cm="1">
        <f t="array" ref="M94" xml:space="preserve"> _xlfn.XLOOKUP(M$93,$K$10:$N$10,$K11:$N11) * INDEX($B$58:$AJ$87,MATCH($B94,$B$58:$B$87,0)+1,MATCH(M$92,$B$58:$AJ$58,0))</f>
        <v>5.1517280569091017</v>
      </c>
      <c r="N94" s="66" cm="1">
        <f t="array" ref="N94" xml:space="preserve"> _xlfn.XLOOKUP(N$93,$K$10:$N$10,$K11:$N11) * INDEX($B$58:$AJ$87,MATCH($B94,$B$58:$B$87,0)+1,MATCH(N$92,$B$58:$AJ$58,0))</f>
        <v>5.1082321956258685</v>
      </c>
      <c r="O94" s="66" cm="1">
        <f t="array" ref="O94" xml:space="preserve"> _xlfn.XLOOKUP(O$93,$K$10:$N$10,$K11:$N11) * INDEX($B$58:$AJ$87,MATCH($B94,$B$58:$B$87,0)+1,MATCH(O$92,$B$58:$AJ$58,0))</f>
        <v>5.0529993559011279</v>
      </c>
      <c r="P94" s="66" cm="1">
        <f t="array" ref="P94" xml:space="preserve"> _xlfn.XLOOKUP(P$93,$K$10:$N$10,$K11:$N11) * INDEX($B$58:$AJ$87,MATCH($B94,$B$58:$B$87,0)+1,MATCH(P$92,$B$58:$AJ$58,0))</f>
        <v>5.112144521773037</v>
      </c>
      <c r="Q94" s="66" cm="1">
        <f t="array" ref="Q94" xml:space="preserve"> _xlfn.XLOOKUP(Q$93,$K$10:$N$10,$K11:$N11) * INDEX($B$58:$AJ$87,MATCH($B94,$B$58:$B$87,0)+1,MATCH(Q$92,$B$58:$AJ$58,0))</f>
        <v>5.0509281244114499</v>
      </c>
      <c r="R94" s="66" cm="1">
        <f t="array" ref="R94" xml:space="preserve"> _xlfn.XLOOKUP(R$93,$K$10:$N$10,$K11:$N11) * INDEX($B$58:$AJ$87,MATCH($B94,$B$58:$B$87,0)+1,MATCH(R$92,$B$58:$AJ$58,0))</f>
        <v>5.1274486211134347</v>
      </c>
      <c r="S94" s="67" cm="1">
        <f t="array" ref="S94" xml:space="preserve"> _xlfn.XLOOKUP(S$93,$K$10:$N$10,$K11:$N11) * INDEX($B$58:$AJ$87,MATCH($B94,$B$58:$B$87,0)+1,MATCH(S$92,$B$58:$AJ$58,0))</f>
        <v>6.1168821519286007</v>
      </c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40"/>
      <c r="AR94" s="40"/>
      <c r="AS94" s="40"/>
    </row>
    <row r="95" spans="1:45" x14ac:dyDescent="0.35">
      <c r="A95" s="38"/>
      <c r="B95" s="58" t="s">
        <v>9</v>
      </c>
      <c r="C95" s="11"/>
      <c r="D95" s="11"/>
      <c r="E95" s="66" cm="1">
        <f t="array" ref="E95" xml:space="preserve"> _xlfn.XLOOKUP(E$93,$K$10:$N$10,$K12:$N12) * INDEX($B$58:$AJ$87,MATCH($B95,$B$58:$B$87,0)+1,MATCH(E$92,$B$58:$AJ$58,0))</f>
        <v>1.417926319168644</v>
      </c>
      <c r="F95" s="66" cm="1">
        <f t="array" ref="F95" xml:space="preserve"> _xlfn.XLOOKUP(F$93,$K$10:$N$10,$K12:$N12) * INDEX($B$58:$AJ$87,MATCH($B95,$B$58:$B$87,0)+1,MATCH(F$92,$B$58:$AJ$58,0))</f>
        <v>1.3330018875740031</v>
      </c>
      <c r="G95" s="66" cm="1">
        <f t="array" ref="G95" xml:space="preserve"> _xlfn.XLOOKUP(G$93,$K$10:$N$10,$K12:$N12) * INDEX($B$58:$AJ$87,MATCH($B95,$B$58:$B$87,0)+1,MATCH(G$92,$B$58:$AJ$58,0))</f>
        <v>1.201540822412027</v>
      </c>
      <c r="H95" s="66" cm="1">
        <f t="array" ref="H95" xml:space="preserve"> _xlfn.XLOOKUP(H$93,$K$10:$N$10,$K12:$N12) * INDEX($B$58:$AJ$87,MATCH($B95,$B$58:$B$87,0)+1,MATCH(H$92,$B$58:$AJ$58,0))</f>
        <v>1.2338550335807386</v>
      </c>
      <c r="I95" s="66" cm="1">
        <f t="array" ref="I95" xml:space="preserve"> _xlfn.XLOOKUP(I$93,$K$10:$N$10,$K12:$N12) * INDEX($B$58:$AJ$87,MATCH($B95,$B$58:$B$87,0)+1,MATCH(I$92,$B$58:$AJ$58,0))</f>
        <v>1.2516794571860843</v>
      </c>
      <c r="J95" s="66" cm="1">
        <f t="array" ref="J95" xml:space="preserve"> _xlfn.XLOOKUP(J$93,$K$10:$N$10,$K12:$N12) * INDEX($B$58:$AJ$87,MATCH($B95,$B$58:$B$87,0)+1,MATCH(J$92,$B$58:$AJ$58,0))</f>
        <v>1.3222228886932099</v>
      </c>
      <c r="K95" s="66" cm="1">
        <f t="array" ref="K95" xml:space="preserve"> _xlfn.XLOOKUP(K$93,$K$10:$N$10,$K12:$N12) * INDEX($B$58:$AJ$87,MATCH($B95,$B$58:$B$87,0)+1,MATCH(K$92,$B$58:$AJ$58,0))</f>
        <v>1.1556845862061369</v>
      </c>
      <c r="L95" s="66" cm="1">
        <f t="array" ref="L95" xml:space="preserve"> _xlfn.XLOOKUP(L$93,$K$10:$N$10,$K12:$N12) * INDEX($B$58:$AJ$87,MATCH($B95,$B$58:$B$87,0)+1,MATCH(L$92,$B$58:$AJ$58,0))</f>
        <v>1.163806402488694</v>
      </c>
      <c r="M95" s="66" cm="1">
        <f t="array" ref="M95" xml:space="preserve"> _xlfn.XLOOKUP(M$93,$K$10:$N$10,$K12:$N12) * INDEX($B$58:$AJ$87,MATCH($B95,$B$58:$B$87,0)+1,MATCH(M$92,$B$58:$AJ$58,0))</f>
        <v>1.1666561625878369</v>
      </c>
      <c r="N95" s="66" cm="1">
        <f t="array" ref="N95" xml:space="preserve"> _xlfn.XLOOKUP(N$93,$K$10:$N$10,$K12:$N12) * INDEX($B$58:$AJ$87,MATCH($B95,$B$58:$B$87,0)+1,MATCH(N$92,$B$58:$AJ$58,0))</f>
        <v>1.1579287722842118</v>
      </c>
      <c r="O95" s="66" cm="1">
        <f t="array" ref="O95" xml:space="preserve"> _xlfn.XLOOKUP(O$93,$K$10:$N$10,$K12:$N12) * INDEX($B$58:$AJ$87,MATCH($B95,$B$58:$B$87,0)+1,MATCH(O$92,$B$58:$AJ$58,0))</f>
        <v>1.1316753573708584</v>
      </c>
      <c r="P95" s="66" cm="1">
        <f t="array" ref="P95" xml:space="preserve"> _xlfn.XLOOKUP(P$93,$K$10:$N$10,$K12:$N12) * INDEX($B$58:$AJ$87,MATCH($B95,$B$58:$B$87,0)+1,MATCH(P$92,$B$58:$AJ$58,0))</f>
        <v>1.150697506032637</v>
      </c>
      <c r="Q95" s="66" cm="1">
        <f t="array" ref="Q95" xml:space="preserve"> _xlfn.XLOOKUP(Q$93,$K$10:$N$10,$K12:$N12) * INDEX($B$58:$AJ$87,MATCH($B95,$B$58:$B$87,0)+1,MATCH(Q$92,$B$58:$AJ$58,0))</f>
        <v>1.1784826669992796</v>
      </c>
      <c r="R95" s="66" cm="1">
        <f t="array" ref="R95" xml:space="preserve"> _xlfn.XLOOKUP(R$93,$K$10:$N$10,$K12:$N12) * INDEX($B$58:$AJ$87,MATCH($B95,$B$58:$B$87,0)+1,MATCH(R$92,$B$58:$AJ$58,0))</f>
        <v>1.2006751737713544</v>
      </c>
      <c r="S95" s="67" cm="1">
        <f t="array" ref="S95" xml:space="preserve"> _xlfn.XLOOKUP(S$93,$K$10:$N$10,$K12:$N12) * INDEX($B$58:$AJ$87,MATCH($B95,$B$58:$B$87,0)+1,MATCH(S$92,$B$58:$AJ$58,0))</f>
        <v>0.11734281299992573</v>
      </c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40"/>
      <c r="AR95" s="40"/>
      <c r="AS95" s="40"/>
    </row>
    <row r="96" spans="1:45" x14ac:dyDescent="0.35">
      <c r="B96" s="58" t="s">
        <v>10</v>
      </c>
      <c r="C96" s="11"/>
      <c r="D96" s="11"/>
      <c r="E96" s="66" cm="1">
        <f t="array" ref="E96" xml:space="preserve"> _xlfn.XLOOKUP(E$93,$K$10:$N$10,$K13:$N13) * INDEX($B$58:$AJ$87,MATCH($B96,$B$58:$B$87,0)+1,MATCH(E$92,$B$58:$AJ$58,0))</f>
        <v>2.1600017677554773</v>
      </c>
      <c r="F96" s="66" cm="1">
        <f t="array" ref="F96" xml:space="preserve"> _xlfn.XLOOKUP(F$93,$K$10:$N$10,$K13:$N13) * INDEX($B$58:$AJ$87,MATCH($B96,$B$58:$B$87,0)+1,MATCH(F$92,$B$58:$AJ$58,0))</f>
        <v>2.2084888923084138</v>
      </c>
      <c r="G96" s="66" cm="1">
        <f t="array" ref="G96" xml:space="preserve"> _xlfn.XLOOKUP(G$93,$K$10:$N$10,$K13:$N13) * INDEX($B$58:$AJ$87,MATCH($B96,$B$58:$B$87,0)+1,MATCH(G$92,$B$58:$AJ$58,0))</f>
        <v>2.1805175854667285</v>
      </c>
      <c r="H96" s="66" cm="1">
        <f t="array" ref="H96" xml:space="preserve"> _xlfn.XLOOKUP(H$93,$K$10:$N$10,$K13:$N13) * INDEX($B$58:$AJ$87,MATCH($B96,$B$58:$B$87,0)+1,MATCH(H$92,$B$58:$AJ$58,0))</f>
        <v>2.1039746520929214</v>
      </c>
      <c r="I96" s="66" cm="1">
        <f t="array" ref="I96" xml:space="preserve"> _xlfn.XLOOKUP(I$93,$K$10:$N$10,$K13:$N13) * INDEX($B$58:$AJ$87,MATCH($B96,$B$58:$B$87,0)+1,MATCH(I$92,$B$58:$AJ$58,0))</f>
        <v>2.1500484403525779</v>
      </c>
      <c r="J96" s="66" cm="1">
        <f t="array" ref="J96" xml:space="preserve"> _xlfn.XLOOKUP(J$93,$K$10:$N$10,$K13:$N13) * INDEX($B$58:$AJ$87,MATCH($B96,$B$58:$B$87,0)+1,MATCH(J$92,$B$58:$AJ$58,0))</f>
        <v>2.1535641109426726</v>
      </c>
      <c r="K96" s="66" cm="1">
        <f t="array" ref="K96" xml:space="preserve"> _xlfn.XLOOKUP(K$93,$K$10:$N$10,$K13:$N13) * INDEX($B$58:$AJ$87,MATCH($B96,$B$58:$B$87,0)+1,MATCH(K$92,$B$58:$AJ$58,0))</f>
        <v>2.2308308595682558</v>
      </c>
      <c r="L96" s="66" cm="1">
        <f t="array" ref="L96" xml:space="preserve"> _xlfn.XLOOKUP(L$93,$K$10:$N$10,$K13:$N13) * INDEX($B$58:$AJ$87,MATCH($B96,$B$58:$B$87,0)+1,MATCH(L$92,$B$58:$AJ$58,0))</f>
        <v>2.2720531483860849</v>
      </c>
      <c r="M96" s="66" cm="1">
        <f t="array" ref="M96" xml:space="preserve"> _xlfn.XLOOKUP(M$93,$K$10:$N$10,$K13:$N13) * INDEX($B$58:$AJ$87,MATCH($B96,$B$58:$B$87,0)+1,MATCH(M$92,$B$58:$AJ$58,0))</f>
        <v>2.2291159107268359</v>
      </c>
      <c r="N96" s="66" cm="1">
        <f t="array" ref="N96" xml:space="preserve"> _xlfn.XLOOKUP(N$93,$K$10:$N$10,$K13:$N13) * INDEX($B$58:$AJ$87,MATCH($B96,$B$58:$B$87,0)+1,MATCH(N$92,$B$58:$AJ$58,0))</f>
        <v>2.3442080329732251</v>
      </c>
      <c r="O96" s="66" cm="1">
        <f t="array" ref="O96" xml:space="preserve"> _xlfn.XLOOKUP(O$93,$K$10:$N$10,$K13:$N13) * INDEX($B$58:$AJ$87,MATCH($B96,$B$58:$B$87,0)+1,MATCH(O$92,$B$58:$AJ$58,0))</f>
        <v>2.2153328033717221</v>
      </c>
      <c r="P96" s="66" cm="1">
        <f t="array" ref="P96" xml:space="preserve"> _xlfn.XLOOKUP(P$93,$K$10:$N$10,$K13:$N13) * INDEX($B$58:$AJ$87,MATCH($B96,$B$58:$B$87,0)+1,MATCH(P$92,$B$58:$AJ$58,0))</f>
        <v>2.2346418569936328</v>
      </c>
      <c r="Q96" s="66" cm="1">
        <f t="array" ref="Q96" xml:space="preserve"> _xlfn.XLOOKUP(Q$93,$K$10:$N$10,$K13:$N13) * INDEX($B$58:$AJ$87,MATCH($B96,$B$58:$B$87,0)+1,MATCH(Q$92,$B$58:$AJ$58,0))</f>
        <v>2.3108618055011756</v>
      </c>
      <c r="R96" s="66" cm="1">
        <f t="array" ref="R96" xml:space="preserve"> _xlfn.XLOOKUP(R$93,$K$10:$N$10,$K13:$N13) * INDEX($B$58:$AJ$87,MATCH($B96,$B$58:$B$87,0)+1,MATCH(R$92,$B$58:$AJ$58,0))</f>
        <v>2.3374117542313027</v>
      </c>
      <c r="S96" s="67" cm="1">
        <f t="array" ref="S96" xml:space="preserve"> _xlfn.XLOOKUP(S$93,$K$10:$N$10,$K13:$N13) * INDEX($B$58:$AJ$87,MATCH($B96,$B$58:$B$87,0)+1,MATCH(S$92,$B$58:$AJ$58,0))</f>
        <v>3.4581096119538759</v>
      </c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40"/>
      <c r="AR96" s="40"/>
      <c r="AS96" s="40"/>
    </row>
    <row r="97" spans="1:46" x14ac:dyDescent="0.35">
      <c r="A97" s="38"/>
      <c r="B97" s="58" t="s">
        <v>11</v>
      </c>
      <c r="C97" s="11"/>
      <c r="D97" s="11"/>
      <c r="E97" s="66" cm="1">
        <f t="array" ref="E97" xml:space="preserve"> _xlfn.XLOOKUP(E$93,$K$10:$N$10,$K14:$N14) * INDEX($B$58:$AJ$87,MATCH($B97,$B$58:$B$87,0)+1,MATCH(E$92,$B$58:$AJ$58,0))</f>
        <v>0.15360280767793355</v>
      </c>
      <c r="F97" s="66" cm="1">
        <f t="array" ref="F97" xml:space="preserve"> _xlfn.XLOOKUP(F$93,$K$10:$N$10,$K14:$N14) * INDEX($B$58:$AJ$87,MATCH($B97,$B$58:$B$87,0)+1,MATCH(F$92,$B$58:$AJ$58,0))</f>
        <v>0.15469367077265445</v>
      </c>
      <c r="G97" s="66" cm="1">
        <f t="array" ref="G97" xml:space="preserve"> _xlfn.XLOOKUP(G$93,$K$10:$N$10,$K14:$N14) * INDEX($B$58:$AJ$87,MATCH($B97,$B$58:$B$87,0)+1,MATCH(G$92,$B$58:$AJ$58,0))</f>
        <v>0.15387710543527433</v>
      </c>
      <c r="H97" s="66" cm="1">
        <f t="array" ref="H97" xml:space="preserve"> _xlfn.XLOOKUP(H$93,$K$10:$N$10,$K14:$N14) * INDEX($B$58:$AJ$87,MATCH($B97,$B$58:$B$87,0)+1,MATCH(H$92,$B$58:$AJ$58,0))</f>
        <v>0.15076670819215088</v>
      </c>
      <c r="I97" s="66" cm="1">
        <f t="array" ref="I97" xml:space="preserve"> _xlfn.XLOOKUP(I$93,$K$10:$N$10,$K14:$N14) * INDEX($B$58:$AJ$87,MATCH($B97,$B$58:$B$87,0)+1,MATCH(I$92,$B$58:$AJ$58,0))</f>
        <v>0.15397717183451692</v>
      </c>
      <c r="J97" s="66" cm="1">
        <f t="array" ref="J97" xml:space="preserve"> _xlfn.XLOOKUP(J$93,$K$10:$N$10,$K14:$N14) * INDEX($B$58:$AJ$87,MATCH($B97,$B$58:$B$87,0)+1,MATCH(J$92,$B$58:$AJ$58,0))</f>
        <v>0.15353521190452887</v>
      </c>
      <c r="K97" s="66" cm="1">
        <f t="array" ref="K97" xml:space="preserve"> _xlfn.XLOOKUP(K$93,$K$10:$N$10,$K14:$N14) * INDEX($B$58:$AJ$87,MATCH($B97,$B$58:$B$87,0)+1,MATCH(K$92,$B$58:$AJ$58,0))</f>
        <v>0.13802617984060486</v>
      </c>
      <c r="L97" s="66" cm="1">
        <f t="array" ref="L97" xml:space="preserve"> _xlfn.XLOOKUP(L$93,$K$10:$N$10,$K14:$N14) * INDEX($B$58:$AJ$87,MATCH($B97,$B$58:$B$87,0)+1,MATCH(L$92,$B$58:$AJ$58,0))</f>
        <v>0.12865048546479779</v>
      </c>
      <c r="M97" s="66" cm="1">
        <f t="array" ref="M97" xml:space="preserve"> _xlfn.XLOOKUP(M$93,$K$10:$N$10,$K14:$N14) * INDEX($B$58:$AJ$87,MATCH($B97,$B$58:$B$87,0)+1,MATCH(M$92,$B$58:$AJ$58,0))</f>
        <v>0.13318273602263472</v>
      </c>
      <c r="N97" s="66" cm="1">
        <f t="array" ref="N97" xml:space="preserve"> _xlfn.XLOOKUP(N$93,$K$10:$N$10,$K14:$N14) * INDEX($B$58:$AJ$87,MATCH($B97,$B$58:$B$87,0)+1,MATCH(N$92,$B$58:$AJ$58,0))</f>
        <v>0.13859271116033448</v>
      </c>
      <c r="O97" s="66" cm="1">
        <f t="array" ref="O97" xml:space="preserve"> _xlfn.XLOOKUP(O$93,$K$10:$N$10,$K14:$N14) * INDEX($B$58:$AJ$87,MATCH($B97,$B$58:$B$87,0)+1,MATCH(O$92,$B$58:$AJ$58,0))</f>
        <v>0.13066127268411981</v>
      </c>
      <c r="P97" s="66" cm="1">
        <f t="array" ref="P97" xml:space="preserve"> _xlfn.XLOOKUP(P$93,$K$10:$N$10,$K14:$N14) * INDEX($B$58:$AJ$87,MATCH($B97,$B$58:$B$87,0)+1,MATCH(P$92,$B$58:$AJ$58,0))</f>
        <v>0.14576611477212217</v>
      </c>
      <c r="Q97" s="66" cm="1">
        <f t="array" ref="Q97" xml:space="preserve"> _xlfn.XLOOKUP(Q$93,$K$10:$N$10,$K14:$N14) * INDEX($B$58:$AJ$87,MATCH($B97,$B$58:$B$87,0)+1,MATCH(Q$92,$B$58:$AJ$58,0))</f>
        <v>0.15788669328859106</v>
      </c>
      <c r="R97" s="66" cm="1">
        <f t="array" ref="R97" xml:space="preserve"> _xlfn.XLOOKUP(R$93,$K$10:$N$10,$K14:$N14) * INDEX($B$58:$AJ$87,MATCH($B97,$B$58:$B$87,0)+1,MATCH(R$92,$B$58:$AJ$58,0))</f>
        <v>0.15774306563006807</v>
      </c>
      <c r="S97" s="67" cm="1">
        <f t="array" ref="S97" xml:space="preserve"> _xlfn.XLOOKUP(S$93,$K$10:$N$10,$K14:$N14) * INDEX($B$58:$AJ$87,MATCH($B97,$B$58:$B$87,0)+1,MATCH(S$92,$B$58:$AJ$58,0))</f>
        <v>0.13002090501197014</v>
      </c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40"/>
      <c r="AR97" s="40"/>
      <c r="AS97" s="40"/>
    </row>
    <row r="98" spans="1:46" x14ac:dyDescent="0.35">
      <c r="B98" s="58" t="s">
        <v>12</v>
      </c>
      <c r="C98" s="11"/>
      <c r="D98" s="11"/>
      <c r="E98" s="66" cm="1">
        <f t="array" ref="E98" xml:space="preserve"> _xlfn.XLOOKUP(E$93,$K$10:$N$10,$K15:$N15) * INDEX($B$58:$AJ$87,MATCH($B98,$B$58:$B$87,0)+1,MATCH(E$92,$B$58:$AJ$58,0))</f>
        <v>3.703122425134775E-2</v>
      </c>
      <c r="F98" s="66" cm="1">
        <f t="array" ref="F98" xml:space="preserve"> _xlfn.XLOOKUP(F$93,$K$10:$N$10,$K15:$N15) * INDEX($B$58:$AJ$87,MATCH($B98,$B$58:$B$87,0)+1,MATCH(F$92,$B$58:$AJ$58,0))</f>
        <v>3.7708782803881007E-2</v>
      </c>
      <c r="G98" s="66" cm="1">
        <f t="array" ref="G98" xml:space="preserve"> _xlfn.XLOOKUP(G$93,$K$10:$N$10,$K15:$N15) * INDEX($B$58:$AJ$87,MATCH($B98,$B$58:$B$87,0)+1,MATCH(G$92,$B$58:$AJ$58,0))</f>
        <v>3.473862544026099E-2</v>
      </c>
      <c r="H98" s="66" cm="1">
        <f t="array" ref="H98" xml:space="preserve"> _xlfn.XLOOKUP(H$93,$K$10:$N$10,$K15:$N15) * INDEX($B$58:$AJ$87,MATCH($B98,$B$58:$B$87,0)+1,MATCH(H$92,$B$58:$AJ$58,0))</f>
        <v>3.4070226442162253E-2</v>
      </c>
      <c r="I98" s="66" cm="1">
        <f t="array" ref="I98" xml:space="preserve"> _xlfn.XLOOKUP(I$93,$K$10:$N$10,$K15:$N15) * INDEX($B$58:$AJ$87,MATCH($B98,$B$58:$B$87,0)+1,MATCH(I$92,$B$58:$AJ$58,0))</f>
        <v>3.3962557704031518E-2</v>
      </c>
      <c r="J98" s="66" cm="1">
        <f t="array" ref="J98" xml:space="preserve"> _xlfn.XLOOKUP(J$93,$K$10:$N$10,$K15:$N15) * INDEX($B$58:$AJ$87,MATCH($B98,$B$58:$B$87,0)+1,MATCH(J$92,$B$58:$AJ$58,0))</f>
        <v>3.3561731510594314E-2</v>
      </c>
      <c r="K98" s="66" cm="1">
        <f t="array" ref="K98" xml:space="preserve"> _xlfn.XLOOKUP(K$93,$K$10:$N$10,$K15:$N15) * INDEX($B$58:$AJ$87,MATCH($B98,$B$58:$B$87,0)+1,MATCH(K$92,$B$58:$AJ$58,0))</f>
        <v>4.1341155334329305E-2</v>
      </c>
      <c r="L98" s="66" cm="1">
        <f t="array" ref="L98" xml:space="preserve"> _xlfn.XLOOKUP(L$93,$K$10:$N$10,$K15:$N15) * INDEX($B$58:$AJ$87,MATCH($B98,$B$58:$B$87,0)+1,MATCH(L$92,$B$58:$AJ$58,0))</f>
        <v>4.2679657754215283E-2</v>
      </c>
      <c r="M98" s="66" cm="1">
        <f t="array" ref="M98" xml:space="preserve"> _xlfn.XLOOKUP(M$93,$K$10:$N$10,$K15:$N15) * INDEX($B$58:$AJ$87,MATCH($B98,$B$58:$B$87,0)+1,MATCH(M$92,$B$58:$AJ$58,0))</f>
        <v>4.4687948073065864E-2</v>
      </c>
      <c r="N98" s="66" cm="1">
        <f t="array" ref="N98" xml:space="preserve"> _xlfn.XLOOKUP(N$93,$K$10:$N$10,$K15:$N15) * INDEX($B$58:$AJ$87,MATCH($B98,$B$58:$B$87,0)+1,MATCH(N$92,$B$58:$AJ$58,0))</f>
        <v>4.4312265757941491E-2</v>
      </c>
      <c r="O98" s="66" cm="1">
        <f t="array" ref="O98" xml:space="preserve"> _xlfn.XLOOKUP(O$93,$K$10:$N$10,$K15:$N15) * INDEX($B$58:$AJ$87,MATCH($B98,$B$58:$B$87,0)+1,MATCH(O$92,$B$58:$AJ$58,0))</f>
        <v>4.5934139981235571E-2</v>
      </c>
      <c r="P98" s="66" cm="1">
        <f t="array" ref="P98" xml:space="preserve"> _xlfn.XLOOKUP(P$93,$K$10:$N$10,$K15:$N15) * INDEX($B$58:$AJ$87,MATCH($B98,$B$58:$B$87,0)+1,MATCH(P$92,$B$58:$AJ$58,0))</f>
        <v>4.5378130154851502E-2</v>
      </c>
      <c r="Q98" s="66" cm="1">
        <f t="array" ref="Q98" xml:space="preserve"> _xlfn.XLOOKUP(Q$93,$K$10:$N$10,$K15:$N15) * INDEX($B$58:$AJ$87,MATCH($B98,$B$58:$B$87,0)+1,MATCH(Q$92,$B$58:$AJ$58,0))</f>
        <v>4.5073290790579153E-2</v>
      </c>
      <c r="R98" s="66" cm="1">
        <f t="array" ref="R98" xml:space="preserve"> _xlfn.XLOOKUP(R$93,$K$10:$N$10,$K15:$N15) * INDEX($B$58:$AJ$87,MATCH($B98,$B$58:$B$87,0)+1,MATCH(R$92,$B$58:$AJ$58,0))</f>
        <v>4.4689021451109076E-2</v>
      </c>
      <c r="S98" s="67" cm="1">
        <f t="array" ref="S98" xml:space="preserve"> _xlfn.XLOOKUP(S$93,$K$10:$N$10,$K15:$N15) * INDEX($B$58:$AJ$87,MATCH($B98,$B$58:$B$87,0)+1,MATCH(S$92,$B$58:$AJ$58,0))</f>
        <v>6.0885993432547823E-2</v>
      </c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40"/>
      <c r="AR98" s="40"/>
      <c r="AS98" s="40"/>
    </row>
    <row r="99" spans="1:46" x14ac:dyDescent="0.35">
      <c r="A99" s="38"/>
      <c r="B99" s="58" t="s">
        <v>13</v>
      </c>
      <c r="C99" s="11"/>
      <c r="D99" s="11"/>
      <c r="E99" s="66" cm="1">
        <f t="array" ref="E99" xml:space="preserve"> _xlfn.XLOOKUP(E$93,$K$10:$N$10,$K16:$N16) * INDEX($B$58:$AJ$87,MATCH($B99,$B$58:$B$87,0)+1,MATCH(E$92,$B$58:$AJ$58,0))</f>
        <v>0.12901396783141222</v>
      </c>
      <c r="F99" s="66" cm="1">
        <f t="array" ref="F99" xml:space="preserve"> _xlfn.XLOOKUP(F$93,$K$10:$N$10,$K16:$N16) * INDEX($B$58:$AJ$87,MATCH($B99,$B$58:$B$87,0)+1,MATCH(F$92,$B$58:$AJ$58,0))</f>
        <v>0.13293717845633046</v>
      </c>
      <c r="G99" s="66" cm="1">
        <f t="array" ref="G99" xml:space="preserve"> _xlfn.XLOOKUP(G$93,$K$10:$N$10,$K16:$N16) * INDEX($B$58:$AJ$87,MATCH($B99,$B$58:$B$87,0)+1,MATCH(G$92,$B$58:$AJ$58,0))</f>
        <v>0.13368424623049358</v>
      </c>
      <c r="H99" s="66" cm="1">
        <f t="array" ref="H99" xml:space="preserve"> _xlfn.XLOOKUP(H$93,$K$10:$N$10,$K16:$N16) * INDEX($B$58:$AJ$87,MATCH($B99,$B$58:$B$87,0)+1,MATCH(H$92,$B$58:$AJ$58,0))</f>
        <v>0.12111730930526295</v>
      </c>
      <c r="I99" s="66" cm="1">
        <f t="array" ref="I99" xml:space="preserve"> _xlfn.XLOOKUP(I$93,$K$10:$N$10,$K16:$N16) * INDEX($B$58:$AJ$87,MATCH($B99,$B$58:$B$87,0)+1,MATCH(I$92,$B$58:$AJ$58,0))</f>
        <v>0.13587898941924667</v>
      </c>
      <c r="J99" s="66" cm="1">
        <f t="array" ref="J99" xml:space="preserve"> _xlfn.XLOOKUP(J$93,$K$10:$N$10,$K16:$N16) * INDEX($B$58:$AJ$87,MATCH($B99,$B$58:$B$87,0)+1,MATCH(J$92,$B$58:$AJ$58,0))</f>
        <v>0.12552305303972286</v>
      </c>
      <c r="K99" s="66" cm="1">
        <f t="array" ref="K99" xml:space="preserve"> _xlfn.XLOOKUP(K$93,$K$10:$N$10,$K16:$N16) * INDEX($B$58:$AJ$87,MATCH($B99,$B$58:$B$87,0)+1,MATCH(K$92,$B$58:$AJ$58,0))</f>
        <v>4.897949799487409E-2</v>
      </c>
      <c r="L99" s="66" cm="1">
        <f t="array" ref="L99" xml:space="preserve"> _xlfn.XLOOKUP(L$93,$K$10:$N$10,$K16:$N16) * INDEX($B$58:$AJ$87,MATCH($B99,$B$58:$B$87,0)+1,MATCH(L$92,$B$58:$AJ$58,0))</f>
        <v>4.8531338479572701E-2</v>
      </c>
      <c r="M99" s="66" cm="1">
        <f t="array" ref="M99" xml:space="preserve"> _xlfn.XLOOKUP(M$93,$K$10:$N$10,$K16:$N16) * INDEX($B$58:$AJ$87,MATCH($B99,$B$58:$B$87,0)+1,MATCH(M$92,$B$58:$AJ$58,0))</f>
        <v>5.2528632220889902E-2</v>
      </c>
      <c r="N99" s="66" cm="1">
        <f t="array" ref="N99" xml:space="preserve"> _xlfn.XLOOKUP(N$93,$K$10:$N$10,$K16:$N16) * INDEX($B$58:$AJ$87,MATCH($B99,$B$58:$B$87,0)+1,MATCH(N$92,$B$58:$AJ$58,0))</f>
        <v>4.1469211923936343E-2</v>
      </c>
      <c r="O99" s="66" cm="1">
        <f t="array" ref="O99" xml:space="preserve"> _xlfn.XLOOKUP(O$93,$K$10:$N$10,$K16:$N16) * INDEX($B$58:$AJ$87,MATCH($B99,$B$58:$B$87,0)+1,MATCH(O$92,$B$58:$AJ$58,0))</f>
        <v>2.3672942138903873E-2</v>
      </c>
      <c r="P99" s="66" cm="1">
        <f t="array" ref="P99" xml:space="preserve"> _xlfn.XLOOKUP(P$93,$K$10:$N$10,$K16:$N16) * INDEX($B$58:$AJ$87,MATCH($B99,$B$58:$B$87,0)+1,MATCH(P$92,$B$58:$AJ$58,0))</f>
        <v>2.9000257667567125E-2</v>
      </c>
      <c r="Q99" s="66" cm="1">
        <f t="array" ref="Q99" xml:space="preserve"> _xlfn.XLOOKUP(Q$93,$K$10:$N$10,$K16:$N16) * INDEX($B$58:$AJ$87,MATCH($B99,$B$58:$B$87,0)+1,MATCH(Q$92,$B$58:$AJ$58,0))</f>
        <v>3.1378394450376094E-2</v>
      </c>
      <c r="R99" s="66" cm="1">
        <f t="array" ref="R99" xml:space="preserve"> _xlfn.XLOOKUP(R$93,$K$10:$N$10,$K16:$N16) * INDEX($B$58:$AJ$87,MATCH($B99,$B$58:$B$87,0)+1,MATCH(R$92,$B$58:$AJ$58,0))</f>
        <v>3.228917023953698E-2</v>
      </c>
      <c r="S99" s="67" cm="1">
        <f t="array" ref="S99" xml:space="preserve"> _xlfn.XLOOKUP(S$93,$K$10:$N$10,$K16:$N16) * INDEX($B$58:$AJ$87,MATCH($B99,$B$58:$B$87,0)+1,MATCH(S$92,$B$58:$AJ$58,0))</f>
        <v>7.8160510541235587E-2</v>
      </c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40"/>
      <c r="AR99" s="40"/>
      <c r="AS99" s="40"/>
      <c r="AT99" s="40"/>
    </row>
    <row r="100" spans="1:46" x14ac:dyDescent="0.35">
      <c r="B100" s="58" t="s">
        <v>14</v>
      </c>
      <c r="C100" s="11"/>
      <c r="D100" s="11"/>
      <c r="E100" s="66" cm="1">
        <f t="array" ref="E100" xml:space="preserve"> _xlfn.XLOOKUP(E$93,$K$10:$N$10,$K17:$N17) * INDEX($B$58:$AJ$87,MATCH($B100,$B$58:$B$87,0)+1,MATCH(E$92,$B$58:$AJ$58,0))</f>
        <v>8.3579731974246549E-2</v>
      </c>
      <c r="F100" s="66" cm="1">
        <f t="array" ref="F100" xml:space="preserve"> _xlfn.XLOOKUP(F$93,$K$10:$N$10,$K17:$N17) * INDEX($B$58:$AJ$87,MATCH($B100,$B$58:$B$87,0)+1,MATCH(F$92,$B$58:$AJ$58,0))</f>
        <v>8.1257787361317266E-2</v>
      </c>
      <c r="G100" s="66" cm="1">
        <f t="array" ref="G100" xml:space="preserve"> _xlfn.XLOOKUP(G$93,$K$10:$N$10,$K17:$N17) * INDEX($B$58:$AJ$87,MATCH($B100,$B$58:$B$87,0)+1,MATCH(G$92,$B$58:$AJ$58,0))</f>
        <v>7.9855237526542666E-2</v>
      </c>
      <c r="H100" s="66" cm="1">
        <f t="array" ref="H100" xml:space="preserve"> _xlfn.XLOOKUP(H$93,$K$10:$N$10,$K17:$N17) * INDEX($B$58:$AJ$87,MATCH($B100,$B$58:$B$87,0)+1,MATCH(H$92,$B$58:$AJ$58,0))</f>
        <v>8.022126611719145E-2</v>
      </c>
      <c r="I100" s="66" cm="1">
        <f t="array" ref="I100" xml:space="preserve"> _xlfn.XLOOKUP(I$93,$K$10:$N$10,$K17:$N17) * INDEX($B$58:$AJ$87,MATCH($B100,$B$58:$B$87,0)+1,MATCH(I$92,$B$58:$AJ$58,0))</f>
        <v>8.2010739227029936E-2</v>
      </c>
      <c r="J100" s="66" cm="1">
        <f t="array" ref="J100" xml:space="preserve"> _xlfn.XLOOKUP(J$93,$K$10:$N$10,$K17:$N17) * INDEX($B$58:$AJ$87,MATCH($B100,$B$58:$B$87,0)+1,MATCH(J$92,$B$58:$AJ$58,0))</f>
        <v>8.2437772582786853E-2</v>
      </c>
      <c r="K100" s="66" cm="1">
        <f t="array" ref="K100" xml:space="preserve"> _xlfn.XLOOKUP(K$93,$K$10:$N$10,$K17:$N17) * INDEX($B$58:$AJ$87,MATCH($B100,$B$58:$B$87,0)+1,MATCH(K$92,$B$58:$AJ$58,0))</f>
        <v>8.900274076949212E-2</v>
      </c>
      <c r="L100" s="66" cm="1">
        <f t="array" ref="L100" xml:space="preserve"> _xlfn.XLOOKUP(L$93,$K$10:$N$10,$K17:$N17) * INDEX($B$58:$AJ$87,MATCH($B100,$B$58:$B$87,0)+1,MATCH(L$92,$B$58:$AJ$58,0))</f>
        <v>8.7447153360405233E-2</v>
      </c>
      <c r="M100" s="66" cm="1">
        <f t="array" ref="M100" xml:space="preserve"> _xlfn.XLOOKUP(M$93,$K$10:$N$10,$K17:$N17) * INDEX($B$58:$AJ$87,MATCH($B100,$B$58:$B$87,0)+1,MATCH(M$92,$B$58:$AJ$58,0))</f>
        <v>8.2921808170334274E-2</v>
      </c>
      <c r="N100" s="66" cm="1">
        <f t="array" ref="N100" xml:space="preserve"> _xlfn.XLOOKUP(N$93,$K$10:$N$10,$K17:$N17) * INDEX($B$58:$AJ$87,MATCH($B100,$B$58:$B$87,0)+1,MATCH(N$92,$B$58:$AJ$58,0))</f>
        <v>8.6984333965966165E-2</v>
      </c>
      <c r="O100" s="66" cm="1">
        <f t="array" ref="O100" xml:space="preserve"> _xlfn.XLOOKUP(O$93,$K$10:$N$10,$K17:$N17) * INDEX($B$58:$AJ$87,MATCH($B100,$B$58:$B$87,0)+1,MATCH(O$92,$B$58:$AJ$58,0))</f>
        <v>8.6328673157177474E-2</v>
      </c>
      <c r="P100" s="66" cm="1">
        <f t="array" ref="P100" xml:space="preserve"> _xlfn.XLOOKUP(P$93,$K$10:$N$10,$K17:$N17) * INDEX($B$58:$AJ$87,MATCH($B100,$B$58:$B$87,0)+1,MATCH(P$92,$B$58:$AJ$58,0))</f>
        <v>8.6585795042976962E-2</v>
      </c>
      <c r="Q100" s="66" cm="1">
        <f t="array" ref="Q100" xml:space="preserve"> _xlfn.XLOOKUP(Q$93,$K$10:$N$10,$K17:$N17) * INDEX($B$58:$AJ$87,MATCH($B100,$B$58:$B$87,0)+1,MATCH(Q$92,$B$58:$AJ$58,0))</f>
        <v>8.7408585077535308E-2</v>
      </c>
      <c r="R100" s="66" cm="1">
        <f t="array" ref="R100" xml:space="preserve"> _xlfn.XLOOKUP(R$93,$K$10:$N$10,$K17:$N17) * INDEX($B$58:$AJ$87,MATCH($B100,$B$58:$B$87,0)+1,MATCH(R$92,$B$58:$AJ$58,0))</f>
        <v>9.5186522122969769E-2</v>
      </c>
      <c r="S100" s="67" cm="1">
        <f t="array" ref="S100" xml:space="preserve"> _xlfn.XLOOKUP(S$93,$K$10:$N$10,$K17:$N17) * INDEX($B$58:$AJ$87,MATCH($B100,$B$58:$B$87,0)+1,MATCH(S$92,$B$58:$AJ$58,0))</f>
        <v>4.6143768338740176E-2</v>
      </c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40"/>
      <c r="AR100" s="40"/>
      <c r="AS100" s="40"/>
      <c r="AT100" s="40"/>
    </row>
    <row r="101" spans="1:46" x14ac:dyDescent="0.35">
      <c r="A101" s="38"/>
      <c r="B101" s="59" t="s">
        <v>15</v>
      </c>
      <c r="C101" s="5"/>
      <c r="D101" s="5"/>
      <c r="E101" s="68" cm="1">
        <f t="array" ref="E101" xml:space="preserve"> _xlfn.XLOOKUP(E$93,$K$10:$N$10,$K18:$N18) * INDEX($B$58:$AJ$87,MATCH($B101,$B$58:$B$87,0)+1,MATCH(E$92,$B$58:$AJ$58,0))</f>
        <v>1.966530593115005E-2</v>
      </c>
      <c r="F101" s="68" cm="1">
        <f t="array" ref="F101" xml:space="preserve"> _xlfn.XLOOKUP(F$93,$K$10:$N$10,$K18:$N18) * INDEX($B$58:$AJ$87,MATCH($B101,$B$58:$B$87,0)+1,MATCH(F$92,$B$58:$AJ$58,0))</f>
        <v>1.9535419981330928E-2</v>
      </c>
      <c r="G101" s="68" cm="1">
        <f t="array" ref="G101" xml:space="preserve"> _xlfn.XLOOKUP(G$93,$K$10:$N$10,$K18:$N18) * INDEX($B$58:$AJ$87,MATCH($B101,$B$58:$B$87,0)+1,MATCH(G$92,$B$58:$AJ$58,0))</f>
        <v>1.850028789966493E-2</v>
      </c>
      <c r="H101" s="68" cm="1">
        <f t="array" ref="H101" xml:space="preserve"> _xlfn.XLOOKUP(H$93,$K$10:$N$10,$K18:$N18) * INDEX($B$58:$AJ$87,MATCH($B101,$B$58:$B$87,0)+1,MATCH(H$92,$B$58:$AJ$58,0))</f>
        <v>2.0333710522569715E-2</v>
      </c>
      <c r="I101" s="68" cm="1">
        <f t="array" ref="I101" xml:space="preserve"> _xlfn.XLOOKUP(I$93,$K$10:$N$10,$K18:$N18) * INDEX($B$58:$AJ$87,MATCH($B101,$B$58:$B$87,0)+1,MATCH(I$92,$B$58:$AJ$58,0))</f>
        <v>1.8716295295582514E-2</v>
      </c>
      <c r="J101" s="68" cm="1">
        <f t="array" ref="J101" xml:space="preserve"> _xlfn.XLOOKUP(J$93,$K$10:$N$10,$K18:$N18) * INDEX($B$58:$AJ$87,MATCH($B101,$B$58:$B$87,0)+1,MATCH(J$92,$B$58:$AJ$58,0))</f>
        <v>1.6945267209269248E-2</v>
      </c>
      <c r="K101" s="68" cm="1">
        <f t="array" ref="K101" xml:space="preserve"> _xlfn.XLOOKUP(K$93,$K$10:$N$10,$K18:$N18) * INDEX($B$58:$AJ$87,MATCH($B101,$B$58:$B$87,0)+1,MATCH(K$92,$B$58:$AJ$58,0))</f>
        <v>1.5444297644200548E-2</v>
      </c>
      <c r="L101" s="68" cm="1">
        <f t="array" ref="L101" xml:space="preserve"> _xlfn.XLOOKUP(L$93,$K$10:$N$10,$K18:$N18) * INDEX($B$58:$AJ$87,MATCH($B101,$B$58:$B$87,0)+1,MATCH(L$92,$B$58:$AJ$58,0))</f>
        <v>1.6231312064916598E-2</v>
      </c>
      <c r="M101" s="68" cm="1">
        <f t="array" ref="M101" xml:space="preserve"> _xlfn.XLOOKUP(M$93,$K$10:$N$10,$K18:$N18) * INDEX($B$58:$AJ$87,MATCH($B101,$B$58:$B$87,0)+1,MATCH(M$92,$B$58:$AJ$58,0))</f>
        <v>1.5992578654201707E-2</v>
      </c>
      <c r="N101" s="68" cm="1">
        <f t="array" ref="N101" xml:space="preserve"> _xlfn.XLOOKUP(N$93,$K$10:$N$10,$K18:$N18) * INDEX($B$58:$AJ$87,MATCH($B101,$B$58:$B$87,0)+1,MATCH(N$92,$B$58:$AJ$58,0))</f>
        <v>1.4496638716028227E-2</v>
      </c>
      <c r="O101" s="68" cm="1">
        <f t="array" ref="O101" xml:space="preserve"> _xlfn.XLOOKUP(O$93,$K$10:$N$10,$K18:$N18) * INDEX($B$58:$AJ$87,MATCH($B101,$B$58:$B$87,0)+1,MATCH(O$92,$B$58:$AJ$58,0))</f>
        <v>1.2182417450565504E-2</v>
      </c>
      <c r="P101" s="68" cm="1">
        <f t="array" ref="P101" xml:space="preserve"> _xlfn.XLOOKUP(P$93,$K$10:$N$10,$K18:$N18) * INDEX($B$58:$AJ$87,MATCH($B101,$B$58:$B$87,0)+1,MATCH(P$92,$B$58:$AJ$58,0))</f>
        <v>1.2892035176063191E-2</v>
      </c>
      <c r="Q101" s="68" cm="1">
        <f t="array" ref="Q101" xml:space="preserve"> _xlfn.XLOOKUP(Q$93,$K$10:$N$10,$K18:$N18) * INDEX($B$58:$AJ$87,MATCH($B101,$B$58:$B$87,0)+1,MATCH(Q$92,$B$58:$AJ$58,0))</f>
        <v>1.1793644681992267E-2</v>
      </c>
      <c r="R101" s="68" cm="1">
        <f t="array" ref="R101" xml:space="preserve"> _xlfn.XLOOKUP(R$93,$K$10:$N$10,$K18:$N18) * INDEX($B$58:$AJ$87,MATCH($B101,$B$58:$B$87,0)+1,MATCH(R$92,$B$58:$AJ$58,0))</f>
        <v>1.1648280993537935E-2</v>
      </c>
      <c r="S101" s="69" cm="1">
        <f t="array" ref="S101" xml:space="preserve"> _xlfn.XLOOKUP(S$93,$K$10:$N$10,$K18:$N18) * INDEX($B$58:$AJ$87,MATCH($B101,$B$58:$B$87,0)+1,MATCH(S$92,$B$58:$AJ$58,0))</f>
        <v>8.1564041978140055E-3</v>
      </c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40"/>
      <c r="AR101" s="39"/>
      <c r="AS101" s="39"/>
      <c r="AT101" s="39"/>
    </row>
    <row r="102" spans="1:46" x14ac:dyDescent="0.35">
      <c r="M102" s="38"/>
      <c r="N102" s="38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40"/>
      <c r="AR102" s="39"/>
      <c r="AS102" s="39"/>
      <c r="AT102" s="39"/>
    </row>
    <row r="103" spans="1:46" x14ac:dyDescent="0.35">
      <c r="A103" s="38"/>
      <c r="F103" s="106"/>
      <c r="H103" s="106"/>
      <c r="K103" s="38"/>
      <c r="L103" s="38"/>
      <c r="M103" s="38"/>
      <c r="N103" s="38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40"/>
      <c r="AR103" s="40"/>
      <c r="AS103" s="40"/>
      <c r="AT103" s="40"/>
    </row>
    <row r="104" spans="1:46" x14ac:dyDescent="0.35">
      <c r="B104" s="74" t="str">
        <f>Q20</f>
        <v xml:space="preserve">Gestion des fumiers et lisiers (kt CH4) </v>
      </c>
      <c r="M104" s="38"/>
      <c r="N104" s="38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40"/>
      <c r="AR104" s="40"/>
      <c r="AS104" s="40"/>
      <c r="AT104" s="40"/>
    </row>
    <row r="105" spans="1:46" x14ac:dyDescent="0.35">
      <c r="A105" s="38"/>
      <c r="B105" s="79" t="s">
        <v>38</v>
      </c>
      <c r="C105" s="55"/>
      <c r="D105" s="55"/>
      <c r="E105" s="56">
        <v>2023</v>
      </c>
      <c r="F105" s="56">
        <v>2022</v>
      </c>
      <c r="G105" s="56">
        <v>2021</v>
      </c>
      <c r="H105" s="56">
        <v>2020</v>
      </c>
      <c r="I105" s="56">
        <v>2019</v>
      </c>
      <c r="J105" s="56">
        <v>2018</v>
      </c>
      <c r="K105" s="56">
        <v>2017</v>
      </c>
      <c r="L105" s="56">
        <v>2016</v>
      </c>
      <c r="M105" s="56">
        <v>2015</v>
      </c>
      <c r="N105" s="56">
        <v>2014</v>
      </c>
      <c r="O105" s="56">
        <v>2013</v>
      </c>
      <c r="P105" s="56">
        <v>2012</v>
      </c>
      <c r="Q105" s="56">
        <v>2011</v>
      </c>
      <c r="R105" s="56">
        <v>2010</v>
      </c>
      <c r="S105" s="57">
        <v>1990</v>
      </c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40"/>
      <c r="AR105" s="40"/>
      <c r="AS105" s="40"/>
      <c r="AT105" s="40"/>
    </row>
    <row r="106" spans="1:46" x14ac:dyDescent="0.35">
      <c r="B106" s="60" t="s">
        <v>39</v>
      </c>
      <c r="C106" s="61"/>
      <c r="D106" s="61"/>
      <c r="E106" s="61">
        <v>2023</v>
      </c>
      <c r="F106" s="61">
        <v>2023</v>
      </c>
      <c r="G106" s="61">
        <v>2019</v>
      </c>
      <c r="H106" s="61">
        <v>2019</v>
      </c>
      <c r="I106" s="61">
        <v>2019</v>
      </c>
      <c r="J106" s="61">
        <v>2019</v>
      </c>
      <c r="K106" s="62">
        <v>2015</v>
      </c>
      <c r="L106" s="62">
        <v>2015</v>
      </c>
      <c r="M106" s="62">
        <v>2015</v>
      </c>
      <c r="N106" s="63">
        <v>2015</v>
      </c>
      <c r="O106" s="63">
        <v>2015</v>
      </c>
      <c r="P106" s="63">
        <v>2015</v>
      </c>
      <c r="Q106" s="63">
        <v>2015</v>
      </c>
      <c r="R106" s="63">
        <v>2015</v>
      </c>
      <c r="S106" s="64">
        <v>1990</v>
      </c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40"/>
      <c r="AR106" s="40"/>
      <c r="AS106" s="40"/>
      <c r="AT106" s="40"/>
    </row>
    <row r="107" spans="1:46" x14ac:dyDescent="0.35">
      <c r="A107" s="38"/>
      <c r="B107" s="58" t="s">
        <v>814</v>
      </c>
      <c r="E107" s="47" cm="1">
        <f t="array" ref="E107" xml:space="preserve"> _xlfn.XLOOKUP(E$106,$K$20:$N$20,$K21:$N21) * INDEX($B$58:$AJ$87,MATCH($B107,$B$58:$B$87,0)+1,MATCH(E$105,$B$58:$AJ$58,0))</f>
        <v>0.67555017771727621</v>
      </c>
      <c r="F107" s="47" cm="1">
        <f t="array" ref="F107" xml:space="preserve"> _xlfn.XLOOKUP(F$106,$K$20:$N$20,$K21:$N21) * INDEX($B$58:$AJ$87,MATCH($B107,$B$58:$B$87,0)+1,MATCH(F$105,$B$58:$AJ$58,0))</f>
        <v>0.68697102648035446</v>
      </c>
      <c r="G107" s="47" cm="1">
        <f t="array" ref="G107" xml:space="preserve"> _xlfn.XLOOKUP(G$106,$K$20:$N$20,$K21:$N21) * INDEX($B$58:$AJ$87,MATCH($B107,$B$58:$B$87,0)+1,MATCH(G$105,$B$58:$AJ$58,0))</f>
        <v>0.69865654003132593</v>
      </c>
      <c r="H107" s="47" cm="1">
        <f t="array" ref="H107" xml:space="preserve"> _xlfn.XLOOKUP(H$106,$K$20:$N$20,$K21:$N21) * INDEX($B$58:$AJ$87,MATCH($B107,$B$58:$B$87,0)+1,MATCH(H$105,$B$58:$AJ$58,0))</f>
        <v>0.69312142307460578</v>
      </c>
      <c r="I107" s="47" cm="1">
        <f t="array" ref="I107" xml:space="preserve"> _xlfn.XLOOKUP(I$106,$K$20:$N$20,$K21:$N21) * INDEX($B$58:$AJ$87,MATCH($B107,$B$58:$B$87,0)+1,MATCH(I$105,$B$58:$AJ$58,0))</f>
        <v>0.69124972167594612</v>
      </c>
      <c r="J107" s="47" cm="1">
        <f t="array" ref="J107" xml:space="preserve"> _xlfn.XLOOKUP(J$106,$K$20:$N$20,$K21:$N21) * INDEX($B$58:$AJ$87,MATCH($B107,$B$58:$B$87,0)+1,MATCH(J$105,$B$58:$AJ$58,0))</f>
        <v>0.69374532354082574</v>
      </c>
      <c r="K107" s="47" cm="1">
        <f t="array" ref="K107" xml:space="preserve"> _xlfn.XLOOKUP(K$106,$K$20:$N$20,$K21:$N21) * INDEX($B$58:$AJ$87,MATCH($B107,$B$58:$B$87,0)+1,MATCH(K$105,$B$58:$AJ$58,0))</f>
        <v>0.72631592702695025</v>
      </c>
      <c r="L107" s="47" cm="1">
        <f t="array" ref="L107" xml:space="preserve"> _xlfn.XLOOKUP(L$106,$K$20:$N$20,$K21:$N21) * INDEX($B$58:$AJ$87,MATCH($B107,$B$58:$B$87,0)+1,MATCH(L$105,$B$58:$AJ$58,0))</f>
        <v>0.73385251853708644</v>
      </c>
      <c r="M107" s="47" cm="1">
        <f t="array" ref="M107" xml:space="preserve"> _xlfn.XLOOKUP(M$106,$K$20:$N$20,$K21:$N21) * INDEX($B$58:$AJ$87,MATCH($B107,$B$58:$B$87,0)+1,MATCH(M$105,$B$58:$AJ$58,0))</f>
        <v>0.75149384966660326</v>
      </c>
      <c r="N107" s="47" cm="1">
        <f t="array" ref="N107" xml:space="preserve"> _xlfn.XLOOKUP(N$106,$K$20:$N$20,$K21:$N21) * INDEX($B$58:$AJ$87,MATCH($B107,$B$58:$B$87,0)+1,MATCH(N$105,$B$58:$AJ$58,0))</f>
        <v>0.74514901316141069</v>
      </c>
      <c r="O107" s="47" cm="1">
        <f t="array" ref="O107" xml:space="preserve"> _xlfn.XLOOKUP(O$106,$K$20:$N$20,$K21:$N21) * INDEX($B$58:$AJ$87,MATCH($B107,$B$58:$B$87,0)+1,MATCH(O$105,$B$58:$AJ$58,0))</f>
        <v>0.73709207791672171</v>
      </c>
      <c r="P107" s="47" cm="1">
        <f t="array" ref="P107" xml:space="preserve"> _xlfn.XLOOKUP(P$106,$K$20:$N$20,$K21:$N21) * INDEX($B$58:$AJ$87,MATCH($B107,$B$58:$B$87,0)+1,MATCH(P$105,$B$58:$AJ$58,0))</f>
        <v>0.74571971274124282</v>
      </c>
      <c r="Q107" s="47" cm="1">
        <f t="array" ref="Q107" xml:space="preserve"> _xlfn.XLOOKUP(Q$106,$K$20:$N$20,$K21:$N21) * INDEX($B$58:$AJ$87,MATCH($B107,$B$58:$B$87,0)+1,MATCH(Q$105,$B$58:$AJ$58,0))</f>
        <v>0.73678994284504595</v>
      </c>
      <c r="R107" s="47" cm="1">
        <f t="array" ref="R107" xml:space="preserve"> _xlfn.XLOOKUP(R$106,$K$20:$N$20,$K21:$N21) * INDEX($B$58:$AJ$87,MATCH($B107,$B$58:$B$87,0)+1,MATCH(R$105,$B$58:$AJ$58,0))</f>
        <v>0.74795215521529212</v>
      </c>
      <c r="S107" s="47" cm="1">
        <f t="array" ref="S107" xml:space="preserve"> _xlfn.XLOOKUP(S$106,$K$20:$N$20,$K21:$N21) * INDEX($B$58:$AJ$87,MATCH($B107,$B$58:$B$87,0)+1,MATCH(S$105,$B$58:$AJ$58,0))</f>
        <v>0.80774714273780523</v>
      </c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40"/>
      <c r="AR107" s="39"/>
      <c r="AS107" s="40"/>
      <c r="AT107" s="40"/>
    </row>
    <row r="108" spans="1:46" x14ac:dyDescent="0.35">
      <c r="B108" s="58" t="s">
        <v>9</v>
      </c>
      <c r="E108" s="47" cm="1">
        <f t="array" ref="E108" xml:space="preserve"> _xlfn.XLOOKUP(E$106,$K$20:$N$20,$K22:$N22) * INDEX($B$58:$AJ$87,MATCH($B108,$B$58:$B$87,0)+1,MATCH(E$105,$B$58:$AJ$58,0))</f>
        <v>0.13786042900722775</v>
      </c>
      <c r="F108" s="47" cm="1">
        <f t="array" ref="F108" xml:space="preserve"> _xlfn.XLOOKUP(F$106,$K$20:$N$20,$K22:$N22) * INDEX($B$58:$AJ$87,MATCH($B108,$B$58:$B$87,0)+1,MATCH(F$105,$B$58:$AJ$58,0))</f>
        <v>0.12960349885891326</v>
      </c>
      <c r="G108" s="47" cm="1">
        <f t="array" ref="G108" xml:space="preserve"> _xlfn.XLOOKUP(G$106,$K$20:$N$20,$K22:$N22) * INDEX($B$58:$AJ$87,MATCH($B108,$B$58:$B$87,0)+1,MATCH(G$105,$B$58:$AJ$58,0))</f>
        <v>0.11881450779112294</v>
      </c>
      <c r="H108" s="47" cm="1">
        <f t="array" ref="H108" xml:space="preserve"> _xlfn.XLOOKUP(H$106,$K$20:$N$20,$K22:$N22) * INDEX($B$58:$AJ$87,MATCH($B108,$B$58:$B$87,0)+1,MATCH(H$105,$B$58:$AJ$58,0))</f>
        <v>0.12200990242362612</v>
      </c>
      <c r="I108" s="47" cm="1">
        <f t="array" ref="I108" xml:space="preserve"> _xlfn.XLOOKUP(I$106,$K$20:$N$20,$K22:$N22) * INDEX($B$58:$AJ$87,MATCH($B108,$B$58:$B$87,0)+1,MATCH(I$105,$B$58:$AJ$58,0))</f>
        <v>0.12377247268160393</v>
      </c>
      <c r="J108" s="47" cm="1">
        <f t="array" ref="J108" xml:space="preserve"> _xlfn.XLOOKUP(J$106,$K$20:$N$20,$K22:$N22) * INDEX($B$58:$AJ$87,MATCH($B108,$B$58:$B$87,0)+1,MATCH(J$105,$B$58:$AJ$58,0))</f>
        <v>0.13074816833511521</v>
      </c>
      <c r="K108" s="47" cm="1">
        <f t="array" ref="K108" xml:space="preserve"> _xlfn.XLOOKUP(K$106,$K$20:$N$20,$K22:$N22) * INDEX($B$58:$AJ$87,MATCH($B108,$B$58:$B$87,0)+1,MATCH(K$105,$B$58:$AJ$58,0))</f>
        <v>0.12812216387681286</v>
      </c>
      <c r="L108" s="47" cm="1">
        <f t="array" ref="L108" xml:space="preserve"> _xlfn.XLOOKUP(L$106,$K$20:$N$20,$K22:$N22) * INDEX($B$58:$AJ$87,MATCH($B108,$B$58:$B$87,0)+1,MATCH(L$105,$B$58:$AJ$58,0))</f>
        <v>0.12902256930676428</v>
      </c>
      <c r="M108" s="47" cm="1">
        <f t="array" ref="M108" xml:space="preserve"> _xlfn.XLOOKUP(M$106,$K$20:$N$20,$K22:$N22) * INDEX($B$58:$AJ$87,MATCH($B108,$B$58:$B$87,0)+1,MATCH(M$105,$B$58:$AJ$58,0))</f>
        <v>0.12933850103657177</v>
      </c>
      <c r="N108" s="47" cm="1">
        <f t="array" ref="N108" xml:space="preserve"> _xlfn.XLOOKUP(N$106,$K$20:$N$20,$K22:$N22) * INDEX($B$58:$AJ$87,MATCH($B108,$B$58:$B$87,0)+1,MATCH(N$105,$B$58:$AJ$58,0))</f>
        <v>0.12837096011403629</v>
      </c>
      <c r="O108" s="47" cm="1">
        <f t="array" ref="O108" xml:space="preserve"> _xlfn.XLOOKUP(O$106,$K$20:$N$20,$K22:$N22) * INDEX($B$58:$AJ$87,MATCH($B108,$B$58:$B$87,0)+1,MATCH(O$105,$B$58:$AJ$58,0))</f>
        <v>0.1254604390531846</v>
      </c>
      <c r="P108" s="47" cm="1">
        <f t="array" ref="P108" xml:space="preserve"> _xlfn.XLOOKUP(P$106,$K$20:$N$20,$K22:$N22) * INDEX($B$58:$AJ$87,MATCH($B108,$B$58:$B$87,0)+1,MATCH(P$105,$B$58:$AJ$58,0))</f>
        <v>0.12756928334964973</v>
      </c>
      <c r="Q108" s="47" cm="1">
        <f t="array" ref="Q108" xml:space="preserve"> _xlfn.XLOOKUP(Q$106,$K$20:$N$20,$K22:$N22) * INDEX($B$58:$AJ$87,MATCH($B108,$B$58:$B$87,0)+1,MATCH(Q$105,$B$58:$AJ$58,0))</f>
        <v>0.13064961771527295</v>
      </c>
      <c r="R108" s="47" cm="1">
        <f t="array" ref="R108" xml:space="preserve"> _xlfn.XLOOKUP(R$106,$K$20:$N$20,$K22:$N22) * INDEX($B$58:$AJ$87,MATCH($B108,$B$58:$B$87,0)+1,MATCH(R$105,$B$58:$AJ$58,0))</f>
        <v>0.13310993606114893</v>
      </c>
      <c r="S108" s="47" cm="1">
        <f t="array" ref="S108" xml:space="preserve"> _xlfn.XLOOKUP(S$106,$K$20:$N$20,$K22:$N22) * INDEX($B$58:$AJ$87,MATCH($B108,$B$58:$B$87,0)+1,MATCH(S$105,$B$58:$AJ$58,0))</f>
        <v>1.1466233230415814E-2</v>
      </c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40"/>
      <c r="AR108" s="39"/>
      <c r="AS108" s="40"/>
      <c r="AT108" s="40"/>
    </row>
    <row r="109" spans="1:46" x14ac:dyDescent="0.35">
      <c r="A109" s="38"/>
      <c r="B109" s="58" t="s">
        <v>10</v>
      </c>
      <c r="E109" s="47" cm="1">
        <f t="array" ref="E109" xml:space="preserve"> _xlfn.XLOOKUP(E$106,$K$20:$N$20,$K23:$N23) * INDEX($B$58:$AJ$87,MATCH($B109,$B$58:$B$87,0)+1,MATCH(E$105,$B$58:$AJ$58,0))</f>
        <v>0.2145766463290131</v>
      </c>
      <c r="F109" s="47" cm="1">
        <f t="array" ref="F109" xml:space="preserve"> _xlfn.XLOOKUP(F$106,$K$20:$N$20,$K23:$N23) * INDEX($B$58:$AJ$87,MATCH($B109,$B$58:$B$87,0)+1,MATCH(F$105,$B$58:$AJ$58,0))</f>
        <v>0.21939340376505798</v>
      </c>
      <c r="G109" s="47" cm="1">
        <f t="array" ref="G109" xml:space="preserve"> _xlfn.XLOOKUP(G$106,$K$20:$N$20,$K23:$N23) * INDEX($B$58:$AJ$87,MATCH($B109,$B$58:$B$87,0)+1,MATCH(G$105,$B$58:$AJ$58,0))</f>
        <v>0.22005617053354379</v>
      </c>
      <c r="H109" s="47" cm="1">
        <f t="array" ref="H109" xml:space="preserve"> _xlfn.XLOOKUP(H$106,$K$20:$N$20,$K23:$N23) * INDEX($B$58:$AJ$87,MATCH($B109,$B$58:$B$87,0)+1,MATCH(H$105,$B$58:$AJ$58,0))</f>
        <v>0.21233151611575385</v>
      </c>
      <c r="I109" s="47" cm="1">
        <f t="array" ref="I109" xml:space="preserve"> _xlfn.XLOOKUP(I$106,$K$20:$N$20,$K23:$N23) * INDEX($B$58:$AJ$87,MATCH($B109,$B$58:$B$87,0)+1,MATCH(I$105,$B$58:$AJ$58,0))</f>
        <v>0.21698124766296503</v>
      </c>
      <c r="J109" s="47" cm="1">
        <f t="array" ref="J109" xml:space="preserve"> _xlfn.XLOOKUP(J$106,$K$20:$N$20,$K23:$N23) * INDEX($B$58:$AJ$87,MATCH($B109,$B$58:$B$87,0)+1,MATCH(J$105,$B$58:$AJ$58,0))</f>
        <v>0.21733604645572413</v>
      </c>
      <c r="K109" s="47" cm="1">
        <f t="array" ref="K109" xml:space="preserve"> _xlfn.XLOOKUP(K$106,$K$20:$N$20,$K23:$N23) * INDEX($B$58:$AJ$87,MATCH($B109,$B$58:$B$87,0)+1,MATCH(K$105,$B$58:$AJ$58,0))</f>
        <v>0.22671732122260696</v>
      </c>
      <c r="L109" s="47" cm="1">
        <f t="array" ref="L109" xml:space="preserve"> _xlfn.XLOOKUP(L$106,$K$20:$N$20,$K23:$N23) * INDEX($B$58:$AJ$87,MATCH($B109,$B$58:$B$87,0)+1,MATCH(L$105,$B$58:$AJ$58,0))</f>
        <v>0.23090670512652678</v>
      </c>
      <c r="M109" s="47" cm="1">
        <f t="array" ref="M109" xml:space="preserve"> _xlfn.XLOOKUP(M$106,$K$20:$N$20,$K23:$N23) * INDEX($B$58:$AJ$87,MATCH($B109,$B$58:$B$87,0)+1,MATCH(M$105,$B$58:$AJ$58,0))</f>
        <v>0.22654303252398472</v>
      </c>
      <c r="N109" s="47" cm="1">
        <f t="array" ref="N109" xml:space="preserve"> _xlfn.XLOOKUP(N$106,$K$20:$N$20,$K23:$N23) * INDEX($B$58:$AJ$87,MATCH($B109,$B$58:$B$87,0)+1,MATCH(N$105,$B$58:$AJ$58,0))</f>
        <v>0.23823974074263299</v>
      </c>
      <c r="O109" s="47" cm="1">
        <f t="array" ref="O109" xml:space="preserve"> _xlfn.XLOOKUP(O$106,$K$20:$N$20,$K23:$N23) * INDEX($B$58:$AJ$87,MATCH($B109,$B$58:$B$87,0)+1,MATCH(O$105,$B$58:$AJ$58,0))</f>
        <v>0.2251422677980208</v>
      </c>
      <c r="P109" s="47" cm="1">
        <f t="array" ref="P109" xml:space="preserve"> _xlfn.XLOOKUP(P$106,$K$20:$N$20,$K23:$N23) * INDEX($B$58:$AJ$87,MATCH($B109,$B$58:$B$87,0)+1,MATCH(P$105,$B$58:$AJ$58,0))</f>
        <v>0.22710462944176751</v>
      </c>
      <c r="Q109" s="47" cm="1">
        <f t="array" ref="Q109" xml:space="preserve"> _xlfn.XLOOKUP(Q$106,$K$20:$N$20,$K23:$N23) * INDEX($B$58:$AJ$87,MATCH($B109,$B$58:$B$87,0)+1,MATCH(Q$105,$B$58:$AJ$58,0))</f>
        <v>0.23485079382497828</v>
      </c>
      <c r="R109" s="47" cm="1">
        <f t="array" ref="R109" xml:space="preserve"> _xlfn.XLOOKUP(R$106,$K$20:$N$20,$K23:$N23) * INDEX($B$58:$AJ$87,MATCH($B109,$B$58:$B$87,0)+1,MATCH(R$105,$B$58:$AJ$58,0))</f>
        <v>0.23754904108513003</v>
      </c>
      <c r="S109" s="47" cm="1">
        <f t="array" ref="S109" xml:space="preserve"> _xlfn.XLOOKUP(S$106,$K$20:$N$20,$K23:$N23) * INDEX($B$58:$AJ$87,MATCH($B109,$B$58:$B$87,0)+1,MATCH(S$105,$B$58:$AJ$58,0))</f>
        <v>0.39628489897632019</v>
      </c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40"/>
      <c r="AQ109" s="39"/>
      <c r="AR109" s="39"/>
      <c r="AS109" s="39"/>
      <c r="AT109" s="39"/>
    </row>
    <row r="110" spans="1:46" x14ac:dyDescent="0.35">
      <c r="B110" s="58" t="s">
        <v>11</v>
      </c>
      <c r="E110" s="47" cm="1">
        <f t="array" ref="E110" xml:space="preserve"> _xlfn.XLOOKUP(E$106,$K$20:$N$20,$K24:$N24) * INDEX($B$58:$AJ$87,MATCH($B110,$B$58:$B$87,0)+1,MATCH(E$105,$B$58:$AJ$58,0))</f>
        <v>1.9490996742788216E-2</v>
      </c>
      <c r="F110" s="47" cm="1">
        <f t="array" ref="F110" xml:space="preserve"> _xlfn.XLOOKUP(F$106,$K$20:$N$20,$K24:$N24) * INDEX($B$58:$AJ$87,MATCH($B110,$B$58:$B$87,0)+1,MATCH(F$105,$B$58:$AJ$58,0))</f>
        <v>1.9629418750481031E-2</v>
      </c>
      <c r="G110" s="47" cm="1">
        <f t="array" ref="G110" xml:space="preserve"> _xlfn.XLOOKUP(G$106,$K$20:$N$20,$K24:$N24) * INDEX($B$58:$AJ$87,MATCH($B110,$B$58:$B$87,0)+1,MATCH(G$105,$B$58:$AJ$58,0))</f>
        <v>1.9532114752909672E-2</v>
      </c>
      <c r="H110" s="47" cm="1">
        <f t="array" ref="H110" xml:space="preserve"> _xlfn.XLOOKUP(H$106,$K$20:$N$20,$K24:$N24) * INDEX($B$58:$AJ$87,MATCH($B110,$B$58:$B$87,0)+1,MATCH(H$105,$B$58:$AJ$58,0))</f>
        <v>1.9137302050214432E-2</v>
      </c>
      <c r="I110" s="47" cm="1">
        <f t="array" ref="I110" xml:space="preserve"> _xlfn.XLOOKUP(I$106,$K$20:$N$20,$K24:$N24) * INDEX($B$58:$AJ$87,MATCH($B110,$B$58:$B$87,0)+1,MATCH(I$105,$B$58:$AJ$58,0))</f>
        <v>1.9544816502058044E-2</v>
      </c>
      <c r="J110" s="47" cm="1">
        <f t="array" ref="J110" xml:space="preserve"> _xlfn.XLOOKUP(J$106,$K$20:$N$20,$K24:$N24) * INDEX($B$58:$AJ$87,MATCH($B110,$B$58:$B$87,0)+1,MATCH(J$105,$B$58:$AJ$58,0))</f>
        <v>1.9488717109986068E-2</v>
      </c>
      <c r="K110" s="47" cm="1">
        <f t="array" ref="K110" xml:space="preserve"> _xlfn.XLOOKUP(K$106,$K$20:$N$20,$K24:$N24) * INDEX($B$58:$AJ$87,MATCH($B110,$B$58:$B$87,0)+1,MATCH(K$105,$B$58:$AJ$58,0))</f>
        <v>1.6864970685899535E-2</v>
      </c>
      <c r="L110" s="47" cm="1">
        <f t="array" ref="L110" xml:space="preserve"> _xlfn.XLOOKUP(L$106,$K$20:$N$20,$K24:$N24) * INDEX($B$58:$AJ$87,MATCH($B110,$B$58:$B$87,0)+1,MATCH(L$105,$B$58:$AJ$58,0))</f>
        <v>1.5719385036926707E-2</v>
      </c>
      <c r="M110" s="47" cm="1">
        <f t="array" ref="M110" xml:space="preserve"> _xlfn.XLOOKUP(M$106,$K$20:$N$20,$K24:$N24) * INDEX($B$58:$AJ$87,MATCH($B110,$B$58:$B$87,0)+1,MATCH(M$105,$B$58:$AJ$58,0))</f>
        <v>1.6273166014472724E-2</v>
      </c>
      <c r="N110" s="47" cm="1">
        <f t="array" ref="N110" xml:space="preserve"> _xlfn.XLOOKUP(N$106,$K$20:$N$20,$K24:$N24) * INDEX($B$58:$AJ$87,MATCH($B110,$B$58:$B$87,0)+1,MATCH(N$105,$B$58:$AJ$58,0))</f>
        <v>1.6934193308092788E-2</v>
      </c>
      <c r="O110" s="47" cm="1">
        <f t="array" ref="O110" xml:space="preserve"> _xlfn.XLOOKUP(O$106,$K$20:$N$20,$K24:$N24) * INDEX($B$58:$AJ$87,MATCH($B110,$B$58:$B$87,0)+1,MATCH(O$105,$B$58:$AJ$58,0))</f>
        <v>1.5965076597387263E-2</v>
      </c>
      <c r="P110" s="47" cm="1">
        <f t="array" ref="P110" xml:space="preserve"> _xlfn.XLOOKUP(P$106,$K$20:$N$20,$K24:$N24) * INDEX($B$58:$AJ$87,MATCH($B110,$B$58:$B$87,0)+1,MATCH(P$105,$B$58:$AJ$58,0))</f>
        <v>1.7810688200370722E-2</v>
      </c>
      <c r="Q110" s="47" cm="1">
        <f t="array" ref="Q110" xml:space="preserve"> _xlfn.XLOOKUP(Q$106,$K$20:$N$20,$K24:$N24) * INDEX($B$58:$AJ$87,MATCH($B110,$B$58:$B$87,0)+1,MATCH(Q$105,$B$58:$AJ$58,0))</f>
        <v>1.92916623287024E-2</v>
      </c>
      <c r="R110" s="47" cm="1">
        <f t="array" ref="R110" xml:space="preserve"> _xlfn.XLOOKUP(R$106,$K$20:$N$20,$K24:$N24) * INDEX($B$58:$AJ$87,MATCH($B110,$B$58:$B$87,0)+1,MATCH(R$105,$B$58:$AJ$58,0))</f>
        <v>1.9274112931526647E-2</v>
      </c>
      <c r="S110" s="47" cm="1">
        <f t="array" ref="S110" xml:space="preserve"> _xlfn.XLOOKUP(S$106,$K$20:$N$20,$K24:$N24) * INDEX($B$58:$AJ$87,MATCH($B110,$B$58:$B$87,0)+1,MATCH(S$105,$B$58:$AJ$58,0))</f>
        <v>2.0181315741181292E-2</v>
      </c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40"/>
      <c r="AQ110" s="39"/>
      <c r="AR110" s="39"/>
      <c r="AS110" s="39"/>
      <c r="AT110" s="39"/>
    </row>
    <row r="111" spans="1:46" x14ac:dyDescent="0.35">
      <c r="A111" s="38"/>
      <c r="B111" s="58" t="s">
        <v>12</v>
      </c>
      <c r="E111" s="47" cm="1">
        <f t="array" ref="E111" xml:space="preserve"> _xlfn.XLOOKUP(E$106,$K$20:$N$20,$K25:$N25) * INDEX($B$58:$AJ$87,MATCH($B111,$B$58:$B$87,0)+1,MATCH(E$105,$B$58:$AJ$58,0))</f>
        <v>0.13605460340927705</v>
      </c>
      <c r="F111" s="47" cm="1">
        <f t="array" ref="F111" xml:space="preserve"> _xlfn.XLOOKUP(F$106,$K$20:$N$20,$K25:$N25) * INDEX($B$58:$AJ$87,MATCH($B111,$B$58:$B$87,0)+1,MATCH(F$105,$B$58:$AJ$58,0))</f>
        <v>0.13854398803036802</v>
      </c>
      <c r="G111" s="47" cm="1">
        <f t="array" ref="G111" xml:space="preserve"> _xlfn.XLOOKUP(G$106,$K$20:$N$20,$K25:$N25) * INDEX($B$58:$AJ$87,MATCH($B111,$B$58:$B$87,0)+1,MATCH(G$105,$B$58:$AJ$58,0))</f>
        <v>0.14133620612126011</v>
      </c>
      <c r="H111" s="47" cm="1">
        <f t="array" ref="H111" xml:space="preserve"> _xlfn.XLOOKUP(H$106,$K$20:$N$20,$K25:$N25) * INDEX($B$58:$AJ$87,MATCH($B111,$B$58:$B$87,0)+1,MATCH(H$105,$B$58:$AJ$58,0))</f>
        <v>0.1386167842279275</v>
      </c>
      <c r="I111" s="47" cm="1">
        <f t="array" ref="I111" xml:space="preserve"> _xlfn.XLOOKUP(I$106,$K$20:$N$20,$K25:$N25) * INDEX($B$58:$AJ$87,MATCH($B111,$B$58:$B$87,0)+1,MATCH(I$105,$B$58:$AJ$58,0))</f>
        <v>0.13817872743171283</v>
      </c>
      <c r="J111" s="47" cm="1">
        <f t="array" ref="J111" xml:space="preserve"> _xlfn.XLOOKUP(J$106,$K$20:$N$20,$K25:$N25) * INDEX($B$58:$AJ$87,MATCH($B111,$B$58:$B$87,0)+1,MATCH(J$105,$B$58:$AJ$58,0))</f>
        <v>0.13654794173491369</v>
      </c>
      <c r="K111" s="47" cm="1">
        <f t="array" ref="K111" xml:space="preserve"> _xlfn.XLOOKUP(K$106,$K$20:$N$20,$K25:$N25) * INDEX($B$58:$AJ$87,MATCH($B111,$B$58:$B$87,0)+1,MATCH(K$105,$B$58:$AJ$58,0))</f>
        <v>0.18052195211302743</v>
      </c>
      <c r="L111" s="47" cm="1">
        <f t="array" ref="L111" xml:space="preserve"> _xlfn.XLOOKUP(L$106,$K$20:$N$20,$K25:$N25) * INDEX($B$58:$AJ$87,MATCH($B111,$B$58:$B$87,0)+1,MATCH(L$105,$B$58:$AJ$58,0))</f>
        <v>0.1863667106300973</v>
      </c>
      <c r="M111" s="47" cm="1">
        <f t="array" ref="M111" xml:space="preserve"> _xlfn.XLOOKUP(M$106,$K$20:$N$20,$K25:$N25) * INDEX($B$58:$AJ$87,MATCH($B111,$B$58:$B$87,0)+1,MATCH(M$105,$B$58:$AJ$58,0))</f>
        <v>0.19513619193357579</v>
      </c>
      <c r="N111" s="47" cm="1">
        <f t="array" ref="N111" xml:space="preserve"> _xlfn.XLOOKUP(N$106,$K$20:$N$20,$K25:$N25) * INDEX($B$58:$AJ$87,MATCH($B111,$B$58:$B$87,0)+1,MATCH(N$105,$B$58:$AJ$58,0))</f>
        <v>0.19349572242196839</v>
      </c>
      <c r="O111" s="47" cm="1">
        <f t="array" ref="O111" xml:space="preserve"> _xlfn.XLOOKUP(O$106,$K$20:$N$20,$K25:$N25) * INDEX($B$58:$AJ$87,MATCH($B111,$B$58:$B$87,0)+1,MATCH(O$105,$B$58:$AJ$58,0))</f>
        <v>0.20057786365636496</v>
      </c>
      <c r="P111" s="47" cm="1">
        <f t="array" ref="P111" xml:space="preserve"> _xlfn.XLOOKUP(P$106,$K$20:$N$20,$K25:$N25) * INDEX($B$58:$AJ$87,MATCH($B111,$B$58:$B$87,0)+1,MATCH(P$105,$B$58:$AJ$58,0))</f>
        <v>0.198149968779186</v>
      </c>
      <c r="Q111" s="47" cm="1">
        <f t="array" ref="Q111" xml:space="preserve"> _xlfn.XLOOKUP(Q$106,$K$20:$N$20,$K25:$N25) * INDEX($B$58:$AJ$87,MATCH($B111,$B$58:$B$87,0)+1,MATCH(Q$105,$B$58:$AJ$58,0))</f>
        <v>0.19681884494691027</v>
      </c>
      <c r="R111" s="47" cm="1">
        <f t="array" ref="R111" xml:space="preserve"> _xlfn.XLOOKUP(R$106,$K$20:$N$20,$K25:$N25) * INDEX($B$58:$AJ$87,MATCH($B111,$B$58:$B$87,0)+1,MATCH(R$105,$B$58:$AJ$58,0))</f>
        <v>0.19514087898932325</v>
      </c>
      <c r="S111" s="47" cm="1">
        <f t="array" ref="S111" xml:space="preserve"> _xlfn.XLOOKUP(S$106,$K$20:$N$20,$K25:$N25) * INDEX($B$58:$AJ$87,MATCH($B111,$B$58:$B$87,0)+1,MATCH(S$105,$B$58:$AJ$58,0))</f>
        <v>0.30541533251427211</v>
      </c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</row>
    <row r="112" spans="1:46" x14ac:dyDescent="0.35">
      <c r="B112" s="58" t="s">
        <v>13</v>
      </c>
      <c r="E112" s="47" cm="1">
        <f t="array" ref="E112" xml:space="preserve"> _xlfn.XLOOKUP(E$106,$K$20:$N$20,$K26:$N26) * INDEX($B$58:$AJ$87,MATCH($B112,$B$58:$B$87,0)+1,MATCH(E$105,$B$58:$AJ$58,0))</f>
        <v>1.787180000064259E-2</v>
      </c>
      <c r="F112" s="47" cm="1">
        <f t="array" ref="F112" xml:space="preserve"> _xlfn.XLOOKUP(F$106,$K$20:$N$20,$K26:$N26) * INDEX($B$58:$AJ$87,MATCH($B112,$B$58:$B$87,0)+1,MATCH(F$105,$B$58:$AJ$58,0))</f>
        <v>1.841526701299397E-2</v>
      </c>
      <c r="G112" s="47" cm="1">
        <f t="array" ref="G112" xml:space="preserve"> _xlfn.XLOOKUP(G$106,$K$20:$N$20,$K26:$N26) * INDEX($B$58:$AJ$87,MATCH($B112,$B$58:$B$87,0)+1,MATCH(G$105,$B$58:$AJ$58,0))</f>
        <v>1.8859015621872081E-2</v>
      </c>
      <c r="H112" s="47" cm="1">
        <f t="array" ref="H112" xml:space="preserve"> _xlfn.XLOOKUP(H$106,$K$20:$N$20,$K26:$N26) * INDEX($B$58:$AJ$87,MATCH($B112,$B$58:$B$87,0)+1,MATCH(H$105,$B$58:$AJ$58,0))</f>
        <v>1.708618100242576E-2</v>
      </c>
      <c r="I112" s="47" cm="1">
        <f t="array" ref="I112" xml:space="preserve"> _xlfn.XLOOKUP(I$106,$K$20:$N$20,$K26:$N26) * INDEX($B$58:$AJ$87,MATCH($B112,$B$58:$B$87,0)+1,MATCH(I$105,$B$58:$AJ$58,0))</f>
        <v>1.9168630982318725E-2</v>
      </c>
      <c r="J112" s="47" cm="1">
        <f t="array" ref="J112" xml:space="preserve"> _xlfn.XLOOKUP(J$106,$K$20:$N$20,$K26:$N26) * INDEX($B$58:$AJ$87,MATCH($B112,$B$58:$B$87,0)+1,MATCH(J$105,$B$58:$AJ$58,0))</f>
        <v>1.7707705170433463E-2</v>
      </c>
      <c r="K112" s="47" cm="1">
        <f t="array" ref="K112" xml:space="preserve"> _xlfn.XLOOKUP(K$106,$K$20:$N$20,$K26:$N26) * INDEX($B$58:$AJ$87,MATCH($B112,$B$58:$B$87,0)+1,MATCH(K$105,$B$58:$AJ$58,0))</f>
        <v>7.0249223174519348E-3</v>
      </c>
      <c r="L112" s="47" cm="1">
        <f t="array" ref="L112" xml:space="preserve"> _xlfn.XLOOKUP(L$106,$K$20:$N$20,$K26:$N26) * INDEX($B$58:$AJ$87,MATCH($B112,$B$58:$B$87,0)+1,MATCH(L$105,$B$58:$AJ$58,0))</f>
        <v>6.960644692941601E-3</v>
      </c>
      <c r="M112" s="47" cm="1">
        <f t="array" ref="M112" xml:space="preserve"> _xlfn.XLOOKUP(M$106,$K$20:$N$20,$K26:$N26) * INDEX($B$58:$AJ$87,MATCH($B112,$B$58:$B$87,0)+1,MATCH(M$105,$B$58:$AJ$58,0))</f>
        <v>7.5339596341386086E-3</v>
      </c>
      <c r="N112" s="47" cm="1">
        <f t="array" ref="N112" xml:space="preserve"> _xlfn.XLOOKUP(N$106,$K$20:$N$20,$K26:$N26) * INDEX($B$58:$AJ$87,MATCH($B112,$B$58:$B$87,0)+1,MATCH(N$105,$B$58:$AJ$58,0))</f>
        <v>5.9477537389642484E-3</v>
      </c>
      <c r="O112" s="47" cm="1">
        <f t="array" ref="O112" xml:space="preserve"> _xlfn.XLOOKUP(O$106,$K$20:$N$20,$K26:$N26) * INDEX($B$58:$AJ$87,MATCH($B112,$B$58:$B$87,0)+1,MATCH(O$105,$B$58:$AJ$58,0))</f>
        <v>3.3953100043764887E-3</v>
      </c>
      <c r="P112" s="47" cm="1">
        <f t="array" ref="P112" xml:space="preserve"> _xlfn.XLOOKUP(P$106,$K$20:$N$20,$K26:$N26) * INDEX($B$58:$AJ$87,MATCH($B112,$B$58:$B$87,0)+1,MATCH(P$105,$B$58:$AJ$58,0))</f>
        <v>4.1593843473460984E-3</v>
      </c>
      <c r="Q112" s="47" cm="1">
        <f t="array" ref="Q112" xml:space="preserve"> _xlfn.XLOOKUP(Q$106,$K$20:$N$20,$K26:$N26) * INDEX($B$58:$AJ$87,MATCH($B112,$B$58:$B$87,0)+1,MATCH(Q$105,$B$58:$AJ$58,0))</f>
        <v>4.5004704516025456E-3</v>
      </c>
      <c r="R112" s="47" cm="1">
        <f t="array" ref="R112" xml:space="preserve"> _xlfn.XLOOKUP(R$106,$K$20:$N$20,$K26:$N26) * INDEX($B$58:$AJ$87,MATCH($B112,$B$58:$B$87,0)+1,MATCH(R$105,$B$58:$AJ$58,0))</f>
        <v>4.6310991723816104E-3</v>
      </c>
      <c r="S112" s="47" cm="1">
        <f t="array" ref="S112" xml:space="preserve"> _xlfn.XLOOKUP(S$106,$K$20:$N$20,$K26:$N26) * INDEX($B$58:$AJ$87,MATCH($B112,$B$58:$B$87,0)+1,MATCH(S$105,$B$58:$AJ$58,0))</f>
        <v>1.7273078367086397E-2</v>
      </c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</row>
    <row r="113" spans="1:46" x14ac:dyDescent="0.35">
      <c r="A113" s="38"/>
      <c r="B113" s="58" t="s">
        <v>14</v>
      </c>
      <c r="E113" s="47" cm="1">
        <f t="array" ref="E113" xml:space="preserve"> _xlfn.XLOOKUP(E$106,$K$20:$N$20,$K27:$N27) * INDEX($B$58:$AJ$87,MATCH($B113,$B$58:$B$87,0)+1,MATCH(E$105,$B$58:$AJ$58,0))</f>
        <v>9.5391974715739094E-3</v>
      </c>
      <c r="F113" s="47" cm="1">
        <f t="array" ref="F113" xml:space="preserve"> _xlfn.XLOOKUP(F$106,$K$20:$N$20,$K27:$N27) * INDEX($B$58:$AJ$87,MATCH($B113,$B$58:$B$87,0)+1,MATCH(F$105,$B$58:$AJ$58,0))</f>
        <v>9.2741871914785549E-3</v>
      </c>
      <c r="G113" s="47" cm="1">
        <f t="array" ref="G113" xml:space="preserve"> _xlfn.XLOOKUP(G$106,$K$20:$N$20,$K27:$N27) * INDEX($B$58:$AJ$87,MATCH($B113,$B$58:$B$87,0)+1,MATCH(G$105,$B$58:$AJ$58,0))</f>
        <v>9.1157311163486705E-3</v>
      </c>
      <c r="H113" s="47" cm="1">
        <f t="array" ref="H113" xml:space="preserve"> _xlfn.XLOOKUP(H$106,$K$20:$N$20,$K27:$N27) * INDEX($B$58:$AJ$87,MATCH($B113,$B$58:$B$87,0)+1,MATCH(H$105,$B$58:$AJ$58,0))</f>
        <v>9.157514452252484E-3</v>
      </c>
      <c r="I113" s="47" cm="1">
        <f t="array" ref="I113" xml:space="preserve"> _xlfn.XLOOKUP(I$106,$K$20:$N$20,$K27:$N27) * INDEX($B$58:$AJ$87,MATCH($B113,$B$58:$B$87,0)+1,MATCH(I$105,$B$58:$AJ$58,0))</f>
        <v>9.3617885388933494E-3</v>
      </c>
      <c r="J113" s="47" cm="1">
        <f t="array" ref="J113" xml:space="preserve"> _xlfn.XLOOKUP(J$106,$K$20:$N$20,$K27:$N27) * INDEX($B$58:$AJ$87,MATCH($B113,$B$58:$B$87,0)+1,MATCH(J$105,$B$58:$AJ$58,0))</f>
        <v>9.4105357641144655E-3</v>
      </c>
      <c r="K113" s="47" cm="1">
        <f t="array" ref="K113" xml:space="preserve"> _xlfn.XLOOKUP(K$106,$K$20:$N$20,$K27:$N27) * INDEX($B$58:$AJ$87,MATCH($B113,$B$58:$B$87,0)+1,MATCH(K$105,$B$58:$AJ$58,0))</f>
        <v>1.035620308824157E-2</v>
      </c>
      <c r="L113" s="47" cm="1">
        <f t="array" ref="L113" xml:space="preserve"> _xlfn.XLOOKUP(L$106,$K$20:$N$20,$K27:$N27) * INDEX($B$58:$AJ$87,MATCH($B113,$B$58:$B$87,0)+1,MATCH(L$105,$B$58:$AJ$58,0))</f>
        <v>1.0175197660872333E-2</v>
      </c>
      <c r="M113" s="47" cm="1">
        <f t="array" ref="M113" xml:space="preserve"> _xlfn.XLOOKUP(M$106,$K$20:$N$20,$K27:$N27) * INDEX($B$58:$AJ$87,MATCH($B113,$B$58:$B$87,0)+1,MATCH(M$105,$B$58:$AJ$58,0))</f>
        <v>9.6486364176163689E-3</v>
      </c>
      <c r="N113" s="47" cm="1">
        <f t="array" ref="N113" xml:space="preserve"> _xlfn.XLOOKUP(N$106,$K$20:$N$20,$K27:$N27) * INDEX($B$58:$AJ$87,MATCH($B113,$B$58:$B$87,0)+1,MATCH(N$105,$B$58:$AJ$58,0))</f>
        <v>1.0121344806448428E-2</v>
      </c>
      <c r="O113" s="47" cm="1">
        <f t="array" ref="O113" xml:space="preserve"> _xlfn.XLOOKUP(O$106,$K$20:$N$20,$K27:$N27) * INDEX($B$58:$AJ$87,MATCH($B113,$B$58:$B$87,0)+1,MATCH(O$105,$B$58:$AJ$58,0))</f>
        <v>1.0045053262681227E-2</v>
      </c>
      <c r="P113" s="47" cm="1">
        <f t="array" ref="P113" xml:space="preserve"> _xlfn.XLOOKUP(P$106,$K$20:$N$20,$K27:$N27) * INDEX($B$58:$AJ$87,MATCH($B113,$B$58:$B$87,0)+1,MATCH(P$105,$B$58:$AJ$58,0))</f>
        <v>1.0074971515138953E-2</v>
      </c>
      <c r="Q113" s="47" cm="1">
        <f t="array" ref="Q113" xml:space="preserve"> _xlfn.XLOOKUP(Q$106,$K$20:$N$20,$K27:$N27) * INDEX($B$58:$AJ$87,MATCH($B113,$B$58:$B$87,0)+1,MATCH(Q$105,$B$58:$AJ$58,0))</f>
        <v>1.0170709923003673E-2</v>
      </c>
      <c r="R113" s="47" cm="1">
        <f t="array" ref="R113" xml:space="preserve"> _xlfn.XLOOKUP(R$106,$K$20:$N$20,$K27:$N27) * INDEX($B$58:$AJ$87,MATCH($B113,$B$58:$B$87,0)+1,MATCH(R$105,$B$58:$AJ$58,0))</f>
        <v>1.107573705984986E-2</v>
      </c>
      <c r="S113" s="47" cm="1">
        <f t="array" ref="S113" xml:space="preserve"> _xlfn.XLOOKUP(S$106,$K$20:$N$20,$K27:$N27) * INDEX($B$58:$AJ$87,MATCH($B113,$B$58:$B$87,0)+1,MATCH(S$105,$B$58:$AJ$58,0))</f>
        <v>5.8613455625899291E-3</v>
      </c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40"/>
      <c r="AR113" s="39"/>
      <c r="AS113" s="39"/>
      <c r="AT113" s="39"/>
    </row>
    <row r="114" spans="1:46" x14ac:dyDescent="0.35">
      <c r="B114" s="59" t="s">
        <v>15</v>
      </c>
      <c r="C114" s="5"/>
      <c r="D114" s="5"/>
      <c r="E114" s="68" cm="1">
        <f t="array" ref="E114" xml:space="preserve"> _xlfn.XLOOKUP(E$106,$K$20:$N$20,$K28:$N28) * INDEX($B$58:$AJ$87,MATCH($B114,$B$58:$B$87,0)+1,MATCH(E$105,$B$58:$AJ$58,0))</f>
        <v>2.8849322678676508E-2</v>
      </c>
      <c r="F114" s="68" cm="1">
        <f t="array" ref="F114" xml:space="preserve"> _xlfn.XLOOKUP(F$106,$K$20:$N$20,$K28:$N28) * INDEX($B$58:$AJ$87,MATCH($B114,$B$58:$B$87,0)+1,MATCH(F$105,$B$58:$AJ$58,0))</f>
        <v>2.8658777884159849E-2</v>
      </c>
      <c r="G114" s="68" cm="1">
        <f t="array" ref="G114" xml:space="preserve"> _xlfn.XLOOKUP(G$106,$K$20:$N$20,$K28:$N28) * INDEX($B$58:$AJ$87,MATCH($B114,$B$58:$B$87,0)+1,MATCH(G$105,$B$58:$AJ$58,0))</f>
        <v>2.7735324852711792E-2</v>
      </c>
      <c r="H114" s="68" cm="1">
        <f t="array" ref="H114" xml:space="preserve"> _xlfn.XLOOKUP(H$106,$K$20:$N$20,$K28:$N28) * INDEX($B$58:$AJ$87,MATCH($B114,$B$58:$B$87,0)+1,MATCH(H$105,$B$58:$AJ$58,0))</f>
        <v>3.0483961647682759E-2</v>
      </c>
      <c r="I114" s="68" cm="1">
        <f t="array" ref="I114" xml:space="preserve"> _xlfn.XLOOKUP(I$106,$K$20:$N$20,$K28:$N28) * INDEX($B$58:$AJ$87,MATCH($B114,$B$58:$B$87,0)+1,MATCH(I$105,$B$58:$AJ$58,0))</f>
        <v>2.8059159558898775E-2</v>
      </c>
      <c r="J114" s="68" cm="1">
        <f t="array" ref="J114" xml:space="preserve"> _xlfn.XLOOKUP(J$106,$K$20:$N$20,$K28:$N28) * INDEX($B$58:$AJ$87,MATCH($B114,$B$58:$B$87,0)+1,MATCH(J$105,$B$58:$AJ$58,0))</f>
        <v>2.5404063618577513E-2</v>
      </c>
      <c r="K114" s="68" cm="1">
        <f t="array" ref="K114" xml:space="preserve"> _xlfn.XLOOKUP(K$106,$K$20:$N$20,$K28:$N28) * INDEX($B$58:$AJ$87,MATCH($B114,$B$58:$B$87,0)+1,MATCH(K$105,$B$58:$AJ$58,0))</f>
        <v>2.2834115332176767E-2</v>
      </c>
      <c r="L114" s="68" cm="1">
        <f t="array" ref="L114" xml:space="preserve"> _xlfn.XLOOKUP(L$106,$K$20:$N$20,$K28:$N28) * INDEX($B$58:$AJ$87,MATCH($B114,$B$58:$B$87,0)+1,MATCH(L$105,$B$58:$AJ$58,0))</f>
        <v>2.3997701949368434E-2</v>
      </c>
      <c r="M114" s="68" cm="1">
        <f t="array" ref="M114" xml:space="preserve"> _xlfn.XLOOKUP(M$106,$K$20:$N$20,$K28:$N28) * INDEX($B$58:$AJ$87,MATCH($B114,$B$58:$B$87,0)+1,MATCH(M$105,$B$58:$AJ$58,0))</f>
        <v>2.3644738910226622E-2</v>
      </c>
      <c r="N114" s="68" cm="1">
        <f t="array" ref="N114" xml:space="preserve"> _xlfn.XLOOKUP(N$106,$K$20:$N$20,$K28:$N28) * INDEX($B$58:$AJ$87,MATCH($B114,$B$58:$B$87,0)+1,MATCH(N$105,$B$58:$AJ$58,0))</f>
        <v>2.1433018709982401E-2</v>
      </c>
      <c r="O114" s="68" cm="1">
        <f t="array" ref="O114" xml:space="preserve"> _xlfn.XLOOKUP(O$106,$K$20:$N$20,$K28:$N28) * INDEX($B$58:$AJ$87,MATCH($B114,$B$58:$B$87,0)+1,MATCH(O$105,$B$58:$AJ$58,0))</f>
        <v>1.8011484335475256E-2</v>
      </c>
      <c r="P114" s="68" cm="1">
        <f t="array" ref="P114" xml:space="preserve"> _xlfn.XLOOKUP(P$106,$K$20:$N$20,$K28:$N28) * INDEX($B$58:$AJ$87,MATCH($B114,$B$58:$B$87,0)+1,MATCH(P$105,$B$58:$AJ$58,0))</f>
        <v>1.9060641335622536E-2</v>
      </c>
      <c r="Q114" s="68" cm="1">
        <f t="array" ref="Q114" xml:space="preserve"> _xlfn.XLOOKUP(Q$106,$K$20:$N$20,$K28:$N28) * INDEX($B$58:$AJ$87,MATCH($B114,$B$58:$B$87,0)+1,MATCH(Q$105,$B$58:$AJ$58,0))</f>
        <v>1.7436690813612227E-2</v>
      </c>
      <c r="R114" s="68" cm="1">
        <f t="array" ref="R114" xml:space="preserve"> _xlfn.XLOOKUP(R$106,$K$20:$N$20,$K28:$N28) * INDEX($B$58:$AJ$87,MATCH($B114,$B$58:$B$87,0)+1,MATCH(R$105,$B$58:$AJ$58,0))</f>
        <v>1.7221773223719542E-2</v>
      </c>
      <c r="S114" s="68" cm="1">
        <f t="array" ref="S114" xml:space="preserve"> _xlfn.XLOOKUP(S$106,$K$20:$N$20,$K28:$N28) * INDEX($B$58:$AJ$87,MATCH($B114,$B$58:$B$87,0)+1,MATCH(S$105,$B$58:$AJ$58,0))</f>
        <v>1.3075024977190352E-2</v>
      </c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40"/>
      <c r="AR114" s="39"/>
      <c r="AS114" s="39"/>
      <c r="AT114" s="39"/>
    </row>
    <row r="117" spans="1:46" x14ac:dyDescent="0.35">
      <c r="B117" s="74" t="str">
        <f>Q30</f>
        <v xml:space="preserve">Gestion des fumiers et lisiers (kt N2O) </v>
      </c>
    </row>
    <row r="118" spans="1:46" x14ac:dyDescent="0.35">
      <c r="B118" s="79" t="s">
        <v>38</v>
      </c>
      <c r="C118" s="55"/>
      <c r="D118" s="55"/>
      <c r="E118" s="56">
        <v>2023</v>
      </c>
      <c r="F118" s="56">
        <v>2022</v>
      </c>
      <c r="G118" s="56">
        <v>2021</v>
      </c>
      <c r="H118" s="56">
        <v>2020</v>
      </c>
      <c r="I118" s="56">
        <v>2019</v>
      </c>
      <c r="J118" s="56">
        <v>2018</v>
      </c>
      <c r="K118" s="56">
        <v>2017</v>
      </c>
      <c r="L118" s="56">
        <v>2016</v>
      </c>
      <c r="M118" s="56">
        <v>2015</v>
      </c>
      <c r="N118" s="56">
        <v>2014</v>
      </c>
      <c r="O118" s="56">
        <v>2013</v>
      </c>
      <c r="P118" s="56">
        <v>2012</v>
      </c>
      <c r="Q118" s="56">
        <v>2011</v>
      </c>
      <c r="R118" s="56">
        <v>2010</v>
      </c>
      <c r="S118" s="57">
        <v>1990</v>
      </c>
      <c r="W118" t="s">
        <v>408</v>
      </c>
    </row>
    <row r="119" spans="1:46" x14ac:dyDescent="0.35">
      <c r="B119" s="60" t="s">
        <v>39</v>
      </c>
      <c r="C119" s="61"/>
      <c r="D119" s="61"/>
      <c r="E119" s="61">
        <v>2023</v>
      </c>
      <c r="F119" s="61">
        <v>2023</v>
      </c>
      <c r="G119" s="61">
        <v>2019</v>
      </c>
      <c r="H119" s="61">
        <v>2019</v>
      </c>
      <c r="I119" s="61">
        <v>2019</v>
      </c>
      <c r="J119" s="61">
        <v>2019</v>
      </c>
      <c r="K119" s="62">
        <v>2015</v>
      </c>
      <c r="L119" s="62">
        <v>2015</v>
      </c>
      <c r="M119" s="62">
        <v>2015</v>
      </c>
      <c r="N119" s="63">
        <v>2015</v>
      </c>
      <c r="O119" s="63">
        <v>2015</v>
      </c>
      <c r="P119" s="63">
        <v>2015</v>
      </c>
      <c r="Q119" s="63">
        <v>2015</v>
      </c>
      <c r="R119" s="63">
        <v>2015</v>
      </c>
      <c r="S119" s="64">
        <v>1990</v>
      </c>
    </row>
    <row r="120" spans="1:46" x14ac:dyDescent="0.35">
      <c r="B120" s="58" t="s">
        <v>814</v>
      </c>
      <c r="E120" s="47" cm="1">
        <f t="array" ref="E120" xml:space="preserve"> _xlfn.XLOOKUP(E$106,$K$30:$N$30,$K31:$N31) * INDEX($B$58:$AJ$87,MATCH($B120,$B$58:$B$87,0)+1,MATCH(E$119,$B$58:$AJ$58,0))</f>
        <v>1.0625663591695729E-2</v>
      </c>
      <c r="F120" s="47" cm="1">
        <f t="array" ref="F120" xml:space="preserve"> _xlfn.XLOOKUP(F$106,$K$30:$N$30,$K31:$N31) * INDEX($B$58:$AJ$87,MATCH($B120,$B$58:$B$87,0)+1,MATCH(F$119,$B$58:$AJ$58,0))</f>
        <v>1.0625663591695729E-2</v>
      </c>
      <c r="G120" s="47" cm="1">
        <f t="array" ref="G120" xml:space="preserve"> _xlfn.XLOOKUP(G$106,$K$30:$N$30,$K31:$N31) * INDEX($B$58:$AJ$87,MATCH($B120,$B$58:$B$87,0)+1,MATCH(G$119,$B$58:$AJ$58,0))</f>
        <v>1.1082995136485087E-2</v>
      </c>
      <c r="H120" s="47" cm="1">
        <f t="array" ref="H120" xml:space="preserve"> _xlfn.XLOOKUP(H$106,$K$30:$N$30,$K31:$N31) * INDEX($B$58:$AJ$87,MATCH($B120,$B$58:$B$87,0)+1,MATCH(H$119,$B$58:$AJ$58,0))</f>
        <v>1.1082995136485087E-2</v>
      </c>
      <c r="I120" s="47" cm="1">
        <f t="array" ref="I120" xml:space="preserve"> _xlfn.XLOOKUP(I$106,$K$30:$N$30,$K31:$N31) * INDEX($B$58:$AJ$87,MATCH($B120,$B$58:$B$87,0)+1,MATCH(I$119,$B$58:$AJ$58,0))</f>
        <v>1.1082995136485087E-2</v>
      </c>
      <c r="J120" s="47" cm="1">
        <f t="array" ref="J120" xml:space="preserve"> _xlfn.XLOOKUP(J$106,$K$30:$N$30,$K31:$N31) * INDEX($B$58:$AJ$87,MATCH($B120,$B$58:$B$87,0)+1,MATCH(J$119,$B$58:$AJ$58,0))</f>
        <v>1.1082995136485087E-2</v>
      </c>
      <c r="K120" s="47" cm="1">
        <f t="array" ref="K120" xml:space="preserve"> _xlfn.XLOOKUP(K$106,$K$30:$N$30,$K31:$N31) * INDEX($B$58:$AJ$87,MATCH($B120,$B$58:$B$87,0)+1,MATCH(K$119,$B$58:$AJ$58,0))</f>
        <v>1.224558414885136E-2</v>
      </c>
      <c r="L120" s="47" cm="1">
        <f t="array" ref="L120" xml:space="preserve"> _xlfn.XLOOKUP(L$106,$K$30:$N$30,$K31:$N31) * INDEX($B$58:$AJ$87,MATCH($B120,$B$58:$B$87,0)+1,MATCH(L$119,$B$58:$AJ$58,0))</f>
        <v>1.224558414885136E-2</v>
      </c>
      <c r="M120" s="47" cm="1">
        <f t="array" ref="M120" xml:space="preserve"> _xlfn.XLOOKUP(M$106,$K$30:$N$30,$K31:$N31) * INDEX($B$58:$AJ$87,MATCH($B120,$B$58:$B$87,0)+1,MATCH(M$119,$B$58:$AJ$58,0))</f>
        <v>1.224558414885136E-2</v>
      </c>
      <c r="N120" s="47" cm="1">
        <f t="array" ref="N120" xml:space="preserve"> _xlfn.XLOOKUP(N$106,$K$30:$N$30,$K31:$N31) * INDEX($B$58:$AJ$87,MATCH($B120,$B$58:$B$87,0)+1,MATCH(N$119,$B$58:$AJ$58,0))</f>
        <v>1.224558414885136E-2</v>
      </c>
      <c r="O120" s="47" cm="1">
        <f t="array" ref="O120" xml:space="preserve"> _xlfn.XLOOKUP(O$106,$K$30:$N$30,$K31:$N31) * INDEX($B$58:$AJ$87,MATCH($B120,$B$58:$B$87,0)+1,MATCH(O$119,$B$58:$AJ$58,0))</f>
        <v>1.224558414885136E-2</v>
      </c>
      <c r="P120" s="47" cm="1">
        <f t="array" ref="P120" xml:space="preserve"> _xlfn.XLOOKUP(P$106,$K$30:$N$30,$K31:$N31) * INDEX($B$58:$AJ$87,MATCH($B120,$B$58:$B$87,0)+1,MATCH(P$119,$B$58:$AJ$58,0))</f>
        <v>1.224558414885136E-2</v>
      </c>
      <c r="Q120" s="47" cm="1">
        <f t="array" ref="Q120" xml:space="preserve"> _xlfn.XLOOKUP(Q$106,$K$30:$N$30,$K31:$N31) * INDEX($B$58:$AJ$87,MATCH($B120,$B$58:$B$87,0)+1,MATCH(Q$119,$B$58:$AJ$58,0))</f>
        <v>1.224558414885136E-2</v>
      </c>
      <c r="R120" s="47" cm="1">
        <f t="array" ref="R120" xml:space="preserve"> _xlfn.XLOOKUP(R$106,$K$30:$N$30,$K31:$N31) * INDEX($B$58:$AJ$87,MATCH($B120,$B$58:$B$87,0)+1,MATCH(R$119,$B$58:$AJ$58,0))</f>
        <v>1.224558414885136E-2</v>
      </c>
      <c r="S120" s="47" cm="1">
        <f t="array" ref="S120" xml:space="preserve"> _xlfn.XLOOKUP(S$106,$K$30:$N$30,$K31:$N31) * INDEX($B$58:$AJ$87,MATCH($B120,$B$58:$B$87,0)+1,MATCH(S$119,$B$58:$AJ$58,0))</f>
        <v>2.1663748956794734E-2</v>
      </c>
      <c r="W120" s="79" t="s">
        <v>38</v>
      </c>
      <c r="X120" s="56">
        <v>1990</v>
      </c>
      <c r="Y120" s="55"/>
      <c r="Z120" s="56">
        <v>2015</v>
      </c>
      <c r="AA120" s="56">
        <v>2016</v>
      </c>
      <c r="AB120" s="56">
        <v>2017</v>
      </c>
      <c r="AC120" s="56">
        <v>2018</v>
      </c>
      <c r="AD120" s="56">
        <v>2019</v>
      </c>
      <c r="AE120" s="56">
        <v>2020</v>
      </c>
      <c r="AF120" s="56">
        <v>2021</v>
      </c>
      <c r="AG120" s="56">
        <v>2022</v>
      </c>
      <c r="AH120" s="386">
        <v>2023</v>
      </c>
    </row>
    <row r="121" spans="1:46" x14ac:dyDescent="0.35">
      <c r="B121" s="58" t="s">
        <v>9</v>
      </c>
      <c r="E121" s="47" cm="1">
        <f t="array" ref="E121" xml:space="preserve"> _xlfn.XLOOKUP(E$106,$K$30:$N$30,$K32:$N32) * INDEX($B$58:$AJ$87,MATCH($B121,$B$58:$B$87,0)+1,MATCH(E$119,$B$58:$AJ$58,0))</f>
        <v>2.8378475636897712E-3</v>
      </c>
      <c r="F121" s="47" cm="1">
        <f t="array" ref="F121" xml:space="preserve"> _xlfn.XLOOKUP(F$106,$K$30:$N$30,$K32:$N32) * INDEX($B$58:$AJ$87,MATCH($B121,$B$58:$B$87,0)+1,MATCH(F$119,$B$58:$AJ$58,0))</f>
        <v>2.8378475636897712E-3</v>
      </c>
      <c r="G121" s="47" cm="1">
        <f t="array" ref="G121" xml:space="preserve"> _xlfn.XLOOKUP(G$106,$K$30:$N$30,$K32:$N32) * INDEX($B$58:$AJ$87,MATCH($B121,$B$58:$B$87,0)+1,MATCH(G$119,$B$58:$AJ$58,0))</f>
        <v>2.5751001499861484E-3</v>
      </c>
      <c r="H121" s="47" cm="1">
        <f t="array" ref="H121" xml:space="preserve"> _xlfn.XLOOKUP(H$106,$K$30:$N$30,$K32:$N32) * INDEX($B$58:$AJ$87,MATCH($B121,$B$58:$B$87,0)+1,MATCH(H$119,$B$58:$AJ$58,0))</f>
        <v>2.5751001499861484E-3</v>
      </c>
      <c r="I121" s="47" cm="1">
        <f t="array" ref="I121" xml:space="preserve"> _xlfn.XLOOKUP(I$106,$K$30:$N$30,$K32:$N32) * INDEX($B$58:$AJ$87,MATCH($B121,$B$58:$B$87,0)+1,MATCH(I$119,$B$58:$AJ$58,0))</f>
        <v>2.5751001499861484E-3</v>
      </c>
      <c r="J121" s="47" cm="1">
        <f t="array" ref="J121" xml:space="preserve"> _xlfn.XLOOKUP(J$106,$K$30:$N$30,$K32:$N32) * INDEX($B$58:$AJ$87,MATCH($B121,$B$58:$B$87,0)+1,MATCH(J$119,$B$58:$AJ$58,0))</f>
        <v>2.5751001499861484E-3</v>
      </c>
      <c r="K121" s="47" cm="1">
        <f t="array" ref="K121" xml:space="preserve"> _xlfn.XLOOKUP(K$106,$K$30:$N$30,$K32:$N32) * INDEX($B$58:$AJ$87,MATCH($B121,$B$58:$B$87,0)+1,MATCH(K$119,$B$58:$AJ$58,0))</f>
        <v>2.4827978102037658E-3</v>
      </c>
      <c r="L121" s="47" cm="1">
        <f t="array" ref="L121" xml:space="preserve"> _xlfn.XLOOKUP(L$106,$K$30:$N$30,$K32:$N32) * INDEX($B$58:$AJ$87,MATCH($B121,$B$58:$B$87,0)+1,MATCH(L$119,$B$58:$AJ$58,0))</f>
        <v>2.4827978102037658E-3</v>
      </c>
      <c r="M121" s="47" cm="1">
        <f t="array" ref="M121" xml:space="preserve"> _xlfn.XLOOKUP(M$106,$K$30:$N$30,$K32:$N32) * INDEX($B$58:$AJ$87,MATCH($B121,$B$58:$B$87,0)+1,MATCH(M$119,$B$58:$AJ$58,0))</f>
        <v>2.4827978102037658E-3</v>
      </c>
      <c r="N121" s="47" cm="1">
        <f t="array" ref="N121" xml:space="preserve"> _xlfn.XLOOKUP(N$106,$K$30:$N$30,$K32:$N32) * INDEX($B$58:$AJ$87,MATCH($B121,$B$58:$B$87,0)+1,MATCH(N$119,$B$58:$AJ$58,0))</f>
        <v>2.4827978102037658E-3</v>
      </c>
      <c r="O121" s="47" cm="1">
        <f t="array" ref="O121" xml:space="preserve"> _xlfn.XLOOKUP(O$106,$K$30:$N$30,$K32:$N32) * INDEX($B$58:$AJ$87,MATCH($B121,$B$58:$B$87,0)+1,MATCH(O$119,$B$58:$AJ$58,0))</f>
        <v>2.4827978102037658E-3</v>
      </c>
      <c r="P121" s="47" cm="1">
        <f t="array" ref="P121" xml:space="preserve"> _xlfn.XLOOKUP(P$106,$K$30:$N$30,$K32:$N32) * INDEX($B$58:$AJ$87,MATCH($B121,$B$58:$B$87,0)+1,MATCH(P$119,$B$58:$AJ$58,0))</f>
        <v>2.4827978102037658E-3</v>
      </c>
      <c r="Q121" s="47" cm="1">
        <f t="array" ref="Q121" xml:space="preserve"> _xlfn.XLOOKUP(Q$106,$K$30:$N$30,$K32:$N32) * INDEX($B$58:$AJ$87,MATCH($B121,$B$58:$B$87,0)+1,MATCH(Q$119,$B$58:$AJ$58,0))</f>
        <v>2.4827978102037658E-3</v>
      </c>
      <c r="R121" s="47" cm="1">
        <f t="array" ref="R121" xml:space="preserve"> _xlfn.XLOOKUP(R$106,$K$30:$N$30,$K32:$N32) * INDEX($B$58:$AJ$87,MATCH($B121,$B$58:$B$87,0)+1,MATCH(R$119,$B$58:$AJ$58,0))</f>
        <v>2.4827978102037658E-3</v>
      </c>
      <c r="S121" s="47" cm="1">
        <f t="array" ref="S121" xml:space="preserve"> _xlfn.XLOOKUP(S$106,$K$30:$N$30,$K32:$N32) * INDEX($B$58:$AJ$87,MATCH($B121,$B$58:$B$87,0)+1,MATCH(S$119,$B$58:$AJ$58,0))</f>
        <v>3.3201546679199835E-4</v>
      </c>
      <c r="W121" s="385" t="s">
        <v>36</v>
      </c>
      <c r="X121" s="48">
        <f>_xlfn.XLOOKUP(X120,$D$132:$T$132,$D$133:$T$133)/1000</f>
        <v>280.43966043533192</v>
      </c>
      <c r="Y121" s="48"/>
      <c r="Z121" s="48">
        <f t="shared" ref="Z121:AH121" si="16">_xlfn.XLOOKUP(Z120,$D$132:$T$132,$D$133:$T$133)/1000</f>
        <v>248.55078733421723</v>
      </c>
      <c r="AA121" s="48">
        <f t="shared" si="16"/>
        <v>246.12533818862704</v>
      </c>
      <c r="AB121" s="48">
        <f t="shared" si="16"/>
        <v>243.5561730035611</v>
      </c>
      <c r="AC121" s="48">
        <f t="shared" si="16"/>
        <v>246.34952557345147</v>
      </c>
      <c r="AD121" s="48">
        <f t="shared" si="16"/>
        <v>244.13247059026838</v>
      </c>
      <c r="AE121" s="48">
        <f t="shared" si="16"/>
        <v>242.2092448920676</v>
      </c>
      <c r="AF121" s="48">
        <f t="shared" si="16"/>
        <v>244.94073403170739</v>
      </c>
      <c r="AG121" s="48">
        <f t="shared" si="16"/>
        <v>249.57191751592552</v>
      </c>
      <c r="AH121" s="48">
        <f t="shared" si="16"/>
        <v>248.19925231204016</v>
      </c>
    </row>
    <row r="122" spans="1:46" x14ac:dyDescent="0.35">
      <c r="B122" s="58" t="s">
        <v>10</v>
      </c>
      <c r="E122" s="47" cm="1">
        <f t="array" ref="E122" xml:space="preserve"> _xlfn.XLOOKUP(E$106,$K$30:$N$30,$K33:$N33) * INDEX($B$58:$AJ$87,MATCH($B122,$B$58:$B$87,0)+1,MATCH(E$119,$B$58:$AJ$58,0))</f>
        <v>6.7232899245787655E-3</v>
      </c>
      <c r="F122" s="47" cm="1">
        <f t="array" ref="F122" xml:space="preserve"> _xlfn.XLOOKUP(F$106,$K$30:$N$30,$K33:$N33) * INDEX($B$58:$AJ$87,MATCH($B122,$B$58:$B$87,0)+1,MATCH(F$119,$B$58:$AJ$58,0))</f>
        <v>6.7232899245787655E-3</v>
      </c>
      <c r="G122" s="47" cm="1">
        <f t="array" ref="G122" xml:space="preserve"> _xlfn.XLOOKUP(G$106,$K$30:$N$30,$K33:$N33) * INDEX($B$58:$AJ$87,MATCH($B122,$B$58:$B$87,0)+1,MATCH(G$119,$B$58:$AJ$58,0))</f>
        <v>6.7025509186829542E-3</v>
      </c>
      <c r="H122" s="47" cm="1">
        <f t="array" ref="H122" xml:space="preserve"> _xlfn.XLOOKUP(H$106,$K$30:$N$30,$K33:$N33) * INDEX($B$58:$AJ$87,MATCH($B122,$B$58:$B$87,0)+1,MATCH(H$119,$B$58:$AJ$58,0))</f>
        <v>6.7025509186829542E-3</v>
      </c>
      <c r="I122" s="47" cm="1">
        <f t="array" ref="I122" xml:space="preserve"> _xlfn.XLOOKUP(I$106,$K$30:$N$30,$K33:$N33) * INDEX($B$58:$AJ$87,MATCH($B122,$B$58:$B$87,0)+1,MATCH(I$119,$B$58:$AJ$58,0))</f>
        <v>6.7025509186829542E-3</v>
      </c>
      <c r="J122" s="47" cm="1">
        <f t="array" ref="J122" xml:space="preserve"> _xlfn.XLOOKUP(J$106,$K$30:$N$30,$K33:$N33) * INDEX($B$58:$AJ$87,MATCH($B122,$B$58:$B$87,0)+1,MATCH(J$119,$B$58:$AJ$58,0))</f>
        <v>6.7025509186829542E-3</v>
      </c>
      <c r="K122" s="47" cm="1">
        <f t="array" ref="K122" xml:space="preserve"> _xlfn.XLOOKUP(K$106,$K$30:$N$30,$K33:$N33) * INDEX($B$58:$AJ$87,MATCH($B122,$B$58:$B$87,0)+1,MATCH(K$119,$B$58:$AJ$58,0))</f>
        <v>7.1560177621720735E-3</v>
      </c>
      <c r="L122" s="47" cm="1">
        <f t="array" ref="L122" xml:space="preserve"> _xlfn.XLOOKUP(L$106,$K$30:$N$30,$K33:$N33) * INDEX($B$58:$AJ$87,MATCH($B122,$B$58:$B$87,0)+1,MATCH(L$119,$B$58:$AJ$58,0))</f>
        <v>7.1560177621720735E-3</v>
      </c>
      <c r="M122" s="47" cm="1">
        <f t="array" ref="M122" xml:space="preserve"> _xlfn.XLOOKUP(M$106,$K$30:$N$30,$K33:$N33) * INDEX($B$58:$AJ$87,MATCH($B122,$B$58:$B$87,0)+1,MATCH(M$119,$B$58:$AJ$58,0))</f>
        <v>7.1560177621720735E-3</v>
      </c>
      <c r="N122" s="47" cm="1">
        <f t="array" ref="N122" xml:space="preserve"> _xlfn.XLOOKUP(N$106,$K$30:$N$30,$K33:$N33) * INDEX($B$58:$AJ$87,MATCH($B122,$B$58:$B$87,0)+1,MATCH(N$119,$B$58:$AJ$58,0))</f>
        <v>7.1560177621720735E-3</v>
      </c>
      <c r="O122" s="47" cm="1">
        <f t="array" ref="O122" xml:space="preserve"> _xlfn.XLOOKUP(O$106,$K$30:$N$30,$K33:$N33) * INDEX($B$58:$AJ$87,MATCH($B122,$B$58:$B$87,0)+1,MATCH(O$119,$B$58:$AJ$58,0))</f>
        <v>7.1560177621720735E-3</v>
      </c>
      <c r="P122" s="47" cm="1">
        <f t="array" ref="P122" xml:space="preserve"> _xlfn.XLOOKUP(P$106,$K$30:$N$30,$K33:$N33) * INDEX($B$58:$AJ$87,MATCH($B122,$B$58:$B$87,0)+1,MATCH(P$119,$B$58:$AJ$58,0))</f>
        <v>7.1560177621720735E-3</v>
      </c>
      <c r="Q122" s="47" cm="1">
        <f t="array" ref="Q122" xml:space="preserve"> _xlfn.XLOOKUP(Q$106,$K$30:$N$30,$K33:$N33) * INDEX($B$58:$AJ$87,MATCH($B122,$B$58:$B$87,0)+1,MATCH(Q$119,$B$58:$AJ$58,0))</f>
        <v>7.1560177621720735E-3</v>
      </c>
      <c r="R122" s="47" cm="1">
        <f t="array" ref="R122" xml:space="preserve"> _xlfn.XLOOKUP(R$106,$K$30:$N$30,$K33:$N33) * INDEX($B$58:$AJ$87,MATCH($B122,$B$58:$B$87,0)+1,MATCH(R$119,$B$58:$AJ$58,0))</f>
        <v>7.1560177621720735E-3</v>
      </c>
      <c r="S122" s="47" cm="1">
        <f t="array" ref="S122" xml:space="preserve"> _xlfn.XLOOKUP(S$106,$K$30:$N$30,$K33:$N33) * INDEX($B$58:$AJ$87,MATCH($B122,$B$58:$B$87,0)+1,MATCH(S$119,$B$58:$AJ$58,0))</f>
        <v>1.3194908147879315E-2</v>
      </c>
      <c r="W122" s="40" t="s">
        <v>406</v>
      </c>
      <c r="X122" s="215">
        <f>SUM(T134:T136)/1000</f>
        <v>71.590312222956683</v>
      </c>
      <c r="Z122" s="48">
        <f>SUM(M134:M136)/1000</f>
        <v>62.52049018455557</v>
      </c>
      <c r="AA122" s="48">
        <f>SUM(L134:L136)/1000</f>
        <v>61.81760548116997</v>
      </c>
      <c r="AB122" s="48">
        <f>SUM(K134:K136)/1000</f>
        <v>61.103399112378753</v>
      </c>
      <c r="AC122" s="48">
        <f>SUM(J134:J136)/1000</f>
        <v>59.029316627197474</v>
      </c>
      <c r="AD122" s="48">
        <f>SUM(I134:I136)/1000</f>
        <v>58.612877027503785</v>
      </c>
      <c r="AE122" s="48">
        <f>SUM(H134:H136)/1000</f>
        <v>58.326483206169648</v>
      </c>
      <c r="AF122" s="48">
        <f>SUM(G134:G136)/1000</f>
        <v>58.784466709581103</v>
      </c>
      <c r="AG122" s="48">
        <f>SUM(F134:F136)/1000</f>
        <v>58.878980032512018</v>
      </c>
      <c r="AH122" s="48">
        <f>SUM(E134:E136)/1000</f>
        <v>58.647021830043407</v>
      </c>
    </row>
    <row r="123" spans="1:46" x14ac:dyDescent="0.35">
      <c r="B123" s="58" t="s">
        <v>11</v>
      </c>
      <c r="E123" s="47" cm="1">
        <f t="array" ref="E123" xml:space="preserve"> _xlfn.XLOOKUP(E$106,$K$30:$N$30,$K34:$N34) * INDEX($B$58:$AJ$87,MATCH($B123,$B$58:$B$87,0)+1,MATCH(E$119,$B$58:$AJ$58,0))</f>
        <v>1.3881334428506966E-3</v>
      </c>
      <c r="F123" s="47" cm="1">
        <f t="array" ref="F123" xml:space="preserve"> _xlfn.XLOOKUP(F$106,$K$30:$N$30,$K34:$N34) * INDEX($B$58:$AJ$87,MATCH($B123,$B$58:$B$87,0)+1,MATCH(F$119,$B$58:$AJ$58,0))</f>
        <v>1.3881334428506966E-3</v>
      </c>
      <c r="G123" s="47" cm="1">
        <f t="array" ref="G123" xml:space="preserve"> _xlfn.XLOOKUP(G$106,$K$30:$N$30,$K34:$N34) * INDEX($B$58:$AJ$87,MATCH($B123,$B$58:$B$87,0)+1,MATCH(G$119,$B$58:$AJ$58,0))</f>
        <v>1.3254357297520162E-3</v>
      </c>
      <c r="H123" s="47" cm="1">
        <f t="array" ref="H123" xml:space="preserve"> _xlfn.XLOOKUP(H$106,$K$30:$N$30,$K34:$N34) * INDEX($B$58:$AJ$87,MATCH($B123,$B$58:$B$87,0)+1,MATCH(H$119,$B$58:$AJ$58,0))</f>
        <v>1.3254357297520162E-3</v>
      </c>
      <c r="I123" s="47" cm="1">
        <f t="array" ref="I123" xml:space="preserve"> _xlfn.XLOOKUP(I$106,$K$30:$N$30,$K34:$N34) * INDEX($B$58:$AJ$87,MATCH($B123,$B$58:$B$87,0)+1,MATCH(I$119,$B$58:$AJ$58,0))</f>
        <v>1.3254357297520162E-3</v>
      </c>
      <c r="J123" s="47" cm="1">
        <f t="array" ref="J123" xml:space="preserve"> _xlfn.XLOOKUP(J$106,$K$30:$N$30,$K34:$N34) * INDEX($B$58:$AJ$87,MATCH($B123,$B$58:$B$87,0)+1,MATCH(J$119,$B$58:$AJ$58,0))</f>
        <v>1.3254357297520162E-3</v>
      </c>
      <c r="K123" s="47" cm="1">
        <f t="array" ref="K123" xml:space="preserve"> _xlfn.XLOOKUP(K$106,$K$30:$N$30,$K34:$N34) * INDEX($B$58:$AJ$87,MATCH($B123,$B$58:$B$87,0)+1,MATCH(K$119,$B$58:$AJ$58,0))</f>
        <v>1.1353428252554845E-3</v>
      </c>
      <c r="L123" s="47" cm="1">
        <f t="array" ref="L123" xml:space="preserve"> _xlfn.XLOOKUP(L$106,$K$30:$N$30,$K34:$N34) * INDEX($B$58:$AJ$87,MATCH($B123,$B$58:$B$87,0)+1,MATCH(L$119,$B$58:$AJ$58,0))</f>
        <v>1.1353428252554845E-3</v>
      </c>
      <c r="M123" s="47" cm="1">
        <f t="array" ref="M123" xml:space="preserve"> _xlfn.XLOOKUP(M$106,$K$30:$N$30,$K34:$N34) * INDEX($B$58:$AJ$87,MATCH($B123,$B$58:$B$87,0)+1,MATCH(M$119,$B$58:$AJ$58,0))</f>
        <v>1.1353428252554845E-3</v>
      </c>
      <c r="N123" s="47" cm="1">
        <f t="array" ref="N123" xml:space="preserve"> _xlfn.XLOOKUP(N$106,$K$30:$N$30,$K34:$N34) * INDEX($B$58:$AJ$87,MATCH($B123,$B$58:$B$87,0)+1,MATCH(N$119,$B$58:$AJ$58,0))</f>
        <v>1.1353428252554845E-3</v>
      </c>
      <c r="O123" s="47" cm="1">
        <f t="array" ref="O123" xml:space="preserve"> _xlfn.XLOOKUP(O$106,$K$30:$N$30,$K34:$N34) * INDEX($B$58:$AJ$87,MATCH($B123,$B$58:$B$87,0)+1,MATCH(O$119,$B$58:$AJ$58,0))</f>
        <v>1.1353428252554845E-3</v>
      </c>
      <c r="P123" s="47" cm="1">
        <f t="array" ref="P123" xml:space="preserve"> _xlfn.XLOOKUP(P$106,$K$30:$N$30,$K34:$N34) * INDEX($B$58:$AJ$87,MATCH($B123,$B$58:$B$87,0)+1,MATCH(P$119,$B$58:$AJ$58,0))</f>
        <v>1.1353428252554845E-3</v>
      </c>
      <c r="Q123" s="47" cm="1">
        <f t="array" ref="Q123" xml:space="preserve"> _xlfn.XLOOKUP(Q$106,$K$30:$N$30,$K34:$N34) * INDEX($B$58:$AJ$87,MATCH($B123,$B$58:$B$87,0)+1,MATCH(Q$119,$B$58:$AJ$58,0))</f>
        <v>1.1353428252554845E-3</v>
      </c>
      <c r="R123" s="47" cm="1">
        <f t="array" ref="R123" xml:space="preserve"> _xlfn.XLOOKUP(R$106,$K$30:$N$30,$K34:$N34) * INDEX($B$58:$AJ$87,MATCH($B123,$B$58:$B$87,0)+1,MATCH(R$119,$B$58:$AJ$58,0))</f>
        <v>1.1353428252554845E-3</v>
      </c>
      <c r="S123" s="47" cm="1">
        <f t="array" ref="S123" xml:space="preserve"> _xlfn.XLOOKUP(S$106,$K$30:$N$30,$K34:$N34) * INDEX($B$58:$AJ$87,MATCH($B123,$B$58:$B$87,0)+1,MATCH(S$119,$B$58:$AJ$58,0))</f>
        <v>1.3440582131118519E-3</v>
      </c>
      <c r="W123" s="385" t="s">
        <v>407</v>
      </c>
      <c r="X123" s="48">
        <f xml:space="preserve"> SUM(T137:T138)/1000</f>
        <v>202.11902120506392</v>
      </c>
      <c r="Y123" s="48"/>
      <c r="Z123" s="48">
        <f>SUM(M137:M138)/1000</f>
        <v>159.01514504561791</v>
      </c>
      <c r="AA123" s="48">
        <f>SUM(L137:L138)/1000</f>
        <v>159.33825146920549</v>
      </c>
      <c r="AB123" s="48">
        <f>SUM(K137:K138)/1000</f>
        <v>158.40986875889723</v>
      </c>
      <c r="AC123" s="48">
        <f>SUM(J137:J138)/1000</f>
        <v>157.55292104926818</v>
      </c>
      <c r="AD123" s="48">
        <f>SUM(I137:I138)/1000</f>
        <v>157.38036916437582</v>
      </c>
      <c r="AE123" s="48">
        <f>SUM(H137:H138)/1000</f>
        <v>157.10341613904438</v>
      </c>
      <c r="AF123" s="48">
        <f>SUM(G137:G138)/1000</f>
        <v>156.90766400072113</v>
      </c>
      <c r="AG123" s="48">
        <f>SUM(F137:F138)/1000</f>
        <v>151.19885510302564</v>
      </c>
      <c r="AH123" s="48">
        <f>SUM(E137:E138)/1000</f>
        <v>151.35146807835886</v>
      </c>
    </row>
    <row r="124" spans="1:46" x14ac:dyDescent="0.35">
      <c r="B124" s="58" t="s">
        <v>12</v>
      </c>
      <c r="E124" s="47" cm="1">
        <f t="array" ref="E124" xml:space="preserve"> _xlfn.XLOOKUP(E$106,$K$30:$N$30,$K35:$N35) * INDEX($B$58:$AJ$87,MATCH($B124,$B$58:$B$87,0)+1,MATCH(E$119,$B$58:$AJ$58,0))</f>
        <v>7.6793261462996675E-4</v>
      </c>
      <c r="F124" s="47" cm="1">
        <f t="array" ref="F124" xml:space="preserve"> _xlfn.XLOOKUP(F$106,$K$30:$N$30,$K35:$N35) * INDEX($B$58:$AJ$87,MATCH($B124,$B$58:$B$87,0)+1,MATCH(F$119,$B$58:$AJ$58,0))</f>
        <v>7.6793261462996675E-4</v>
      </c>
      <c r="G124" s="47" cm="1">
        <f t="array" ref="G124" xml:space="preserve"> _xlfn.XLOOKUP(G$106,$K$30:$N$30,$K35:$N35) * INDEX($B$58:$AJ$87,MATCH($B124,$B$58:$B$87,0)+1,MATCH(G$119,$B$58:$AJ$58,0))</f>
        <v>7.9304994896554752E-4</v>
      </c>
      <c r="H124" s="47" cm="1">
        <f t="array" ref="H124" xml:space="preserve"> _xlfn.XLOOKUP(H$106,$K$30:$N$30,$K35:$N35) * INDEX($B$58:$AJ$87,MATCH($B124,$B$58:$B$87,0)+1,MATCH(H$119,$B$58:$AJ$58,0))</f>
        <v>7.9304994896554752E-4</v>
      </c>
      <c r="I124" s="47" cm="1">
        <f t="array" ref="I124" xml:space="preserve"> _xlfn.XLOOKUP(I$106,$K$30:$N$30,$K35:$N35) * INDEX($B$58:$AJ$87,MATCH($B124,$B$58:$B$87,0)+1,MATCH(I$119,$B$58:$AJ$58,0))</f>
        <v>7.9304994896554752E-4</v>
      </c>
      <c r="J124" s="47" cm="1">
        <f t="array" ref="J124" xml:space="preserve"> _xlfn.XLOOKUP(J$106,$K$30:$N$30,$K35:$N35) * INDEX($B$58:$AJ$87,MATCH($B124,$B$58:$B$87,0)+1,MATCH(J$119,$B$58:$AJ$58,0))</f>
        <v>7.9304994896554752E-4</v>
      </c>
      <c r="K124" s="47" cm="1">
        <f t="array" ref="K124" xml:space="preserve"> _xlfn.XLOOKUP(K$106,$K$30:$N$30,$K35:$N35) * INDEX($B$58:$AJ$87,MATCH($B124,$B$58:$B$87,0)+1,MATCH(K$119,$B$58:$AJ$58,0))</f>
        <v>1.1401390891606549E-3</v>
      </c>
      <c r="L124" s="47" cm="1">
        <f t="array" ref="L124" xml:space="preserve"> _xlfn.XLOOKUP(L$106,$K$30:$N$30,$K35:$N35) * INDEX($B$58:$AJ$87,MATCH($B124,$B$58:$B$87,0)+1,MATCH(L$119,$B$58:$AJ$58,0))</f>
        <v>1.1401390891606549E-3</v>
      </c>
      <c r="M124" s="47" cm="1">
        <f t="array" ref="M124" xml:space="preserve"> _xlfn.XLOOKUP(M$106,$K$30:$N$30,$K35:$N35) * INDEX($B$58:$AJ$87,MATCH($B124,$B$58:$B$87,0)+1,MATCH(M$119,$B$58:$AJ$58,0))</f>
        <v>1.1401390891606549E-3</v>
      </c>
      <c r="N124" s="47" cm="1">
        <f t="array" ref="N124" xml:space="preserve"> _xlfn.XLOOKUP(N$106,$K$30:$N$30,$K35:$N35) * INDEX($B$58:$AJ$87,MATCH($B124,$B$58:$B$87,0)+1,MATCH(N$119,$B$58:$AJ$58,0))</f>
        <v>1.1401390891606549E-3</v>
      </c>
      <c r="O124" s="47" cm="1">
        <f t="array" ref="O124" xml:space="preserve"> _xlfn.XLOOKUP(O$106,$K$30:$N$30,$K35:$N35) * INDEX($B$58:$AJ$87,MATCH($B124,$B$58:$B$87,0)+1,MATCH(O$119,$B$58:$AJ$58,0))</f>
        <v>1.1401390891606549E-3</v>
      </c>
      <c r="P124" s="47" cm="1">
        <f t="array" ref="P124" xml:space="preserve"> _xlfn.XLOOKUP(P$106,$K$30:$N$30,$K35:$N35) * INDEX($B$58:$AJ$87,MATCH($B124,$B$58:$B$87,0)+1,MATCH(P$119,$B$58:$AJ$58,0))</f>
        <v>1.1401390891606549E-3</v>
      </c>
      <c r="Q124" s="47" cm="1">
        <f t="array" ref="Q124" xml:space="preserve"> _xlfn.XLOOKUP(Q$106,$K$30:$N$30,$K35:$N35) * INDEX($B$58:$AJ$87,MATCH($B124,$B$58:$B$87,0)+1,MATCH(Q$119,$B$58:$AJ$58,0))</f>
        <v>1.1401390891606549E-3</v>
      </c>
      <c r="R124" s="47" cm="1">
        <f t="array" ref="R124" xml:space="preserve"> _xlfn.XLOOKUP(R$106,$K$30:$N$30,$K35:$N35) * INDEX($B$58:$AJ$87,MATCH($B124,$B$58:$B$87,0)+1,MATCH(R$119,$B$58:$AJ$58,0))</f>
        <v>1.1401390891606549E-3</v>
      </c>
      <c r="S124" s="47" cm="1">
        <f t="array" ref="S124" xml:space="preserve"> _xlfn.XLOOKUP(S$106,$K$30:$N$30,$K35:$N35) * INDEX($B$58:$AJ$87,MATCH($B124,$B$58:$B$87,0)+1,MATCH(S$119,$B$58:$AJ$58,0))</f>
        <v>2.6829130790122948E-3</v>
      </c>
      <c r="W124" s="385" t="s">
        <v>405</v>
      </c>
      <c r="X124" s="48">
        <f>_xlfn.XLOOKUP(X120,$E$132:$T$132,$E$139:$T$139)/1000</f>
        <v>54.611730888216186</v>
      </c>
      <c r="Y124" s="48"/>
      <c r="Z124" s="48">
        <f t="shared" ref="Z124:AH124" si="17">_xlfn.XLOOKUP(Z120,$E$132:$T$132,$E$139:$T$139)/1000</f>
        <v>208.05666933777326</v>
      </c>
      <c r="AA124" s="48">
        <f t="shared" si="17"/>
        <v>0</v>
      </c>
      <c r="AB124" s="48">
        <f t="shared" si="17"/>
        <v>0</v>
      </c>
      <c r="AC124" s="48">
        <f t="shared" si="17"/>
        <v>0</v>
      </c>
      <c r="AD124" s="48">
        <f t="shared" si="17"/>
        <v>-88.666780145749186</v>
      </c>
      <c r="AE124" s="48">
        <f t="shared" si="17"/>
        <v>0</v>
      </c>
      <c r="AF124" s="48">
        <f t="shared" si="17"/>
        <v>0</v>
      </c>
      <c r="AG124" s="48">
        <f t="shared" si="17"/>
        <v>0</v>
      </c>
      <c r="AH124" s="48">
        <f t="shared" si="17"/>
        <v>53.427531506735797</v>
      </c>
    </row>
    <row r="125" spans="1:46" x14ac:dyDescent="0.35">
      <c r="B125" s="58" t="s">
        <v>13</v>
      </c>
      <c r="E125" s="47" cm="1">
        <f t="array" ref="E125" xml:space="preserve"> _xlfn.XLOOKUP(E$106,$K$30:$N$30,$K36:$N36) * INDEX($B$58:$AJ$87,MATCH($B125,$B$58:$B$87,0)+1,MATCH(E$119,$B$58:$AJ$58,0))</f>
        <v>1.6011039842238938E-3</v>
      </c>
      <c r="F125" s="47" cm="1">
        <f t="array" ref="F125" xml:space="preserve"> _xlfn.XLOOKUP(F$106,$K$30:$N$30,$K36:$N36) * INDEX($B$58:$AJ$87,MATCH($B125,$B$58:$B$87,0)+1,MATCH(F$119,$B$58:$AJ$58,0))</f>
        <v>1.6011039842238938E-3</v>
      </c>
      <c r="G125" s="47" cm="1">
        <f t="array" ref="G125" xml:space="preserve"> _xlfn.XLOOKUP(G$106,$K$30:$N$30,$K36:$N36) * INDEX($B$58:$AJ$87,MATCH($B125,$B$58:$B$87,0)+1,MATCH(G$119,$B$58:$AJ$58,0))</f>
        <v>1.5806935643561391E-3</v>
      </c>
      <c r="H125" s="47" cm="1">
        <f t="array" ref="H125" xml:space="preserve"> _xlfn.XLOOKUP(H$106,$K$30:$N$30,$K36:$N36) * INDEX($B$58:$AJ$87,MATCH($B125,$B$58:$B$87,0)+1,MATCH(H$119,$B$58:$AJ$58,0))</f>
        <v>1.5806935643561391E-3</v>
      </c>
      <c r="I125" s="47" cm="1">
        <f t="array" ref="I125" xml:space="preserve"> _xlfn.XLOOKUP(I$106,$K$30:$N$30,$K36:$N36) * INDEX($B$58:$AJ$87,MATCH($B125,$B$58:$B$87,0)+1,MATCH(I$119,$B$58:$AJ$58,0))</f>
        <v>1.5806935643561391E-3</v>
      </c>
      <c r="J125" s="47" cm="1">
        <f t="array" ref="J125" xml:space="preserve"> _xlfn.XLOOKUP(J$106,$K$30:$N$30,$K36:$N36) * INDEX($B$58:$AJ$87,MATCH($B125,$B$58:$B$87,0)+1,MATCH(J$119,$B$58:$AJ$58,0))</f>
        <v>1.5806935643561391E-3</v>
      </c>
      <c r="K125" s="47" cm="1">
        <f t="array" ref="K125" xml:space="preserve"> _xlfn.XLOOKUP(K$106,$K$30:$N$30,$K36:$N36) * INDEX($B$58:$AJ$87,MATCH($B125,$B$58:$B$87,0)+1,MATCH(K$119,$B$58:$AJ$58,0))</f>
        <v>6.512257943740847E-4</v>
      </c>
      <c r="L125" s="47" cm="1">
        <f t="array" ref="L125" xml:space="preserve"> _xlfn.XLOOKUP(L$106,$K$30:$N$30,$K36:$N36) * INDEX($B$58:$AJ$87,MATCH($B125,$B$58:$B$87,0)+1,MATCH(L$119,$B$58:$AJ$58,0))</f>
        <v>6.512257943740847E-4</v>
      </c>
      <c r="M125" s="47" cm="1">
        <f t="array" ref="M125" xml:space="preserve"> _xlfn.XLOOKUP(M$106,$K$30:$N$30,$K36:$N36) * INDEX($B$58:$AJ$87,MATCH($B125,$B$58:$B$87,0)+1,MATCH(M$119,$B$58:$AJ$58,0))</f>
        <v>6.512257943740847E-4</v>
      </c>
      <c r="N125" s="47" cm="1">
        <f t="array" ref="N125" xml:space="preserve"> _xlfn.XLOOKUP(N$106,$K$30:$N$30,$K36:$N36) * INDEX($B$58:$AJ$87,MATCH($B125,$B$58:$B$87,0)+1,MATCH(N$119,$B$58:$AJ$58,0))</f>
        <v>6.512257943740847E-4</v>
      </c>
      <c r="O125" s="47" cm="1">
        <f t="array" ref="O125" xml:space="preserve"> _xlfn.XLOOKUP(O$106,$K$30:$N$30,$K36:$N36) * INDEX($B$58:$AJ$87,MATCH($B125,$B$58:$B$87,0)+1,MATCH(O$119,$B$58:$AJ$58,0))</f>
        <v>6.512257943740847E-4</v>
      </c>
      <c r="P125" s="47" cm="1">
        <f t="array" ref="P125" xml:space="preserve"> _xlfn.XLOOKUP(P$106,$K$30:$N$30,$K36:$N36) * INDEX($B$58:$AJ$87,MATCH($B125,$B$58:$B$87,0)+1,MATCH(P$119,$B$58:$AJ$58,0))</f>
        <v>6.512257943740847E-4</v>
      </c>
      <c r="Q125" s="47" cm="1">
        <f t="array" ref="Q125" xml:space="preserve"> _xlfn.XLOOKUP(Q$106,$K$30:$N$30,$K36:$N36) * INDEX($B$58:$AJ$87,MATCH($B125,$B$58:$B$87,0)+1,MATCH(Q$119,$B$58:$AJ$58,0))</f>
        <v>6.512257943740847E-4</v>
      </c>
      <c r="R125" s="47" cm="1">
        <f t="array" ref="R125" xml:space="preserve"> _xlfn.XLOOKUP(R$106,$K$30:$N$30,$K36:$N36) * INDEX($B$58:$AJ$87,MATCH($B125,$B$58:$B$87,0)+1,MATCH(R$119,$B$58:$AJ$58,0))</f>
        <v>6.512257943740847E-4</v>
      </c>
      <c r="S125" s="47" cm="1">
        <f t="array" ref="S125" xml:space="preserve"> _xlfn.XLOOKUP(S$106,$K$30:$N$30,$K36:$N36) * INDEX($B$58:$AJ$87,MATCH($B125,$B$58:$B$87,0)+1,MATCH(S$119,$B$58:$AJ$58,0))</f>
        <v>1.3594023850148278E-3</v>
      </c>
    </row>
    <row r="126" spans="1:46" x14ac:dyDescent="0.35">
      <c r="B126" s="58" t="s">
        <v>14</v>
      </c>
      <c r="E126" s="47" cm="1">
        <f t="array" ref="E126" xml:space="preserve"> _xlfn.XLOOKUP(E$106,$K$30:$N$30,$K37:$N37) * INDEX($B$58:$AJ$87,MATCH($B126,$B$58:$B$87,0)+1,MATCH(E$119,$B$58:$AJ$58,0))</f>
        <v>1.2656624282879705E-3</v>
      </c>
      <c r="F126" s="47" cm="1">
        <f t="array" ref="F126" xml:space="preserve"> _xlfn.XLOOKUP(F$106,$K$30:$N$30,$K37:$N37) * INDEX($B$58:$AJ$87,MATCH($B126,$B$58:$B$87,0)+1,MATCH(F$119,$B$58:$AJ$58,0))</f>
        <v>1.2656624282879705E-3</v>
      </c>
      <c r="G126" s="47" cm="1">
        <f t="array" ref="G126" xml:space="preserve"> _xlfn.XLOOKUP(G$106,$K$30:$N$30,$K37:$N37) * INDEX($B$58:$AJ$87,MATCH($B126,$B$58:$B$87,0)+1,MATCH(G$119,$B$58:$AJ$58,0))</f>
        <v>1.2421369084831902E-3</v>
      </c>
      <c r="H126" s="47" cm="1">
        <f t="array" ref="H126" xml:space="preserve"> _xlfn.XLOOKUP(H$106,$K$30:$N$30,$K37:$N37) * INDEX($B$58:$AJ$87,MATCH($B126,$B$58:$B$87,0)+1,MATCH(H$119,$B$58:$AJ$58,0))</f>
        <v>1.2421369084831902E-3</v>
      </c>
      <c r="I126" s="47" cm="1">
        <f t="array" ref="I126" xml:space="preserve"> _xlfn.XLOOKUP(I$106,$K$30:$N$30,$K37:$N37) * INDEX($B$58:$AJ$87,MATCH($B126,$B$58:$B$87,0)+1,MATCH(I$119,$B$58:$AJ$58,0))</f>
        <v>1.2421369084831902E-3</v>
      </c>
      <c r="J126" s="47" cm="1">
        <f t="array" ref="J126" xml:space="preserve"> _xlfn.XLOOKUP(J$106,$K$30:$N$30,$K37:$N37) * INDEX($B$58:$AJ$87,MATCH($B126,$B$58:$B$87,0)+1,MATCH(J$119,$B$58:$AJ$58,0))</f>
        <v>1.2421369084831902E-3</v>
      </c>
      <c r="K126" s="47" cm="1">
        <f t="array" ref="K126" xml:space="preserve"> _xlfn.XLOOKUP(K$106,$K$30:$N$30,$K37:$N37) * INDEX($B$58:$AJ$87,MATCH($B126,$B$58:$B$87,0)+1,MATCH(K$119,$B$58:$AJ$58,0))</f>
        <v>1.2863522660572033E-3</v>
      </c>
      <c r="L126" s="47" cm="1">
        <f t="array" ref="L126" xml:space="preserve"> _xlfn.XLOOKUP(L$106,$K$30:$N$30,$K37:$N37) * INDEX($B$58:$AJ$87,MATCH($B126,$B$58:$B$87,0)+1,MATCH(L$119,$B$58:$AJ$58,0))</f>
        <v>1.2863522660572033E-3</v>
      </c>
      <c r="M126" s="47" cm="1">
        <f t="array" ref="M126" xml:space="preserve"> _xlfn.XLOOKUP(M$106,$K$30:$N$30,$K37:$N37) * INDEX($B$58:$AJ$87,MATCH($B126,$B$58:$B$87,0)+1,MATCH(M$119,$B$58:$AJ$58,0))</f>
        <v>1.2863522660572033E-3</v>
      </c>
      <c r="N126" s="47" cm="1">
        <f t="array" ref="N126" xml:space="preserve"> _xlfn.XLOOKUP(N$106,$K$30:$N$30,$K37:$N37) * INDEX($B$58:$AJ$87,MATCH($B126,$B$58:$B$87,0)+1,MATCH(N$119,$B$58:$AJ$58,0))</f>
        <v>1.2863522660572033E-3</v>
      </c>
      <c r="O126" s="47" cm="1">
        <f t="array" ref="O126" xml:space="preserve"> _xlfn.XLOOKUP(O$106,$K$30:$N$30,$K37:$N37) * INDEX($B$58:$AJ$87,MATCH($B126,$B$58:$B$87,0)+1,MATCH(O$119,$B$58:$AJ$58,0))</f>
        <v>1.2863522660572033E-3</v>
      </c>
      <c r="P126" s="47" cm="1">
        <f t="array" ref="P126" xml:space="preserve"> _xlfn.XLOOKUP(P$106,$K$30:$N$30,$K37:$N37) * INDEX($B$58:$AJ$87,MATCH($B126,$B$58:$B$87,0)+1,MATCH(P$119,$B$58:$AJ$58,0))</f>
        <v>1.2863522660572033E-3</v>
      </c>
      <c r="Q126" s="47" cm="1">
        <f t="array" ref="Q126" xml:space="preserve"> _xlfn.XLOOKUP(Q$106,$K$30:$N$30,$K37:$N37) * INDEX($B$58:$AJ$87,MATCH($B126,$B$58:$B$87,0)+1,MATCH(Q$119,$B$58:$AJ$58,0))</f>
        <v>1.2863522660572033E-3</v>
      </c>
      <c r="R126" s="47" cm="1">
        <f t="array" ref="R126" xml:space="preserve"> _xlfn.XLOOKUP(R$106,$K$30:$N$30,$K37:$N37) * INDEX($B$58:$AJ$87,MATCH($B126,$B$58:$B$87,0)+1,MATCH(R$119,$B$58:$AJ$58,0))</f>
        <v>1.2863522660572033E-3</v>
      </c>
      <c r="S126" s="47" cm="1">
        <f t="array" ref="S126" xml:space="preserve"> _xlfn.XLOOKUP(S$106,$K$30:$N$30,$K37:$N37) * INDEX($B$58:$AJ$87,MATCH($B126,$B$58:$B$87,0)+1,MATCH(S$119,$B$58:$AJ$58,0))</f>
        <v>7.9880892792765499E-4</v>
      </c>
      <c r="AD126" s="48"/>
    </row>
    <row r="127" spans="1:46" x14ac:dyDescent="0.35">
      <c r="B127" s="59" t="s">
        <v>15</v>
      </c>
      <c r="C127" s="5"/>
      <c r="D127" s="5"/>
      <c r="E127" s="68" cm="1">
        <f t="array" ref="E127" xml:space="preserve"> _xlfn.XLOOKUP(E$106,$K$30:$N$30,$K38:$N38) * INDEX($B$58:$AJ$87,MATCH($B127,$B$58:$B$87,0)+1,MATCH(E$119,$B$58:$AJ$58,0))</f>
        <v>1.2006046806101939E-3</v>
      </c>
      <c r="F127" s="68" cm="1">
        <f t="array" ref="F127" xml:space="preserve"> _xlfn.XLOOKUP(F$106,$K$30:$N$30,$K38:$N38) * INDEX($B$58:$AJ$87,MATCH($B127,$B$58:$B$87,0)+1,MATCH(F$119,$B$58:$AJ$58,0))</f>
        <v>1.2006046806101939E-3</v>
      </c>
      <c r="G127" s="68" cm="1">
        <f t="array" ref="G127" xml:space="preserve"> _xlfn.XLOOKUP(G$106,$K$30:$N$30,$K38:$N38) * INDEX($B$58:$AJ$87,MATCH($B127,$B$58:$B$87,0)+1,MATCH(G$119,$B$58:$AJ$58,0))</f>
        <v>1.3394483012529835E-3</v>
      </c>
      <c r="H127" s="68" cm="1">
        <f t="array" ref="H127" xml:space="preserve"> _xlfn.XLOOKUP(H$106,$K$30:$N$30,$K38:$N38) * INDEX($B$58:$AJ$87,MATCH($B127,$B$58:$B$87,0)+1,MATCH(H$119,$B$58:$AJ$58,0))</f>
        <v>1.3394483012529835E-3</v>
      </c>
      <c r="I127" s="68" cm="1">
        <f t="array" ref="I127" xml:space="preserve"> _xlfn.XLOOKUP(I$106,$K$30:$N$30,$K38:$N38) * INDEX($B$58:$AJ$87,MATCH($B127,$B$58:$B$87,0)+1,MATCH(I$119,$B$58:$AJ$58,0))</f>
        <v>1.3394483012529835E-3</v>
      </c>
      <c r="J127" s="68" cm="1">
        <f t="array" ref="J127" xml:space="preserve"> _xlfn.XLOOKUP(J$106,$K$30:$N$30,$K38:$N38) * INDEX($B$58:$AJ$87,MATCH($B127,$B$58:$B$87,0)+1,MATCH(J$119,$B$58:$AJ$58,0))</f>
        <v>1.3394483012529835E-3</v>
      </c>
      <c r="K127" s="68" cm="1">
        <f t="array" ref="K127" xml:space="preserve"> _xlfn.XLOOKUP(K$106,$K$30:$N$30,$K38:$N38) * INDEX($B$58:$AJ$87,MATCH($B127,$B$58:$B$87,0)+1,MATCH(K$119,$B$58:$AJ$58,0))</f>
        <v>9.9105018764900684E-4</v>
      </c>
      <c r="L127" s="68" cm="1">
        <f t="array" ref="L127" xml:space="preserve"> _xlfn.XLOOKUP(L$106,$K$30:$N$30,$K38:$N38) * INDEX($B$58:$AJ$87,MATCH($B127,$B$58:$B$87,0)+1,MATCH(L$119,$B$58:$AJ$58,0))</f>
        <v>9.9105018764900684E-4</v>
      </c>
      <c r="M127" s="68" cm="1">
        <f t="array" ref="M127" xml:space="preserve"> _xlfn.XLOOKUP(M$106,$K$30:$N$30,$K38:$N38) * INDEX($B$58:$AJ$87,MATCH($B127,$B$58:$B$87,0)+1,MATCH(M$119,$B$58:$AJ$58,0))</f>
        <v>9.9105018764900684E-4</v>
      </c>
      <c r="N127" s="68" cm="1">
        <f t="array" ref="N127" xml:space="preserve"> _xlfn.XLOOKUP(N$106,$K$30:$N$30,$K38:$N38) * INDEX($B$58:$AJ$87,MATCH($B127,$B$58:$B$87,0)+1,MATCH(N$119,$B$58:$AJ$58,0))</f>
        <v>9.9105018764900684E-4</v>
      </c>
      <c r="O127" s="68" cm="1">
        <f t="array" ref="O127" xml:space="preserve"> _xlfn.XLOOKUP(O$106,$K$30:$N$30,$K38:$N38) * INDEX($B$58:$AJ$87,MATCH($B127,$B$58:$B$87,0)+1,MATCH(O$119,$B$58:$AJ$58,0))</f>
        <v>9.9105018764900684E-4</v>
      </c>
      <c r="P127" s="68" cm="1">
        <f t="array" ref="P127" xml:space="preserve"> _xlfn.XLOOKUP(P$106,$K$30:$N$30,$K38:$N38) * INDEX($B$58:$AJ$87,MATCH($B127,$B$58:$B$87,0)+1,MATCH(P$119,$B$58:$AJ$58,0))</f>
        <v>9.9105018764900684E-4</v>
      </c>
      <c r="Q127" s="68" cm="1">
        <f t="array" ref="Q127" xml:space="preserve"> _xlfn.XLOOKUP(Q$106,$K$30:$N$30,$K38:$N38) * INDEX($B$58:$AJ$87,MATCH($B127,$B$58:$B$87,0)+1,MATCH(Q$119,$B$58:$AJ$58,0))</f>
        <v>9.9105018764900684E-4</v>
      </c>
      <c r="R127" s="68" cm="1">
        <f t="array" ref="R127" xml:space="preserve"> _xlfn.XLOOKUP(R$106,$K$30:$N$30,$K38:$N38) * INDEX($B$58:$AJ$87,MATCH($B127,$B$58:$B$87,0)+1,MATCH(R$119,$B$58:$AJ$58,0))</f>
        <v>9.9105018764900684E-4</v>
      </c>
      <c r="S127" s="68" cm="1">
        <f t="array" ref="S127" xml:space="preserve"> _xlfn.XLOOKUP(S$106,$K$30:$N$30,$K38:$N38) * INDEX($B$58:$AJ$87,MATCH($B127,$B$58:$B$87,0)+1,MATCH(S$119,$B$58:$AJ$58,0))</f>
        <v>5.2974877681435863E-4</v>
      </c>
    </row>
    <row r="129" spans="2:20" x14ac:dyDescent="0.35">
      <c r="H129" s="106"/>
    </row>
    <row r="131" spans="2:20" x14ac:dyDescent="0.35">
      <c r="B131" s="74" t="s">
        <v>816</v>
      </c>
    </row>
    <row r="132" spans="2:20" x14ac:dyDescent="0.35">
      <c r="B132" s="79" t="s">
        <v>38</v>
      </c>
      <c r="C132" s="55"/>
      <c r="D132" s="55"/>
      <c r="E132" s="56">
        <v>2023</v>
      </c>
      <c r="F132" s="56">
        <v>2022</v>
      </c>
      <c r="G132" s="56">
        <v>2021</v>
      </c>
      <c r="H132" s="56">
        <v>2020</v>
      </c>
      <c r="I132" s="56">
        <v>2019</v>
      </c>
      <c r="J132" s="56">
        <v>2018</v>
      </c>
      <c r="K132" s="56">
        <v>2017</v>
      </c>
      <c r="L132" s="56">
        <v>2016</v>
      </c>
      <c r="M132" s="56">
        <v>2015</v>
      </c>
      <c r="N132" s="56">
        <v>2014</v>
      </c>
      <c r="O132" s="56">
        <v>2013</v>
      </c>
      <c r="P132" s="56">
        <v>2012</v>
      </c>
      <c r="Q132" s="56">
        <v>2011</v>
      </c>
      <c r="R132" s="56">
        <v>2010</v>
      </c>
      <c r="T132" s="57">
        <v>1990</v>
      </c>
    </row>
    <row r="133" spans="2:20" x14ac:dyDescent="0.35">
      <c r="B133" s="58" t="s">
        <v>41</v>
      </c>
      <c r="E133" s="39">
        <f>SUM(E94:E101) *CH4_PRG*1000</f>
        <v>248199.25231204016</v>
      </c>
      <c r="F133" s="39">
        <f t="shared" ref="F133:R133" si="18">SUM(F94:F101) *CH4_PRG*1000</f>
        <v>249571.91751592551</v>
      </c>
      <c r="G133" s="39">
        <f t="shared" si="18"/>
        <v>244940.7340317074</v>
      </c>
      <c r="H133" s="39">
        <f t="shared" si="18"/>
        <v>242209.2448920676</v>
      </c>
      <c r="I133" s="39">
        <f t="shared" si="18"/>
        <v>244132.47059026838</v>
      </c>
      <c r="J133" s="39">
        <f t="shared" si="18"/>
        <v>246349.52557345148</v>
      </c>
      <c r="K133" s="39">
        <f t="shared" si="18"/>
        <v>243556.1730035611</v>
      </c>
      <c r="L133" s="39">
        <f t="shared" si="18"/>
        <v>246125.33818862704</v>
      </c>
      <c r="M133" s="39">
        <f t="shared" si="18"/>
        <v>248550.78733421722</v>
      </c>
      <c r="N133" s="39">
        <f t="shared" si="18"/>
        <v>250214.27654741035</v>
      </c>
      <c r="O133" s="39">
        <f t="shared" si="18"/>
        <v>243566.03493755992</v>
      </c>
      <c r="P133" s="39">
        <f t="shared" si="18"/>
        <v>246878.97409316088</v>
      </c>
      <c r="Q133" s="39">
        <f t="shared" si="18"/>
        <v>248466.76974562739</v>
      </c>
      <c r="R133" s="39">
        <f t="shared" si="18"/>
        <v>252198.56506749283</v>
      </c>
      <c r="T133" s="39">
        <f>SUM(S94:S101) *CH4_PRG*1000</f>
        <v>280439.66043533193</v>
      </c>
    </row>
    <row r="134" spans="2:20" x14ac:dyDescent="0.35">
      <c r="B134" s="58" t="s">
        <v>42</v>
      </c>
      <c r="E134" s="39">
        <f>SUM(E107:E114)*1000*CH4_PRG</f>
        <v>34714.208853981312</v>
      </c>
      <c r="F134" s="39">
        <f t="shared" ref="F134:R134" si="19">SUM(F107:F114)*1000*CH4_PRG</f>
        <v>35013.707903266601</v>
      </c>
      <c r="G134" s="39">
        <f t="shared" si="19"/>
        <v>35114.957102990666</v>
      </c>
      <c r="H134" s="39">
        <f t="shared" si="19"/>
        <v>34774.448379845686</v>
      </c>
      <c r="I134" s="39">
        <f t="shared" si="19"/>
        <v>34896.863820963103</v>
      </c>
      <c r="J134" s="39">
        <f t="shared" si="19"/>
        <v>35010.878048431325</v>
      </c>
      <c r="K134" s="39">
        <f t="shared" si="19"/>
        <v>36925.212118568677</v>
      </c>
      <c r="L134" s="39">
        <f t="shared" si="19"/>
        <v>37436.040122336344</v>
      </c>
      <c r="M134" s="39">
        <f t="shared" si="19"/>
        <v>38069.138131841311</v>
      </c>
      <c r="N134" s="39">
        <f t="shared" si="19"/>
        <v>38071.368916099018</v>
      </c>
      <c r="O134" s="39">
        <f t="shared" si="19"/>
        <v>37399.308033477937</v>
      </c>
      <c r="P134" s="39">
        <f t="shared" si="19"/>
        <v>37790.179831889087</v>
      </c>
      <c r="Q134" s="39">
        <f t="shared" si="19"/>
        <v>37814.244519775595</v>
      </c>
      <c r="R134" s="39">
        <f t="shared" si="19"/>
        <v>38246.732544674414</v>
      </c>
      <c r="T134" s="39">
        <f>SUM(S107:S114)*1000*CH4_PRG</f>
        <v>44164.522418992121</v>
      </c>
    </row>
    <row r="135" spans="2:20" x14ac:dyDescent="0.35">
      <c r="B135" s="58" t="s">
        <v>425</v>
      </c>
      <c r="E135" s="39">
        <f xml:space="preserve"> SUM(E120:E127)*1000*N2O_PRG</f>
        <v>6998.7131311002522</v>
      </c>
      <c r="F135" s="39">
        <f t="shared" ref="F135:R135" si="20" xml:space="preserve"> SUM(F120:F127)*1000*N2O_PRG</f>
        <v>6998.7131311002522</v>
      </c>
      <c r="G135" s="39">
        <f t="shared" si="20"/>
        <v>7059.9738243604779</v>
      </c>
      <c r="H135" s="39">
        <f t="shared" si="20"/>
        <v>7059.9738243604779</v>
      </c>
      <c r="I135" s="39">
        <f t="shared" si="20"/>
        <v>7059.9738243604779</v>
      </c>
      <c r="J135" s="39">
        <f t="shared" si="20"/>
        <v>7059.9738243604779</v>
      </c>
      <c r="K135" s="39">
        <f t="shared" si="20"/>
        <v>7178.4551191867622</v>
      </c>
      <c r="L135" s="39">
        <f t="shared" si="20"/>
        <v>7178.4551191867622</v>
      </c>
      <c r="M135" s="39">
        <f t="shared" si="20"/>
        <v>7178.4551191867622</v>
      </c>
      <c r="N135" s="39">
        <f t="shared" si="20"/>
        <v>7178.4551191867622</v>
      </c>
      <c r="O135" s="39">
        <f t="shared" si="20"/>
        <v>7178.4551191867622</v>
      </c>
      <c r="P135" s="39">
        <f t="shared" si="20"/>
        <v>7178.4551191867622</v>
      </c>
      <c r="Q135" s="39">
        <f t="shared" si="20"/>
        <v>7178.4551191867622</v>
      </c>
      <c r="R135" s="39">
        <f t="shared" si="20"/>
        <v>7178.4551191867622</v>
      </c>
      <c r="T135" s="39">
        <f xml:space="preserve"> SUM(S120:S127)*1000*N2O_PRG</f>
        <v>11104.985047636963</v>
      </c>
    </row>
    <row r="136" spans="2:20" x14ac:dyDescent="0.35">
      <c r="B136" s="75" t="s">
        <v>426</v>
      </c>
      <c r="E136" s="39">
        <f t="shared" ref="E136:R136" si="21">_xlfn.XLOOKUP(E119,$K$40:$N$40,$K$41:$N$41)*N2O_PRG*1000*E73</f>
        <v>16934.099844961846</v>
      </c>
      <c r="F136" s="39">
        <f t="shared" si="21"/>
        <v>16866.558998145163</v>
      </c>
      <c r="G136" s="39">
        <f t="shared" si="21"/>
        <v>16609.535782229956</v>
      </c>
      <c r="H136" s="39">
        <f t="shared" si="21"/>
        <v>16492.061001963481</v>
      </c>
      <c r="I136" s="39">
        <f t="shared" si="21"/>
        <v>16656.039382180203</v>
      </c>
      <c r="J136" s="39">
        <f t="shared" si="21"/>
        <v>16958.464754405668</v>
      </c>
      <c r="K136" s="39">
        <f t="shared" si="21"/>
        <v>16999.731874623314</v>
      </c>
      <c r="L136" s="39">
        <f t="shared" si="21"/>
        <v>17203.110239646867</v>
      </c>
      <c r="M136" s="39">
        <f t="shared" si="21"/>
        <v>17272.8969335275</v>
      </c>
      <c r="N136" s="39">
        <f t="shared" si="21"/>
        <v>17455.262601712267</v>
      </c>
      <c r="O136" s="39">
        <f t="shared" si="21"/>
        <v>16957.399726247371</v>
      </c>
      <c r="P136" s="39">
        <f t="shared" si="21"/>
        <v>17164.765902349816</v>
      </c>
      <c r="Q136" s="39">
        <f t="shared" si="21"/>
        <v>17386.856303974331</v>
      </c>
      <c r="R136" s="39">
        <f t="shared" si="21"/>
        <v>17648.518061689399</v>
      </c>
      <c r="T136" s="39">
        <f>_xlfn.XLOOKUP(S119,$K$40:$N$40,$K$41:$N$41)*N2O_PRG*1000*AG73</f>
        <v>16320.804756327603</v>
      </c>
    </row>
    <row r="137" spans="2:20" x14ac:dyDescent="0.35">
      <c r="B137" s="75" t="s">
        <v>427</v>
      </c>
      <c r="E137" s="39">
        <f t="shared" ref="E137:R137" si="22">_xlfn.XLOOKUP(E119,$K$40:$N$40,$K$42:$N$42)*E71*1000*N2O_PRG</f>
        <v>146562.23755935265</v>
      </c>
      <c r="F137" s="39">
        <f t="shared" si="22"/>
        <v>146414.45373254601</v>
      </c>
      <c r="G137" s="39">
        <f t="shared" si="22"/>
        <v>152201.7365409575</v>
      </c>
      <c r="H137" s="39">
        <f t="shared" si="22"/>
        <v>152391.6177400318</v>
      </c>
      <c r="I137" s="39">
        <f t="shared" si="22"/>
        <v>152660.26447353695</v>
      </c>
      <c r="J137" s="39">
        <f t="shared" si="22"/>
        <v>152827.64123420246</v>
      </c>
      <c r="K137" s="39">
        <f t="shared" si="22"/>
        <v>153797.01261083744</v>
      </c>
      <c r="L137" s="39">
        <f t="shared" si="22"/>
        <v>154698.36104653546</v>
      </c>
      <c r="M137" s="39">
        <f t="shared" si="22"/>
        <v>154384.66340198545</v>
      </c>
      <c r="N137" s="39">
        <f t="shared" si="22"/>
        <v>154811.91675496989</v>
      </c>
      <c r="O137" s="39">
        <f t="shared" si="22"/>
        <v>154902.76132171741</v>
      </c>
      <c r="P137" s="39">
        <f t="shared" si="22"/>
        <v>155154.00332662847</v>
      </c>
      <c r="Q137" s="39">
        <f t="shared" si="22"/>
        <v>155592.61225045635</v>
      </c>
      <c r="R137" s="39">
        <f t="shared" si="22"/>
        <v>155379.69529714188</v>
      </c>
      <c r="T137" s="39">
        <f>_xlfn.XLOOKUP(S119,$K$40:$N$40,$K$42:$N$42)*T71*1000*N2O_PRG</f>
        <v>197083.48355433522</v>
      </c>
    </row>
    <row r="138" spans="2:20" ht="13" customHeight="1" x14ac:dyDescent="0.35">
      <c r="B138" s="75" t="s">
        <v>419</v>
      </c>
      <c r="E138" s="39">
        <f xml:space="preserve"> _xlfn.XLOOKUP(E119,$K$44:$N$44,$K$46:$N$46)*E71*1000+_xlfn.XLOOKUP(E119,$K$40:$N$40,$K$45:$N$45)*E71*1000</f>
        <v>4789.230519006197</v>
      </c>
      <c r="F138" s="39">
        <f t="shared" ref="F138:R138" si="23" xml:space="preserve"> _xlfn.XLOOKUP(F119,$K$44:$N$44,$K$46:$N$46)*F71*1000+_xlfn.XLOOKUP(F119,$K$40:$N$40,$K$45:$N$45)*F71*1000</f>
        <v>4784.4013704796453</v>
      </c>
      <c r="G138" s="39">
        <f t="shared" si="23"/>
        <v>4705.927459763634</v>
      </c>
      <c r="H138" s="39">
        <f t="shared" si="23"/>
        <v>4711.798399012584</v>
      </c>
      <c r="I138" s="39">
        <f t="shared" si="23"/>
        <v>4720.1046908388753</v>
      </c>
      <c r="J138" s="39">
        <f t="shared" si="23"/>
        <v>4725.2798150657272</v>
      </c>
      <c r="K138" s="39">
        <f t="shared" si="23"/>
        <v>4612.8561480598128</v>
      </c>
      <c r="L138" s="39">
        <f t="shared" si="23"/>
        <v>4639.8904226700379</v>
      </c>
      <c r="M138" s="39">
        <f t="shared" si="23"/>
        <v>4630.4816436324636</v>
      </c>
      <c r="N138" s="39">
        <f t="shared" si="23"/>
        <v>4643.2963155343186</v>
      </c>
      <c r="O138" s="39">
        <f t="shared" si="23"/>
        <v>4646.0210298257434</v>
      </c>
      <c r="P138" s="39">
        <f t="shared" si="23"/>
        <v>4653.556567787964</v>
      </c>
      <c r="Q138" s="39">
        <f t="shared" si="23"/>
        <v>4666.7118289762475</v>
      </c>
      <c r="R138" s="39">
        <f t="shared" si="23"/>
        <v>4660.3257798557206</v>
      </c>
      <c r="T138" s="39">
        <f xml:space="preserve"> _xlfn.XLOOKUP(S119,$K$44:$N$44,$K$46:$N$46)*S71*1000+_xlfn.XLOOKUP(S119,$K$40:$N$40,$K$45:$N$45)*S71*1000</f>
        <v>5035.5376507286892</v>
      </c>
    </row>
    <row r="139" spans="2:20" x14ac:dyDescent="0.35">
      <c r="B139" s="75" t="s">
        <v>60</v>
      </c>
      <c r="E139" s="39">
        <f>_xlfn.XLOOKUP(E119,$K$44:$N$44,$K$47:$N$47)*1000*E71</f>
        <v>53427.531506735795</v>
      </c>
      <c r="F139" s="39"/>
      <c r="G139" s="39"/>
      <c r="H139" s="39"/>
      <c r="I139" s="39">
        <f t="shared" ref="I139:M139" si="24">_xlfn.XLOOKUP(I119,$K$44:$N$44,$K$47:$N$47)*1000*I71</f>
        <v>-88666.780145749188</v>
      </c>
      <c r="J139" s="39"/>
      <c r="K139" s="39"/>
      <c r="L139" s="39"/>
      <c r="M139" s="39">
        <f t="shared" si="24"/>
        <v>208056.66933777326</v>
      </c>
      <c r="N139" s="39"/>
      <c r="O139" s="39"/>
      <c r="P139" s="39"/>
      <c r="Q139" s="39"/>
      <c r="R139" s="39"/>
      <c r="T139" s="39">
        <f>_xlfn.XLOOKUP(S119,$K$44:$N$44,$K$47:$N$47)*1000*S71</f>
        <v>54611.730888216189</v>
      </c>
    </row>
    <row r="140" spans="2:20" x14ac:dyDescent="0.35"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T140" s="39"/>
    </row>
    <row r="141" spans="2:20" x14ac:dyDescent="0.35"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T141" s="39"/>
    </row>
    <row r="143" spans="2:20" s="52" customFormat="1" x14ac:dyDescent="0.35">
      <c r="B143" s="54" t="s">
        <v>142</v>
      </c>
      <c r="C143" s="179"/>
    </row>
    <row r="144" spans="2:20" x14ac:dyDescent="0.35">
      <c r="E144" s="39"/>
    </row>
    <row r="146" spans="2:25" x14ac:dyDescent="0.35">
      <c r="B146" s="124" t="s">
        <v>781</v>
      </c>
      <c r="D146" s="684"/>
      <c r="U146" s="124" t="s">
        <v>774</v>
      </c>
      <c r="X146" s="39"/>
    </row>
    <row r="147" spans="2:25" x14ac:dyDescent="0.35">
      <c r="B147" s="43"/>
      <c r="C147" s="41">
        <v>2005</v>
      </c>
      <c r="D147" s="41">
        <v>2015</v>
      </c>
      <c r="E147" s="41">
        <v>2019</v>
      </c>
      <c r="F147" s="41">
        <v>2023</v>
      </c>
      <c r="U147" s="43"/>
      <c r="V147" s="41" t="s">
        <v>143</v>
      </c>
      <c r="W147" s="41" t="s">
        <v>144</v>
      </c>
      <c r="X147" s="695" t="s">
        <v>248</v>
      </c>
    </row>
    <row r="148" spans="2:25" x14ac:dyDescent="0.35">
      <c r="B148" s="268" t="s">
        <v>782</v>
      </c>
      <c r="C148">
        <v>14.52</v>
      </c>
      <c r="D148">
        <v>30.22</v>
      </c>
      <c r="E148">
        <v>44.1</v>
      </c>
      <c r="F148">
        <v>46.94</v>
      </c>
      <c r="U148" s="268" t="s">
        <v>145</v>
      </c>
      <c r="V148" s="6">
        <v>46.9</v>
      </c>
      <c r="W148" s="277">
        <v>164290000</v>
      </c>
      <c r="X148" s="78">
        <f>W148*'Facteurs d''émissions'!$G$8/1000</f>
        <v>33055.148000000001</v>
      </c>
    </row>
    <row r="149" spans="2:25" x14ac:dyDescent="0.35">
      <c r="B149" s="268" t="s">
        <v>783</v>
      </c>
      <c r="C149" s="39">
        <f>D149</f>
        <v>1.6462585034013604</v>
      </c>
      <c r="D149" s="39">
        <f>E149/E148*C148</f>
        <v>1.6462585034013604</v>
      </c>
      <c r="E149">
        <v>5</v>
      </c>
      <c r="F149">
        <v>5</v>
      </c>
      <c r="U149" s="268" t="s">
        <v>146</v>
      </c>
      <c r="V149" s="6">
        <v>5</v>
      </c>
      <c r="W149" s="277">
        <f>V149*$W$152*1000</f>
        <v>1750000</v>
      </c>
      <c r="X149" s="78">
        <f>W149*'Facteurs d''émissions'!$G$8/1000</f>
        <v>352.1</v>
      </c>
    </row>
    <row r="150" spans="2:25" x14ac:dyDescent="0.35">
      <c r="B150" s="268" t="s">
        <v>7</v>
      </c>
      <c r="C150" s="39">
        <f>C148+C149</f>
        <v>16.166258503401359</v>
      </c>
      <c r="D150" s="39">
        <f t="shared" ref="D150:F150" si="25">D148+D149</f>
        <v>31.866258503401358</v>
      </c>
      <c r="E150" s="39">
        <f t="shared" si="25"/>
        <v>49.1</v>
      </c>
      <c r="F150" s="39">
        <f t="shared" si="25"/>
        <v>51.94</v>
      </c>
      <c r="U150" s="268" t="s">
        <v>7</v>
      </c>
      <c r="V150" s="74"/>
      <c r="W150" s="284"/>
      <c r="X150" s="285">
        <f>SUM(X148:X149)</f>
        <v>33407.248</v>
      </c>
    </row>
    <row r="151" spans="2:25" x14ac:dyDescent="0.35">
      <c r="X151" s="39"/>
    </row>
    <row r="152" spans="2:25" x14ac:dyDescent="0.35">
      <c r="B152" s="124" t="s">
        <v>784</v>
      </c>
      <c r="U152" t="s">
        <v>775</v>
      </c>
      <c r="W152">
        <v>350</v>
      </c>
      <c r="X152" s="39"/>
    </row>
    <row r="153" spans="2:25" s="684" customFormat="1" x14ac:dyDescent="0.35">
      <c r="B153" s="43"/>
      <c r="C153" s="41">
        <v>2005</v>
      </c>
      <c r="D153" s="41">
        <v>2015</v>
      </c>
      <c r="E153" s="41">
        <v>2019</v>
      </c>
      <c r="F153" s="41">
        <v>2023</v>
      </c>
      <c r="H153" s="124" t="s">
        <v>790</v>
      </c>
      <c r="X153" s="39"/>
    </row>
    <row r="154" spans="2:25" s="684" customFormat="1" x14ac:dyDescent="0.35">
      <c r="B154" s="268" t="s">
        <v>786</v>
      </c>
      <c r="C154" s="162"/>
      <c r="D154" s="162"/>
      <c r="E154" s="162"/>
      <c r="F154" s="162">
        <f>F150*10000*F$158</f>
        <v>181790000</v>
      </c>
      <c r="U154" s="124" t="s">
        <v>776</v>
      </c>
      <c r="V154"/>
      <c r="W154"/>
      <c r="X154"/>
      <c r="Y154"/>
    </row>
    <row r="155" spans="2:25" s="684" customFormat="1" x14ac:dyDescent="0.35">
      <c r="B155" s="268" t="s">
        <v>785</v>
      </c>
      <c r="C155" s="162">
        <f>C150*D155/D150*C165</f>
        <v>48682.635075148908</v>
      </c>
      <c r="D155" s="162">
        <f>D150*E155/E150*D165</f>
        <v>41782.304444010661</v>
      </c>
      <c r="E155" s="162">
        <f>E150*F155/F150*E165</f>
        <v>45315.837244490278</v>
      </c>
      <c r="F155" s="162">
        <f>F154*'Facteurs d''émissions'!$G$8/1000</f>
        <v>36576.148000000001</v>
      </c>
      <c r="U155" s="43"/>
      <c r="V155" s="43" t="s">
        <v>778</v>
      </c>
      <c r="W155" s="41">
        <v>2015</v>
      </c>
      <c r="X155" s="41">
        <v>2019</v>
      </c>
      <c r="Y155" s="695">
        <v>2023</v>
      </c>
    </row>
    <row r="156" spans="2:25" s="684" customFormat="1" x14ac:dyDescent="0.35">
      <c r="D156" s="39"/>
      <c r="E156" s="39"/>
      <c r="F156" s="39"/>
      <c r="U156" s="268" t="s">
        <v>777</v>
      </c>
      <c r="V156" s="45">
        <f>W156</f>
        <v>110.97</v>
      </c>
      <c r="W156">
        <v>110.97</v>
      </c>
      <c r="X156">
        <v>126.52</v>
      </c>
      <c r="Y156">
        <v>90.87</v>
      </c>
    </row>
    <row r="157" spans="2:25" s="684" customFormat="1" x14ac:dyDescent="0.35">
      <c r="U157" s="268" t="s">
        <v>456</v>
      </c>
      <c r="V157" s="696">
        <f>V156/$Y$156</f>
        <v>1.2211951138989765</v>
      </c>
      <c r="W157" s="177">
        <f>W156/$Y$156</f>
        <v>1.2211951138989765</v>
      </c>
      <c r="X157" s="177">
        <f>X156/$Y$156</f>
        <v>1.392318697039727</v>
      </c>
      <c r="Y157" s="177">
        <f>Y156/$Y$156</f>
        <v>1</v>
      </c>
    </row>
    <row r="158" spans="2:25" x14ac:dyDescent="0.35">
      <c r="B158" t="s">
        <v>792</v>
      </c>
      <c r="F158">
        <f>164290000/(F148*10000)</f>
        <v>350</v>
      </c>
      <c r="U158" s="268" t="s">
        <v>773</v>
      </c>
      <c r="V158" s="46">
        <f>V157*$X$150</f>
        <v>40796.768026411351</v>
      </c>
      <c r="W158" s="39">
        <f>W157*$X$150</f>
        <v>40796.768026411351</v>
      </c>
      <c r="X158" s="39">
        <f>X157*$X$150</f>
        <v>46513.536007043025</v>
      </c>
      <c r="Y158" s="39">
        <f>Y157*$X$150</f>
        <v>33407.248</v>
      </c>
    </row>
    <row r="159" spans="2:25" s="684" customFormat="1" x14ac:dyDescent="0.35">
      <c r="U159" s="268"/>
      <c r="V159" s="46"/>
      <c r="W159" s="39"/>
      <c r="X159" s="39"/>
      <c r="Y159" s="39"/>
    </row>
    <row r="160" spans="2:25" s="684" customFormat="1" x14ac:dyDescent="0.35">
      <c r="B160" s="124" t="s">
        <v>776</v>
      </c>
      <c r="C160"/>
      <c r="D160"/>
      <c r="E160"/>
      <c r="F160"/>
      <c r="H160" s="684" t="s">
        <v>793</v>
      </c>
      <c r="U160" s="268"/>
      <c r="V160" s="46"/>
      <c r="W160" s="39"/>
      <c r="X160" s="39"/>
      <c r="Y160" s="39"/>
    </row>
    <row r="161" spans="2:25" s="684" customFormat="1" x14ac:dyDescent="0.35">
      <c r="B161" s="43"/>
      <c r="C161" s="41">
        <v>2005</v>
      </c>
      <c r="D161" s="41">
        <v>2015</v>
      </c>
      <c r="E161" s="41">
        <v>2019</v>
      </c>
      <c r="F161" s="41">
        <v>2023</v>
      </c>
      <c r="H161" s="43"/>
      <c r="I161" s="41">
        <v>1985</v>
      </c>
      <c r="J161" s="41">
        <v>1997</v>
      </c>
      <c r="K161" s="41">
        <v>2009</v>
      </c>
      <c r="L161" s="41">
        <v>2018</v>
      </c>
      <c r="U161" s="268"/>
      <c r="V161" s="46"/>
      <c r="W161" s="39"/>
      <c r="X161" s="39"/>
      <c r="Y161" s="39"/>
    </row>
    <row r="162" spans="2:25" s="684" customFormat="1" x14ac:dyDescent="0.35">
      <c r="B162" s="268" t="s">
        <v>788</v>
      </c>
      <c r="C162" s="684">
        <v>9.4</v>
      </c>
      <c r="D162" s="684">
        <v>9.4</v>
      </c>
      <c r="E162" s="684">
        <v>10.1</v>
      </c>
      <c r="F162" s="684">
        <v>10.1</v>
      </c>
      <c r="H162" s="268" t="s">
        <v>788</v>
      </c>
      <c r="I162" s="684">
        <v>5.0999999999999996</v>
      </c>
      <c r="J162" s="684">
        <v>7.9</v>
      </c>
      <c r="K162" s="684">
        <v>9.4</v>
      </c>
      <c r="L162" s="684">
        <v>10.1</v>
      </c>
      <c r="U162" s="268"/>
      <c r="V162" s="46"/>
      <c r="W162" s="39"/>
      <c r="X162" s="39"/>
      <c r="Y162" s="39"/>
    </row>
    <row r="163" spans="2:25" s="684" customFormat="1" x14ac:dyDescent="0.35">
      <c r="B163" s="268" t="s">
        <v>787</v>
      </c>
      <c r="C163" s="684">
        <v>331.7</v>
      </c>
      <c r="D163">
        <v>205.18</v>
      </c>
      <c r="E163">
        <v>203.38</v>
      </c>
      <c r="F163">
        <v>155.18</v>
      </c>
      <c r="U163" s="268"/>
      <c r="V163" s="46"/>
      <c r="W163" s="39"/>
      <c r="X163" s="39"/>
      <c r="Y163" s="39"/>
    </row>
    <row r="164" spans="2:25" s="684" customFormat="1" x14ac:dyDescent="0.35">
      <c r="B164" s="268" t="s">
        <v>789</v>
      </c>
      <c r="C164" s="48">
        <f>C163/C162</f>
        <v>35.287234042553187</v>
      </c>
      <c r="D164" s="48">
        <f>D163/D162</f>
        <v>21.827659574468086</v>
      </c>
      <c r="E164" s="48">
        <f>E163/E162</f>
        <v>20.136633663366336</v>
      </c>
      <c r="F164" s="48">
        <f>F163/F162</f>
        <v>15.364356435643566</v>
      </c>
      <c r="U164" s="268"/>
      <c r="V164" s="46"/>
      <c r="W164" s="39"/>
      <c r="X164" s="39"/>
      <c r="Y164" s="39"/>
    </row>
    <row r="165" spans="2:25" s="684" customFormat="1" x14ac:dyDescent="0.35">
      <c r="B165" s="268" t="s">
        <v>791</v>
      </c>
      <c r="C165" s="177">
        <f t="shared" ref="C165:E165" si="26">C164/$F$164</f>
        <v>2.2966945729461732</v>
      </c>
      <c r="D165" s="177">
        <f t="shared" si="26"/>
        <v>1.4206686538350795</v>
      </c>
      <c r="E165" s="177">
        <f t="shared" si="26"/>
        <v>1.3106070369893026</v>
      </c>
      <c r="F165" s="177">
        <f>F164/$F$164</f>
        <v>1</v>
      </c>
      <c r="U165" s="268"/>
      <c r="V165" s="46"/>
      <c r="W165" s="39"/>
      <c r="X165" s="39"/>
      <c r="Y165" s="39"/>
    </row>
    <row r="166" spans="2:25" s="684" customFormat="1" x14ac:dyDescent="0.35">
      <c r="U166" s="268"/>
      <c r="V166" s="46"/>
      <c r="W166" s="39"/>
      <c r="X166" s="39"/>
      <c r="Y166" s="39"/>
    </row>
    <row r="167" spans="2:25" s="684" customFormat="1" x14ac:dyDescent="0.35">
      <c r="U167" s="268"/>
      <c r="V167" s="46"/>
      <c r="W167" s="39"/>
      <c r="X167" s="39"/>
      <c r="Y167" s="39"/>
    </row>
    <row r="168" spans="2:25" s="684" customFormat="1" x14ac:dyDescent="0.35">
      <c r="U168" s="268"/>
      <c r="V168" s="46"/>
      <c r="W168" s="39"/>
      <c r="X168" s="39"/>
      <c r="Y168" s="39"/>
    </row>
    <row r="169" spans="2:25" s="684" customFormat="1" x14ac:dyDescent="0.35">
      <c r="F169" s="39"/>
    </row>
    <row r="170" spans="2:25" s="52" customFormat="1" x14ac:dyDescent="0.35">
      <c r="B170" s="54" t="s">
        <v>240</v>
      </c>
    </row>
    <row r="172" spans="2:25" x14ac:dyDescent="0.35">
      <c r="B172" s="41"/>
      <c r="C172" s="41">
        <v>1990</v>
      </c>
      <c r="D172" s="41">
        <v>2015</v>
      </c>
      <c r="E172" s="41">
        <v>2019</v>
      </c>
      <c r="F172" s="41">
        <v>2023</v>
      </c>
    </row>
    <row r="173" spans="2:25" x14ac:dyDescent="0.35">
      <c r="B173" s="2" t="s">
        <v>241</v>
      </c>
      <c r="C173" s="162">
        <v>399.9161662262</v>
      </c>
      <c r="D173" s="162">
        <v>398.65250139667529</v>
      </c>
      <c r="E173" s="162">
        <v>384.64048605461528</v>
      </c>
      <c r="F173" s="162">
        <v>380.35535254467868</v>
      </c>
    </row>
    <row r="174" spans="2:25" x14ac:dyDescent="0.35">
      <c r="B174" s="2" t="s">
        <v>242</v>
      </c>
      <c r="C174" s="39">
        <f>AG70</f>
        <v>1066980</v>
      </c>
      <c r="D174" s="162">
        <f xml:space="preserve"> _xlfn.XLOOKUP(D$172,$E$69:$AG$69,$E$70:$AG$70)</f>
        <v>1049725</v>
      </c>
      <c r="E174" s="162">
        <f xml:space="preserve"> _xlfn.XLOOKUP(E$172,$E$69:$AG$69,$E$70:$AG$70)</f>
        <v>1043729</v>
      </c>
      <c r="F174" s="162">
        <f xml:space="preserve"> _xlfn.XLOOKUP(F$172,$E$69:$AG$69,$E$70:$AG$70)</f>
        <v>1042030</v>
      </c>
    </row>
    <row r="175" spans="2:25" x14ac:dyDescent="0.35">
      <c r="B175" s="2" t="s">
        <v>243</v>
      </c>
      <c r="C175" s="39">
        <f>AG71</f>
        <v>108833</v>
      </c>
      <c r="D175" s="162">
        <f xml:space="preserve"> _xlfn.XLOOKUP(D$172,$E$69:$AG$69,$E$71:$AG$71)</f>
        <v>108764</v>
      </c>
      <c r="E175" s="162">
        <f xml:space="preserve"> _xlfn.XLOOKUP(E$172,$E$69:$AG$69,$E$71:$AG$71)</f>
        <v>108537</v>
      </c>
      <c r="F175" s="162">
        <f xml:space="preserve"> _xlfn.XLOOKUP(F$172,$E$69:$AG$69,$E$71:$AG$71)</f>
        <v>108099</v>
      </c>
    </row>
    <row r="176" spans="2:25" x14ac:dyDescent="0.35">
      <c r="B176" s="268" t="s">
        <v>244</v>
      </c>
      <c r="C176" s="178">
        <f>C173*1000*C175/C174</f>
        <v>40791.838758829617</v>
      </c>
      <c r="D176" s="178">
        <f>D173*1000*D175/D174</f>
        <v>41305.142453412074</v>
      </c>
      <c r="E176" s="178">
        <f t="shared" ref="E176" si="27">E173*1000*E175/E174</f>
        <v>39998.624580623691</v>
      </c>
      <c r="F176" s="178">
        <f>F173*1000*F175/F174</f>
        <v>39457.629103506828</v>
      </c>
    </row>
    <row r="179" spans="2:5" s="52" customFormat="1" x14ac:dyDescent="0.35">
      <c r="B179" s="54" t="s">
        <v>818</v>
      </c>
    </row>
    <row r="181" spans="2:5" s="684" customFormat="1" x14ac:dyDescent="0.35">
      <c r="C181" s="124" t="s">
        <v>813</v>
      </c>
    </row>
    <row r="182" spans="2:5" x14ac:dyDescent="0.35">
      <c r="B182" s="52"/>
      <c r="C182" s="54" t="s">
        <v>812</v>
      </c>
      <c r="D182" s="52"/>
      <c r="E182" s="52"/>
    </row>
    <row r="183" spans="2:5" x14ac:dyDescent="0.35">
      <c r="B183">
        <v>1990</v>
      </c>
      <c r="C183">
        <v>99</v>
      </c>
    </row>
    <row r="184" spans="2:5" x14ac:dyDescent="0.35">
      <c r="B184">
        <v>2015</v>
      </c>
      <c r="C184">
        <v>86</v>
      </c>
      <c r="D184" s="39">
        <f>C184*'Agriculture - Emissions'!J11/'Agriculture - Calcul'!E71</f>
        <v>50.467790655031649</v>
      </c>
    </row>
    <row r="185" spans="2:5" x14ac:dyDescent="0.35">
      <c r="B185">
        <v>2019</v>
      </c>
      <c r="C185">
        <v>86</v>
      </c>
    </row>
    <row r="186" spans="2:5" x14ac:dyDescent="0.35">
      <c r="B186">
        <v>2023</v>
      </c>
      <c r="C186">
        <v>86</v>
      </c>
    </row>
    <row r="190" spans="2:5" x14ac:dyDescent="0.35">
      <c r="D190" s="705"/>
    </row>
  </sheetData>
  <mergeCells count="3">
    <mergeCell ref="B8:G8"/>
    <mergeCell ref="J8:P8"/>
    <mergeCell ref="Q8:V8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4B807-2A72-416D-9800-C8BB8901DCAE}">
  <sheetPr>
    <tabColor rgb="FF7030A0"/>
  </sheetPr>
  <dimension ref="A2:K58"/>
  <sheetViews>
    <sheetView topLeftCell="A14" workbookViewId="0">
      <selection activeCell="D41" sqref="D41"/>
    </sheetView>
  </sheetViews>
  <sheetFormatPr baseColWidth="10" defaultRowHeight="14.5" x14ac:dyDescent="0.35"/>
  <cols>
    <col min="3" max="3" width="24.7265625" customWidth="1"/>
    <col min="4" max="4" width="29.54296875" customWidth="1"/>
    <col min="5" max="8" width="10.81640625" style="162"/>
    <col min="9" max="10" width="28.54296875" style="162" customWidth="1"/>
  </cols>
  <sheetData>
    <row r="2" spans="1:11" s="316" customFormat="1" ht="26" x14ac:dyDescent="0.6">
      <c r="B2" s="321" t="s">
        <v>280</v>
      </c>
      <c r="E2" s="346"/>
      <c r="F2" s="346"/>
      <c r="G2" s="346"/>
      <c r="H2" s="346"/>
      <c r="I2" s="346"/>
      <c r="J2" s="346"/>
    </row>
    <row r="4" spans="1:11" x14ac:dyDescent="0.35">
      <c r="A4" s="251">
        <v>2023</v>
      </c>
      <c r="B4" s="252"/>
      <c r="C4" s="252"/>
      <c r="D4" s="252"/>
      <c r="E4" s="347"/>
      <c r="F4" s="347"/>
      <c r="G4" s="347"/>
      <c r="H4" s="347"/>
      <c r="I4" s="347"/>
      <c r="J4" s="347"/>
      <c r="K4" s="252"/>
    </row>
    <row r="5" spans="1:11" x14ac:dyDescent="0.35">
      <c r="A5" s="6"/>
      <c r="B5" s="6"/>
      <c r="C5" s="7"/>
      <c r="D5" s="6"/>
      <c r="E5" s="277"/>
      <c r="F5" s="277"/>
      <c r="G5" s="277"/>
      <c r="H5" s="277"/>
      <c r="I5" s="277"/>
      <c r="J5" s="277"/>
      <c r="K5" s="6"/>
    </row>
    <row r="6" spans="1:11" ht="29" x14ac:dyDescent="0.35">
      <c r="E6" s="970" t="s">
        <v>722</v>
      </c>
      <c r="F6" s="971"/>
      <c r="G6" s="971"/>
      <c r="H6" s="972"/>
      <c r="I6" s="667" t="s">
        <v>731</v>
      </c>
      <c r="J6" s="668" t="s">
        <v>723</v>
      </c>
    </row>
    <row r="7" spans="1:11" ht="15" thickBot="1" x14ac:dyDescent="0.4">
      <c r="B7" s="15" t="s">
        <v>5</v>
      </c>
      <c r="C7" s="17" t="s">
        <v>340</v>
      </c>
      <c r="D7" s="17" t="s">
        <v>1</v>
      </c>
      <c r="E7" s="241" t="s">
        <v>48</v>
      </c>
      <c r="F7" s="240" t="s">
        <v>3</v>
      </c>
      <c r="G7" s="240" t="s">
        <v>50</v>
      </c>
      <c r="H7" s="278" t="s">
        <v>4</v>
      </c>
      <c r="I7" s="241" t="s">
        <v>4</v>
      </c>
      <c r="J7" s="666" t="s">
        <v>4</v>
      </c>
    </row>
    <row r="8" spans="1:11" ht="15" thickTop="1" x14ac:dyDescent="0.35">
      <c r="B8" s="10">
        <v>2023</v>
      </c>
      <c r="C8" s="18" t="s">
        <v>281</v>
      </c>
      <c r="D8" s="12" t="str">
        <f>'Consommation - Calcul'!B8</f>
        <v>Habits et chaussures</v>
      </c>
      <c r="E8" s="319">
        <v>0</v>
      </c>
      <c r="F8" s="226">
        <v>0</v>
      </c>
      <c r="G8" s="226">
        <v>0</v>
      </c>
      <c r="H8" s="290">
        <f>'Gaz synth. - Calcul'!F20</f>
        <v>0</v>
      </c>
      <c r="I8" s="319">
        <f>'Consommation - Calcul'!C40</f>
        <v>253631.88422227168</v>
      </c>
      <c r="J8" s="649">
        <f>I8+H8</f>
        <v>253631.88422227168</v>
      </c>
      <c r="K8" s="11"/>
    </row>
    <row r="9" spans="1:11" x14ac:dyDescent="0.35">
      <c r="B9" s="10">
        <v>2023</v>
      </c>
      <c r="C9" s="18"/>
      <c r="D9" s="12" t="str">
        <f>'Consommation - Calcul'!B10</f>
        <v>Santé</v>
      </c>
      <c r="E9" s="149">
        <v>0</v>
      </c>
      <c r="F9" s="148">
        <v>0</v>
      </c>
      <c r="G9" s="148">
        <v>0</v>
      </c>
      <c r="H9" s="152">
        <v>0</v>
      </c>
      <c r="I9" s="149">
        <f>'Consommation - Calcul'!C42</f>
        <v>326619.47680422041</v>
      </c>
      <c r="J9" s="650">
        <f t="shared" ref="J9:J20" si="0">I9+H9</f>
        <v>326619.47680422041</v>
      </c>
      <c r="K9" s="11"/>
    </row>
    <row r="10" spans="1:11" x14ac:dyDescent="0.35">
      <c r="B10" s="10">
        <v>2023</v>
      </c>
      <c r="C10" s="18"/>
      <c r="D10" s="12" t="str">
        <f>'Consommation - Calcul'!B11</f>
        <v>Loisirs et culture</v>
      </c>
      <c r="E10" s="149">
        <v>0</v>
      </c>
      <c r="F10" s="148">
        <v>0</v>
      </c>
      <c r="G10" s="148">
        <v>0</v>
      </c>
      <c r="H10" s="152">
        <v>0</v>
      </c>
      <c r="I10" s="149">
        <f>'Consommation - Calcul'!C43</f>
        <v>555618.04853008443</v>
      </c>
      <c r="J10" s="650">
        <f t="shared" si="0"/>
        <v>555618.04853008443</v>
      </c>
      <c r="K10" s="11"/>
    </row>
    <row r="11" spans="1:11" x14ac:dyDescent="0.35">
      <c r="B11" s="10">
        <v>2023</v>
      </c>
      <c r="C11" s="18"/>
      <c r="D11" s="12" t="str">
        <f>'Consommation - Calcul'!B12</f>
        <v>Biens et service divers</v>
      </c>
      <c r="E11" s="149">
        <v>0</v>
      </c>
      <c r="F11" s="148">
        <v>0</v>
      </c>
      <c r="G11" s="148">
        <v>0</v>
      </c>
      <c r="H11" s="152">
        <v>0</v>
      </c>
      <c r="I11" s="149">
        <f>'Consommation - Calcul'!C44</f>
        <v>603059.98370835104</v>
      </c>
      <c r="J11" s="650">
        <f t="shared" si="0"/>
        <v>603059.98370835104</v>
      </c>
      <c r="K11" s="11"/>
    </row>
    <row r="12" spans="1:11" x14ac:dyDescent="0.35">
      <c r="B12" s="20" t="s">
        <v>6</v>
      </c>
      <c r="C12" s="21"/>
      <c r="D12" s="22"/>
      <c r="E12" s="213">
        <f t="shared" ref="E12:I12" si="1">SUM(E8:E11)</f>
        <v>0</v>
      </c>
      <c r="F12" s="211">
        <f t="shared" si="1"/>
        <v>0</v>
      </c>
      <c r="G12" s="211">
        <f t="shared" si="1"/>
        <v>0</v>
      </c>
      <c r="H12" s="211">
        <f t="shared" si="1"/>
        <v>0</v>
      </c>
      <c r="I12" s="213">
        <f t="shared" si="1"/>
        <v>1738929.3932649274</v>
      </c>
      <c r="J12" s="654">
        <f t="shared" si="0"/>
        <v>1738929.3932649274</v>
      </c>
      <c r="K12" s="11"/>
    </row>
    <row r="13" spans="1:11" x14ac:dyDescent="0.35">
      <c r="B13" s="10">
        <v>2023</v>
      </c>
      <c r="C13" s="18" t="s">
        <v>263</v>
      </c>
      <c r="D13" s="12" t="s">
        <v>271</v>
      </c>
      <c r="E13" s="149">
        <v>0</v>
      </c>
      <c r="F13" s="148">
        <v>0</v>
      </c>
      <c r="G13" s="148">
        <v>0</v>
      </c>
      <c r="H13" s="152">
        <v>0</v>
      </c>
      <c r="I13" s="149">
        <f>'Consommation - Calcul'!C45</f>
        <v>1023614.4921655394</v>
      </c>
      <c r="J13" s="650">
        <f t="shared" si="0"/>
        <v>1023614.4921655394</v>
      </c>
      <c r="K13" s="11"/>
    </row>
    <row r="14" spans="1:11" x14ac:dyDescent="0.35">
      <c r="B14" s="10">
        <v>2023</v>
      </c>
      <c r="C14" s="18"/>
      <c r="D14" s="12" t="str">
        <f>'Consommation - Calcul'!B9</f>
        <v>Restaurant et hôtel</v>
      </c>
      <c r="E14" s="149">
        <v>0</v>
      </c>
      <c r="F14" s="148">
        <v>0</v>
      </c>
      <c r="G14" s="148">
        <v>0</v>
      </c>
      <c r="H14" s="152">
        <v>0</v>
      </c>
      <c r="I14" s="149">
        <f>'Consommation - Calcul'!C41</f>
        <v>325707.131896946</v>
      </c>
      <c r="J14" s="650">
        <f t="shared" si="0"/>
        <v>325707.131896946</v>
      </c>
      <c r="K14" s="11"/>
    </row>
    <row r="15" spans="1:11" x14ac:dyDescent="0.35">
      <c r="B15" s="20" t="s">
        <v>6</v>
      </c>
      <c r="C15" s="21"/>
      <c r="D15" s="22"/>
      <c r="E15" s="213">
        <f>E14+E13</f>
        <v>0</v>
      </c>
      <c r="F15" s="211">
        <f t="shared" ref="F15:I15" si="2">F14+F13</f>
        <v>0</v>
      </c>
      <c r="G15" s="211">
        <f t="shared" si="2"/>
        <v>0</v>
      </c>
      <c r="H15" s="210">
        <f t="shared" si="2"/>
        <v>0</v>
      </c>
      <c r="I15" s="213">
        <f t="shared" si="2"/>
        <v>1349321.6240624855</v>
      </c>
      <c r="J15" s="654">
        <f t="shared" si="0"/>
        <v>1349321.6240624855</v>
      </c>
      <c r="K15" s="11"/>
    </row>
    <row r="16" spans="1:11" x14ac:dyDescent="0.35">
      <c r="B16" s="10">
        <v>2023</v>
      </c>
      <c r="C16" s="18" t="s">
        <v>270</v>
      </c>
      <c r="D16" s="12" t="str">
        <f>'Consommation - Calcul'!$B$83</f>
        <v>Routes</v>
      </c>
      <c r="E16" s="149">
        <v>0</v>
      </c>
      <c r="F16" s="148">
        <v>0</v>
      </c>
      <c r="G16" s="148">
        <v>0</v>
      </c>
      <c r="H16" s="152">
        <v>0</v>
      </c>
      <c r="I16" s="149">
        <f>'Consommation - Calcul'!E83</f>
        <v>0</v>
      </c>
      <c r="J16" s="650">
        <f t="shared" si="0"/>
        <v>0</v>
      </c>
      <c r="K16" s="11"/>
    </row>
    <row r="17" spans="1:11" x14ac:dyDescent="0.35">
      <c r="B17" s="10">
        <v>2023</v>
      </c>
      <c r="C17" s="18"/>
      <c r="D17" s="12" t="str">
        <f>'Consommation - Calcul'!$B$84</f>
        <v>Habitations</v>
      </c>
      <c r="E17" s="149">
        <v>0</v>
      </c>
      <c r="F17" s="148">
        <v>0</v>
      </c>
      <c r="G17" s="148">
        <v>0</v>
      </c>
      <c r="H17" s="152">
        <v>0</v>
      </c>
      <c r="I17" s="149">
        <f>'Consommation - Calcul'!E84</f>
        <v>356072.90743410931</v>
      </c>
      <c r="J17" s="650">
        <f t="shared" si="0"/>
        <v>356072.90743410931</v>
      </c>
      <c r="K17" s="11"/>
    </row>
    <row r="18" spans="1:11" x14ac:dyDescent="0.35">
      <c r="B18" s="10">
        <v>2023</v>
      </c>
      <c r="C18" s="18"/>
      <c r="D18" s="12" t="str">
        <f>'Consommation - Calcul'!$B$85</f>
        <v>Autres constructions</v>
      </c>
      <c r="E18" s="149">
        <v>0</v>
      </c>
      <c r="F18" s="148">
        <v>0</v>
      </c>
      <c r="G18" s="148">
        <v>0</v>
      </c>
      <c r="H18" s="152">
        <v>0</v>
      </c>
      <c r="I18" s="149">
        <f>'Consommation - Calcul'!E85</f>
        <v>281026.9026435304</v>
      </c>
      <c r="J18" s="658">
        <f t="shared" si="0"/>
        <v>281026.9026435304</v>
      </c>
      <c r="K18" s="317"/>
    </row>
    <row r="19" spans="1:11" x14ac:dyDescent="0.35">
      <c r="B19" s="20" t="s">
        <v>6</v>
      </c>
      <c r="C19" s="21"/>
      <c r="D19" s="22"/>
      <c r="E19" s="213">
        <f>SUM(E16:E18)</f>
        <v>0</v>
      </c>
      <c r="F19" s="211">
        <f t="shared" ref="F19:I19" si="3">SUM(F16:F18)</f>
        <v>0</v>
      </c>
      <c r="G19" s="211">
        <f t="shared" si="3"/>
        <v>0</v>
      </c>
      <c r="H19" s="210">
        <f t="shared" si="3"/>
        <v>0</v>
      </c>
      <c r="I19" s="213">
        <f t="shared" si="3"/>
        <v>637099.81007763976</v>
      </c>
      <c r="J19" s="654">
        <f t="shared" si="0"/>
        <v>637099.81007763976</v>
      </c>
    </row>
    <row r="20" spans="1:11" x14ac:dyDescent="0.35">
      <c r="B20" s="253" t="s">
        <v>7</v>
      </c>
      <c r="C20" s="254"/>
      <c r="D20" s="255"/>
      <c r="E20" s="344">
        <f>E12+E15+E19</f>
        <v>0</v>
      </c>
      <c r="F20" s="345">
        <f t="shared" ref="F20:H20" si="4">F12+F15+F19</f>
        <v>0</v>
      </c>
      <c r="G20" s="345">
        <f t="shared" si="4"/>
        <v>0</v>
      </c>
      <c r="H20" s="320">
        <f t="shared" si="4"/>
        <v>0</v>
      </c>
      <c r="I20" s="344">
        <f>I12+I15+I19</f>
        <v>3725350.8274050527</v>
      </c>
      <c r="J20" s="670">
        <f t="shared" si="0"/>
        <v>3725350.8274050527</v>
      </c>
    </row>
    <row r="22" spans="1:11" x14ac:dyDescent="0.35">
      <c r="A22" s="251">
        <v>2019</v>
      </c>
      <c r="B22" s="252"/>
      <c r="C22" s="252"/>
      <c r="D22" s="252"/>
      <c r="E22" s="347"/>
      <c r="F22" s="347"/>
      <c r="G22" s="347"/>
      <c r="H22" s="347"/>
      <c r="I22" s="347"/>
      <c r="J22" s="347"/>
      <c r="K22" s="252"/>
    </row>
    <row r="24" spans="1:11" ht="29" x14ac:dyDescent="0.35">
      <c r="E24" s="970" t="s">
        <v>722</v>
      </c>
      <c r="F24" s="971"/>
      <c r="G24" s="971"/>
      <c r="H24" s="972"/>
      <c r="I24" s="667" t="s">
        <v>731</v>
      </c>
      <c r="J24" s="668" t="s">
        <v>723</v>
      </c>
    </row>
    <row r="25" spans="1:11" ht="15" thickBot="1" x14ac:dyDescent="0.4">
      <c r="B25" s="15" t="s">
        <v>5</v>
      </c>
      <c r="C25" s="17" t="s">
        <v>340</v>
      </c>
      <c r="D25" s="17" t="s">
        <v>1</v>
      </c>
      <c r="E25" s="241" t="s">
        <v>48</v>
      </c>
      <c r="F25" s="240" t="s">
        <v>3</v>
      </c>
      <c r="G25" s="240" t="s">
        <v>50</v>
      </c>
      <c r="H25" s="278" t="s">
        <v>4</v>
      </c>
      <c r="I25" s="241" t="s">
        <v>4</v>
      </c>
      <c r="J25" s="662" t="s">
        <v>4</v>
      </c>
    </row>
    <row r="26" spans="1:11" ht="15" thickTop="1" x14ac:dyDescent="0.35">
      <c r="B26" s="10">
        <v>2019</v>
      </c>
      <c r="C26" s="18" t="s">
        <v>281</v>
      </c>
      <c r="D26" s="12" t="str">
        <f>D8</f>
        <v>Habits et chaussures</v>
      </c>
      <c r="E26" s="319">
        <v>0</v>
      </c>
      <c r="F26" s="226">
        <v>0</v>
      </c>
      <c r="G26" s="226">
        <v>0</v>
      </c>
      <c r="H26" s="290">
        <f>'Gaz synth. - Calcul'!F38</f>
        <v>0</v>
      </c>
      <c r="I26" s="319">
        <f>'Consommation - Calcul'!F40</f>
        <v>261207.85352619784</v>
      </c>
      <c r="J26" s="649">
        <f>I26+H26</f>
        <v>261207.85352619784</v>
      </c>
      <c r="K26" s="11"/>
    </row>
    <row r="27" spans="1:11" x14ac:dyDescent="0.35">
      <c r="B27" s="10">
        <v>2019</v>
      </c>
      <c r="C27" s="18"/>
      <c r="D27" s="12" t="str">
        <f>D9</f>
        <v>Santé</v>
      </c>
      <c r="E27" s="149">
        <v>0</v>
      </c>
      <c r="F27" s="148">
        <v>0</v>
      </c>
      <c r="G27" s="148">
        <v>0</v>
      </c>
      <c r="H27" s="152">
        <v>0</v>
      </c>
      <c r="I27" s="149">
        <f>'Consommation - Calcul'!F42</f>
        <v>414516.4590884975</v>
      </c>
      <c r="J27" s="650">
        <f t="shared" ref="J27:J38" si="5">I27+H27</f>
        <v>414516.4590884975</v>
      </c>
      <c r="K27" s="11"/>
    </row>
    <row r="28" spans="1:11" x14ac:dyDescent="0.35">
      <c r="B28" s="10">
        <v>2019</v>
      </c>
      <c r="C28" s="18"/>
      <c r="D28" s="12" t="str">
        <f>D10</f>
        <v>Loisirs et culture</v>
      </c>
      <c r="E28" s="149">
        <v>0</v>
      </c>
      <c r="F28" s="148">
        <v>0</v>
      </c>
      <c r="G28" s="148">
        <v>0</v>
      </c>
      <c r="H28" s="152">
        <v>0</v>
      </c>
      <c r="I28" s="149">
        <f>'Consommation - Calcul'!F43</f>
        <v>575761.66094701877</v>
      </c>
      <c r="J28" s="650">
        <f t="shared" si="5"/>
        <v>575761.66094701877</v>
      </c>
      <c r="K28" s="11"/>
    </row>
    <row r="29" spans="1:11" x14ac:dyDescent="0.35">
      <c r="B29" s="10">
        <v>2019</v>
      </c>
      <c r="C29" s="18"/>
      <c r="D29" s="12" t="str">
        <f>D11</f>
        <v>Biens et service divers</v>
      </c>
      <c r="E29" s="149">
        <v>0</v>
      </c>
      <c r="F29" s="148">
        <v>0</v>
      </c>
      <c r="G29" s="148">
        <v>0</v>
      </c>
      <c r="H29" s="152">
        <v>0</v>
      </c>
      <c r="I29" s="149">
        <f>'Consommation - Calcul'!F44</f>
        <v>626428.0060478386</v>
      </c>
      <c r="J29" s="650">
        <f t="shared" si="5"/>
        <v>626428.0060478386</v>
      </c>
      <c r="K29" s="11"/>
    </row>
    <row r="30" spans="1:11" x14ac:dyDescent="0.35">
      <c r="B30" s="20" t="s">
        <v>6</v>
      </c>
      <c r="C30" s="21"/>
      <c r="D30" s="22"/>
      <c r="E30" s="213">
        <f t="shared" ref="E30:I30" si="6">SUM(E26:E29)</f>
        <v>0</v>
      </c>
      <c r="F30" s="211">
        <f t="shared" si="6"/>
        <v>0</v>
      </c>
      <c r="G30" s="211">
        <f t="shared" si="6"/>
        <v>0</v>
      </c>
      <c r="H30" s="211">
        <f t="shared" si="6"/>
        <v>0</v>
      </c>
      <c r="I30" s="213">
        <f t="shared" si="6"/>
        <v>1877913.9796095528</v>
      </c>
      <c r="J30" s="654">
        <f t="shared" si="5"/>
        <v>1877913.9796095528</v>
      </c>
      <c r="K30" s="11"/>
    </row>
    <row r="31" spans="1:11" x14ac:dyDescent="0.35">
      <c r="B31" s="10">
        <v>2019</v>
      </c>
      <c r="C31" s="18" t="s">
        <v>263</v>
      </c>
      <c r="D31" s="12" t="str">
        <f>D13</f>
        <v>Alimentation hors production VD</v>
      </c>
      <c r="E31" s="149">
        <v>0</v>
      </c>
      <c r="F31" s="148">
        <v>0</v>
      </c>
      <c r="G31" s="148">
        <v>0</v>
      </c>
      <c r="H31" s="152">
        <v>0</v>
      </c>
      <c r="I31" s="149">
        <f>'Consommation - Calcul'!F45</f>
        <v>1060904.6559718722</v>
      </c>
      <c r="J31" s="650">
        <f t="shared" si="5"/>
        <v>1060904.6559718722</v>
      </c>
      <c r="K31" s="11"/>
    </row>
    <row r="32" spans="1:11" x14ac:dyDescent="0.35">
      <c r="B32" s="10">
        <v>2019</v>
      </c>
      <c r="C32" s="18"/>
      <c r="D32" s="12" t="str">
        <f>D14</f>
        <v>Restaurant et hôtel</v>
      </c>
      <c r="E32" s="149">
        <v>0</v>
      </c>
      <c r="F32" s="148">
        <v>0</v>
      </c>
      <c r="G32" s="148">
        <v>0</v>
      </c>
      <c r="H32" s="152">
        <v>0</v>
      </c>
      <c r="I32" s="149">
        <f>'Consommation - Calcul'!F41</f>
        <v>339817.15846557956</v>
      </c>
      <c r="J32" s="650">
        <f t="shared" si="5"/>
        <v>339817.15846557956</v>
      </c>
      <c r="K32" s="11"/>
    </row>
    <row r="33" spans="1:11" x14ac:dyDescent="0.35">
      <c r="B33" s="20" t="s">
        <v>6</v>
      </c>
      <c r="C33" s="21"/>
      <c r="D33" s="22"/>
      <c r="E33" s="213">
        <f>E32+E31</f>
        <v>0</v>
      </c>
      <c r="F33" s="211">
        <f t="shared" ref="F33" si="7">F32+F31</f>
        <v>0</v>
      </c>
      <c r="G33" s="211">
        <f t="shared" ref="G33" si="8">G32+G31</f>
        <v>0</v>
      </c>
      <c r="H33" s="210">
        <f t="shared" ref="H33" si="9">H32+H31</f>
        <v>0</v>
      </c>
      <c r="I33" s="213">
        <f t="shared" ref="I33" si="10">I32+I31</f>
        <v>1400721.8144374518</v>
      </c>
      <c r="J33" s="654">
        <f t="shared" si="5"/>
        <v>1400721.8144374518</v>
      </c>
      <c r="K33" s="317"/>
    </row>
    <row r="34" spans="1:11" x14ac:dyDescent="0.35">
      <c r="B34" s="10">
        <v>2019</v>
      </c>
      <c r="C34" s="18" t="s">
        <v>270</v>
      </c>
      <c r="D34" s="12" t="str">
        <f>D16</f>
        <v>Routes</v>
      </c>
      <c r="E34" s="149">
        <v>0</v>
      </c>
      <c r="F34" s="148">
        <v>0</v>
      </c>
      <c r="G34" s="148">
        <v>0</v>
      </c>
      <c r="H34" s="152">
        <v>0</v>
      </c>
      <c r="I34" s="149">
        <f>'Consommation - Calcul'!D73</f>
        <v>0</v>
      </c>
      <c r="J34" s="650">
        <f t="shared" si="5"/>
        <v>0</v>
      </c>
      <c r="K34" s="317"/>
    </row>
    <row r="35" spans="1:11" x14ac:dyDescent="0.35">
      <c r="B35" s="10">
        <v>2019</v>
      </c>
      <c r="C35" s="18"/>
      <c r="D35" s="12" t="str">
        <f>D17</f>
        <v>Habitations</v>
      </c>
      <c r="E35" s="149">
        <v>0</v>
      </c>
      <c r="F35" s="148">
        <v>0</v>
      </c>
      <c r="G35" s="148">
        <v>0</v>
      </c>
      <c r="H35" s="152">
        <v>0</v>
      </c>
      <c r="I35" s="149">
        <f>'Consommation - Calcul'!D84</f>
        <v>409463.77276761807</v>
      </c>
      <c r="J35" s="650">
        <f t="shared" si="5"/>
        <v>409463.77276761807</v>
      </c>
      <c r="K35" s="317"/>
    </row>
    <row r="36" spans="1:11" x14ac:dyDescent="0.35">
      <c r="B36" s="10">
        <v>2019</v>
      </c>
      <c r="C36" s="18"/>
      <c r="D36" s="12" t="str">
        <f>D18</f>
        <v>Autres constructions</v>
      </c>
      <c r="E36" s="149">
        <v>0</v>
      </c>
      <c r="F36" s="148">
        <v>0</v>
      </c>
      <c r="G36" s="148">
        <v>0</v>
      </c>
      <c r="H36" s="152">
        <v>0</v>
      </c>
      <c r="I36" s="149">
        <f>'Consommation - Calcul'!D85</f>
        <v>335237.33839309623</v>
      </c>
      <c r="J36" s="658">
        <f t="shared" si="5"/>
        <v>335237.33839309623</v>
      </c>
      <c r="K36" s="317"/>
    </row>
    <row r="37" spans="1:11" x14ac:dyDescent="0.35">
      <c r="B37" s="20" t="s">
        <v>6</v>
      </c>
      <c r="C37" s="21"/>
      <c r="D37" s="22"/>
      <c r="E37" s="213">
        <f>SUM(E34:E36)</f>
        <v>0</v>
      </c>
      <c r="F37" s="211">
        <f t="shared" ref="F37" si="11">SUM(F34:F36)</f>
        <v>0</v>
      </c>
      <c r="G37" s="211">
        <f t="shared" ref="G37" si="12">SUM(G34:G36)</f>
        <v>0</v>
      </c>
      <c r="H37" s="210">
        <f t="shared" ref="H37" si="13">SUM(H34:H36)</f>
        <v>0</v>
      </c>
      <c r="I37" s="213">
        <f t="shared" ref="I37" si="14">SUM(I34:I36)</f>
        <v>744701.1111607143</v>
      </c>
      <c r="J37" s="654">
        <f t="shared" si="5"/>
        <v>744701.1111607143</v>
      </c>
    </row>
    <row r="38" spans="1:11" x14ac:dyDescent="0.35">
      <c r="B38" s="253" t="s">
        <v>7</v>
      </c>
      <c r="C38" s="254"/>
      <c r="D38" s="255"/>
      <c r="E38" s="344">
        <f>E30+E33+E37</f>
        <v>0</v>
      </c>
      <c r="F38" s="345">
        <f t="shared" ref="F38" si="15">F30+F33+F37</f>
        <v>0</v>
      </c>
      <c r="G38" s="345">
        <f t="shared" ref="G38" si="16">G30+G33+G37</f>
        <v>0</v>
      </c>
      <c r="H38" s="320">
        <f t="shared" ref="H38" si="17">H30+H33+H37</f>
        <v>0</v>
      </c>
      <c r="I38" s="344">
        <f>I30+I33+I37</f>
        <v>4023336.9052077187</v>
      </c>
      <c r="J38" s="670">
        <f t="shared" si="5"/>
        <v>4023336.9052077187</v>
      </c>
    </row>
    <row r="40" spans="1:11" x14ac:dyDescent="0.35">
      <c r="A40" s="251">
        <v>2015</v>
      </c>
      <c r="B40" s="252"/>
      <c r="C40" s="252"/>
      <c r="D40" s="252"/>
      <c r="E40" s="347"/>
      <c r="F40" s="347"/>
      <c r="G40" s="347"/>
      <c r="H40" s="347"/>
      <c r="I40" s="347"/>
      <c r="J40" s="347"/>
      <c r="K40" s="252"/>
    </row>
    <row r="42" spans="1:11" ht="29" x14ac:dyDescent="0.35">
      <c r="E42" s="970" t="s">
        <v>722</v>
      </c>
      <c r="F42" s="971"/>
      <c r="G42" s="971"/>
      <c r="H42" s="972"/>
      <c r="I42" s="667" t="s">
        <v>731</v>
      </c>
      <c r="J42" s="668" t="s">
        <v>723</v>
      </c>
    </row>
    <row r="43" spans="1:11" ht="15" thickBot="1" x14ac:dyDescent="0.4">
      <c r="B43" s="15" t="s">
        <v>5</v>
      </c>
      <c r="C43" s="17" t="s">
        <v>1</v>
      </c>
      <c r="D43" s="16" t="s">
        <v>2</v>
      </c>
      <c r="E43" s="241" t="s">
        <v>48</v>
      </c>
      <c r="F43" s="240" t="s">
        <v>3</v>
      </c>
      <c r="G43" s="240" t="s">
        <v>50</v>
      </c>
      <c r="H43" s="278" t="s">
        <v>4</v>
      </c>
      <c r="I43" s="241" t="s">
        <v>4</v>
      </c>
      <c r="J43" s="662" t="s">
        <v>4</v>
      </c>
    </row>
    <row r="44" spans="1:11" ht="15" thickTop="1" x14ac:dyDescent="0.35">
      <c r="B44" s="10">
        <v>2015</v>
      </c>
      <c r="C44" s="18" t="s">
        <v>281</v>
      </c>
      <c r="D44" s="12" t="str">
        <f>D8</f>
        <v>Habits et chaussures</v>
      </c>
      <c r="E44" s="319">
        <v>0</v>
      </c>
      <c r="F44" s="226">
        <v>0</v>
      </c>
      <c r="G44" s="226">
        <v>0</v>
      </c>
      <c r="H44" s="290">
        <f>'Gaz synth. - Calcul'!F56</f>
        <v>0</v>
      </c>
      <c r="I44" s="319">
        <f>'Consommation - Calcul'!I40</f>
        <v>251976.47363281876</v>
      </c>
      <c r="J44" s="649">
        <f>I44+H44</f>
        <v>251976.47363281876</v>
      </c>
      <c r="K44" s="11"/>
    </row>
    <row r="45" spans="1:11" x14ac:dyDescent="0.35">
      <c r="B45" s="10">
        <v>2015</v>
      </c>
      <c r="C45" s="18"/>
      <c r="D45" s="12" t="str">
        <f>D9</f>
        <v>Santé</v>
      </c>
      <c r="E45" s="149">
        <v>0</v>
      </c>
      <c r="F45" s="148">
        <v>0</v>
      </c>
      <c r="G45" s="148">
        <v>0</v>
      </c>
      <c r="H45" s="152">
        <v>0</v>
      </c>
      <c r="I45" s="149">
        <f>'Consommation - Calcul'!I42</f>
        <v>406019.10875489155</v>
      </c>
      <c r="J45" s="650">
        <f t="shared" ref="J45:J56" si="18">I45+H45</f>
        <v>406019.10875489155</v>
      </c>
      <c r="K45" s="317"/>
    </row>
    <row r="46" spans="1:11" x14ac:dyDescent="0.35">
      <c r="B46" s="10">
        <v>2015</v>
      </c>
      <c r="C46" s="18"/>
      <c r="D46" s="12" t="str">
        <f>D10</f>
        <v>Loisirs et culture</v>
      </c>
      <c r="E46" s="149">
        <v>0</v>
      </c>
      <c r="F46" s="148">
        <v>0</v>
      </c>
      <c r="G46" s="148">
        <v>0</v>
      </c>
      <c r="H46" s="152">
        <v>0</v>
      </c>
      <c r="I46" s="149">
        <f>'Consommation - Calcul'!I43</f>
        <v>559911.14483309048</v>
      </c>
      <c r="J46" s="650">
        <f t="shared" si="18"/>
        <v>559911.14483309048</v>
      </c>
      <c r="K46" s="317"/>
    </row>
    <row r="47" spans="1:11" x14ac:dyDescent="0.35">
      <c r="B47" s="10">
        <v>2015</v>
      </c>
      <c r="C47" s="18"/>
      <c r="D47" s="12" t="str">
        <f>D11</f>
        <v>Biens et service divers</v>
      </c>
      <c r="E47" s="149">
        <v>0</v>
      </c>
      <c r="F47" s="148">
        <v>0</v>
      </c>
      <c r="G47" s="148">
        <v>0</v>
      </c>
      <c r="H47" s="152">
        <v>0</v>
      </c>
      <c r="I47" s="149">
        <f>'Consommation - Calcul'!I44</f>
        <v>611078.32914412639</v>
      </c>
      <c r="J47" s="650">
        <f t="shared" si="18"/>
        <v>611078.32914412639</v>
      </c>
      <c r="K47" s="317"/>
    </row>
    <row r="48" spans="1:11" x14ac:dyDescent="0.35">
      <c r="B48" s="20" t="s">
        <v>6</v>
      </c>
      <c r="C48" s="21"/>
      <c r="D48" s="22"/>
      <c r="E48" s="213">
        <f t="shared" ref="E48:I48" si="19">SUM(E44:E47)</f>
        <v>0</v>
      </c>
      <c r="F48" s="211">
        <f t="shared" si="19"/>
        <v>0</v>
      </c>
      <c r="G48" s="211">
        <f t="shared" si="19"/>
        <v>0</v>
      </c>
      <c r="H48" s="211">
        <f t="shared" si="19"/>
        <v>0</v>
      </c>
      <c r="I48" s="213">
        <f t="shared" si="19"/>
        <v>1828985.056364927</v>
      </c>
      <c r="J48" s="654">
        <f t="shared" si="18"/>
        <v>1828985.056364927</v>
      </c>
      <c r="K48" s="317"/>
    </row>
    <row r="49" spans="1:11" x14ac:dyDescent="0.35">
      <c r="B49" s="10">
        <v>2015</v>
      </c>
      <c r="C49" s="18" t="s">
        <v>263</v>
      </c>
      <c r="D49" s="12" t="str">
        <f t="shared" ref="D49:D54" si="20">D13</f>
        <v>Alimentation hors production VD</v>
      </c>
      <c r="E49" s="149">
        <v>0</v>
      </c>
      <c r="F49" s="148">
        <v>0</v>
      </c>
      <c r="G49" s="148">
        <v>0</v>
      </c>
      <c r="H49" s="152">
        <v>0</v>
      </c>
      <c r="I49" s="149">
        <f>'Consommation - Calcul'!I45</f>
        <v>1031924.6421686186</v>
      </c>
      <c r="J49" s="650">
        <f t="shared" si="18"/>
        <v>1031924.6421686186</v>
      </c>
      <c r="K49" s="317"/>
    </row>
    <row r="50" spans="1:11" x14ac:dyDescent="0.35">
      <c r="B50" s="10">
        <v>2015</v>
      </c>
      <c r="C50" s="18"/>
      <c r="D50" s="12" t="str">
        <f t="shared" si="20"/>
        <v>Restaurant et hôtel</v>
      </c>
      <c r="E50" s="149">
        <v>0</v>
      </c>
      <c r="F50" s="148">
        <v>0</v>
      </c>
      <c r="G50" s="148">
        <v>0</v>
      </c>
      <c r="H50" s="152">
        <v>0</v>
      </c>
      <c r="I50" s="149">
        <f>'Consommation - Calcul'!I41</f>
        <v>333362.38500537811</v>
      </c>
      <c r="J50" s="650">
        <f t="shared" si="18"/>
        <v>333362.38500537811</v>
      </c>
      <c r="K50" s="317"/>
    </row>
    <row r="51" spans="1:11" x14ac:dyDescent="0.35">
      <c r="B51" s="20" t="s">
        <v>6</v>
      </c>
      <c r="C51" s="21"/>
      <c r="D51" s="22"/>
      <c r="E51" s="213">
        <f>E50+E49</f>
        <v>0</v>
      </c>
      <c r="F51" s="211">
        <f t="shared" ref="F51" si="21">F50+F49</f>
        <v>0</v>
      </c>
      <c r="G51" s="211">
        <f t="shared" ref="G51" si="22">G50+G49</f>
        <v>0</v>
      </c>
      <c r="H51" s="210">
        <f t="shared" ref="H51" si="23">H50+H49</f>
        <v>0</v>
      </c>
      <c r="I51" s="213">
        <f t="shared" ref="I51" si="24">I50+I49</f>
        <v>1365287.0271739967</v>
      </c>
      <c r="J51" s="654">
        <f t="shared" si="18"/>
        <v>1365287.0271739967</v>
      </c>
      <c r="K51" s="317"/>
    </row>
    <row r="52" spans="1:11" x14ac:dyDescent="0.35">
      <c r="B52" s="10">
        <v>2015</v>
      </c>
      <c r="C52" s="18" t="s">
        <v>270</v>
      </c>
      <c r="D52" s="12" t="str">
        <f t="shared" si="20"/>
        <v>Routes</v>
      </c>
      <c r="E52" s="149">
        <v>0</v>
      </c>
      <c r="F52" s="148">
        <v>0</v>
      </c>
      <c r="G52" s="148"/>
      <c r="H52" s="152">
        <v>0</v>
      </c>
      <c r="I52" s="149">
        <f>'Consommation - Calcul'!C83</f>
        <v>0</v>
      </c>
      <c r="J52" s="650">
        <f t="shared" si="18"/>
        <v>0</v>
      </c>
      <c r="K52" s="317"/>
    </row>
    <row r="53" spans="1:11" x14ac:dyDescent="0.35">
      <c r="B53" s="10">
        <v>2015</v>
      </c>
      <c r="C53" s="18"/>
      <c r="D53" s="12" t="str">
        <f t="shared" si="20"/>
        <v>Habitations</v>
      </c>
      <c r="E53" s="149">
        <v>0</v>
      </c>
      <c r="F53" s="148">
        <v>0</v>
      </c>
      <c r="G53" s="148">
        <v>0</v>
      </c>
      <c r="H53" s="152">
        <v>0</v>
      </c>
      <c r="I53" s="149">
        <f>'Consommation - Calcul'!C84</f>
        <v>378423.79316572507</v>
      </c>
      <c r="J53" s="650">
        <f t="shared" si="18"/>
        <v>378423.79316572507</v>
      </c>
      <c r="K53" s="317"/>
    </row>
    <row r="54" spans="1:11" x14ac:dyDescent="0.35">
      <c r="B54" s="10">
        <v>2015</v>
      </c>
      <c r="C54" s="18"/>
      <c r="D54" s="12" t="str">
        <f t="shared" si="20"/>
        <v>Autres constructions</v>
      </c>
      <c r="E54" s="149">
        <v>0</v>
      </c>
      <c r="F54" s="148">
        <v>0</v>
      </c>
      <c r="G54" s="148">
        <v>0</v>
      </c>
      <c r="H54" s="152">
        <v>0</v>
      </c>
      <c r="I54" s="149">
        <f>'Consommation - Calcul'!C85</f>
        <v>303157.61986998923</v>
      </c>
      <c r="J54" s="658">
        <f t="shared" si="18"/>
        <v>303157.61986998923</v>
      </c>
      <c r="K54" s="317"/>
    </row>
    <row r="55" spans="1:11" x14ac:dyDescent="0.35">
      <c r="B55" s="20" t="s">
        <v>6</v>
      </c>
      <c r="C55" s="21"/>
      <c r="D55" s="22"/>
      <c r="E55" s="213">
        <f>SUM(E52:E54)</f>
        <v>0</v>
      </c>
      <c r="F55" s="211">
        <f t="shared" ref="F55" si="25">SUM(F52:F54)</f>
        <v>0</v>
      </c>
      <c r="G55" s="211">
        <f t="shared" ref="G55" si="26">SUM(G52:G54)</f>
        <v>0</v>
      </c>
      <c r="H55" s="210">
        <f t="shared" ref="H55" si="27">SUM(H52:H54)</f>
        <v>0</v>
      </c>
      <c r="I55" s="213">
        <f t="shared" ref="I55" si="28">SUM(I52:I54)</f>
        <v>681581.4130357143</v>
      </c>
      <c r="J55" s="654">
        <f t="shared" si="18"/>
        <v>681581.4130357143</v>
      </c>
    </row>
    <row r="56" spans="1:11" x14ac:dyDescent="0.35">
      <c r="B56" s="253" t="s">
        <v>7</v>
      </c>
      <c r="C56" s="254"/>
      <c r="D56" s="255"/>
      <c r="E56" s="344">
        <f>E48+E51+E55</f>
        <v>0</v>
      </c>
      <c r="F56" s="345">
        <f t="shared" ref="F56" si="29">F48+F51+F55</f>
        <v>0</v>
      </c>
      <c r="G56" s="345">
        <f t="shared" ref="G56" si="30">G48+G51+G55</f>
        <v>0</v>
      </c>
      <c r="H56" s="320">
        <f t="shared" ref="H56" si="31">H48+H51+H55</f>
        <v>0</v>
      </c>
      <c r="I56" s="344">
        <f>I48+I51+I55</f>
        <v>3875853.4965746375</v>
      </c>
      <c r="J56" s="670">
        <f t="shared" si="18"/>
        <v>3875853.4965746375</v>
      </c>
    </row>
    <row r="58" spans="1:11" x14ac:dyDescent="0.35">
      <c r="A58" s="194">
        <v>1990</v>
      </c>
      <c r="B58" s="195"/>
      <c r="C58" s="195"/>
      <c r="D58" s="195"/>
      <c r="E58" s="314"/>
      <c r="F58" s="314"/>
      <c r="G58" s="314"/>
      <c r="H58" s="314"/>
      <c r="I58" s="314"/>
      <c r="J58" s="314"/>
      <c r="K58" s="195"/>
    </row>
  </sheetData>
  <sheetProtection algorithmName="SHA-512" hashValue="t18XZ8s7GN6cwrxq+iU34Py/kGFjCSWKwhWNOGlkGYBABHiliZbRuHSpvJjVRnpdMyD/IBZ+oF3RE9AinWauRg==" saltValue="lntIFDa3DmD1/Uxk7C8J4g==" spinCount="100000" sheet="1" objects="1" scenarios="1"/>
  <mergeCells count="3">
    <mergeCell ref="E42:H42"/>
    <mergeCell ref="E6:H6"/>
    <mergeCell ref="E24:H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E2A53-CED6-45AF-87BB-1EA3BC4BBAE5}">
  <sheetPr>
    <tabColor theme="6"/>
  </sheetPr>
  <dimension ref="B2:T63"/>
  <sheetViews>
    <sheetView workbookViewId="0">
      <selection activeCell="E10" sqref="E10"/>
    </sheetView>
  </sheetViews>
  <sheetFormatPr baseColWidth="10" defaultRowHeight="14.5" x14ac:dyDescent="0.35"/>
  <cols>
    <col min="2" max="2" width="23.1796875" customWidth="1"/>
    <col min="6" max="6" width="12.453125" customWidth="1"/>
    <col min="8" max="8" width="23" customWidth="1"/>
    <col min="9" max="9" width="13.54296875" customWidth="1"/>
    <col min="11" max="11" width="13.26953125" customWidth="1"/>
    <col min="12" max="12" width="20.54296875" customWidth="1"/>
    <col min="16" max="16" width="16.6328125" customWidth="1"/>
  </cols>
  <sheetData>
    <row r="2" spans="2:20" s="265" customFormat="1" ht="31" x14ac:dyDescent="0.7">
      <c r="B2" s="645" t="s">
        <v>833</v>
      </c>
    </row>
    <row r="4" spans="2:20" s="52" customFormat="1" x14ac:dyDescent="0.35">
      <c r="B4" s="54" t="s">
        <v>880</v>
      </c>
    </row>
    <row r="6" spans="2:20" x14ac:dyDescent="0.35">
      <c r="B6" s="569" t="s">
        <v>689</v>
      </c>
      <c r="C6" s="569">
        <v>1990</v>
      </c>
      <c r="D6" s="569">
        <v>2015</v>
      </c>
      <c r="E6" s="569">
        <v>2019</v>
      </c>
      <c r="F6" s="569">
        <v>2023</v>
      </c>
      <c r="H6" s="413"/>
      <c r="I6" s="413"/>
      <c r="J6" s="107"/>
      <c r="P6" s="684"/>
      <c r="Q6" s="684"/>
      <c r="R6" s="684"/>
      <c r="S6" s="684"/>
      <c r="T6" s="684"/>
    </row>
    <row r="7" spans="2:20" x14ac:dyDescent="0.35">
      <c r="B7" s="2" t="s">
        <v>402</v>
      </c>
      <c r="C7" s="162">
        <f>'Transports - Emissions'!J80</f>
        <v>1154025.7580812993</v>
      </c>
      <c r="D7" s="162">
        <f>'Transports - Emissions'!J70</f>
        <v>1286149.6066653177</v>
      </c>
      <c r="E7" s="162">
        <f>'Transports - Emissions'!J48</f>
        <v>1290079.2669227046</v>
      </c>
      <c r="F7" s="644">
        <f>'Transports - Emissions'!J26</f>
        <v>1247113.8925710912</v>
      </c>
      <c r="Q7" s="177"/>
      <c r="R7" s="177"/>
      <c r="S7" s="177"/>
      <c r="T7" s="177"/>
    </row>
    <row r="8" spans="2:20" x14ac:dyDescent="0.35">
      <c r="B8" s="2" t="s">
        <v>171</v>
      </c>
      <c r="C8" s="162">
        <f>'Chaleur du batiment - Emissions'!J53</f>
        <v>2272379.3374299197</v>
      </c>
      <c r="D8" s="162">
        <f>'Chaleur du batiment - Emissions'!J45</f>
        <v>1787921.2263103547</v>
      </c>
      <c r="E8" s="162">
        <f>'Chaleur du batiment - Emissions'!J31</f>
        <v>1653553.4390215364</v>
      </c>
      <c r="F8" s="644">
        <f>'Chaleur du batiment - Emissions'!J17</f>
        <v>1333422.7862162467</v>
      </c>
      <c r="P8" s="684"/>
      <c r="Q8" s="177"/>
      <c r="R8" s="177"/>
      <c r="S8" s="177"/>
      <c r="T8" s="177"/>
    </row>
    <row r="9" spans="2:20" x14ac:dyDescent="0.35">
      <c r="B9" s="2" t="s">
        <v>135</v>
      </c>
      <c r="C9" s="162">
        <f>'Industrie - Emissions'!K50</f>
        <v>673420.48240346787</v>
      </c>
      <c r="D9" s="162">
        <f>'Industrie - Emissions'!K42</f>
        <v>602378.04458797339</v>
      </c>
      <c r="E9" s="162">
        <f>'Industrie - Emissions'!K29</f>
        <v>606342.92167119042</v>
      </c>
      <c r="F9" s="644">
        <f>'Industrie - Emissions'!K16</f>
        <v>550541.44420205546</v>
      </c>
      <c r="J9" s="162"/>
      <c r="N9" s="107"/>
      <c r="P9" s="684"/>
      <c r="Q9" s="177"/>
      <c r="R9" s="177"/>
      <c r="S9" s="177"/>
      <c r="T9" s="177"/>
    </row>
    <row r="10" spans="2:20" x14ac:dyDescent="0.35">
      <c r="B10" s="2" t="s">
        <v>0</v>
      </c>
      <c r="C10" s="162">
        <f>'Agriculture - Emissions'!H56</f>
        <v>643623.4676973311</v>
      </c>
      <c r="D10" s="162">
        <f>'Agriculture - Emissions'!H43</f>
        <v>553173.86946181348</v>
      </c>
      <c r="E10" s="162">
        <f>'Agriculture - Emissions'!H30</f>
        <v>546746.69648005033</v>
      </c>
      <c r="F10" s="644">
        <f>'Agriculture - Emissions'!H17</f>
        <v>534231.51932394924</v>
      </c>
      <c r="J10" s="162"/>
      <c r="N10" s="185"/>
      <c r="P10" s="684"/>
      <c r="Q10" s="177"/>
      <c r="R10" s="177"/>
      <c r="S10" s="177"/>
      <c r="T10" s="177"/>
    </row>
    <row r="11" spans="2:20" x14ac:dyDescent="0.35">
      <c r="B11" s="2" t="s">
        <v>166</v>
      </c>
      <c r="C11" s="162">
        <f>'Gaz synth. - Emissions'!D44</f>
        <v>237458.88154831124</v>
      </c>
      <c r="D11" s="162">
        <f>'Déchets - Emissions'!J43+'Gaz synth. - Emissions'!I36</f>
        <v>326414.12643476709</v>
      </c>
      <c r="E11" s="162">
        <f>'Déchets - Emissions'!J30+'Gaz synth. - Emissions'!I25</f>
        <v>296370.39371224697</v>
      </c>
      <c r="F11" s="644">
        <f>'Déchets - Emissions'!J17+'Gaz synth. - Emissions'!I14</f>
        <v>260509.05588989577</v>
      </c>
      <c r="H11" s="684"/>
      <c r="P11" s="684"/>
      <c r="Q11" s="177"/>
      <c r="R11" s="177"/>
      <c r="S11" s="177"/>
      <c r="T11" s="177"/>
    </row>
    <row r="12" spans="2:20" s="413" customFormat="1" x14ac:dyDescent="0.35">
      <c r="B12" s="268" t="s">
        <v>715</v>
      </c>
      <c r="C12" s="583">
        <f>SUM(C7:C11)</f>
        <v>4980907.9271603292</v>
      </c>
      <c r="D12" s="583">
        <f t="shared" ref="D12:E12" si="0">SUM(D7:D11)</f>
        <v>4556036.8734602267</v>
      </c>
      <c r="E12" s="583">
        <f t="shared" si="0"/>
        <v>4393092.7178077288</v>
      </c>
      <c r="F12" s="583">
        <f>SUM(F7:F11)</f>
        <v>3925818.6982032377</v>
      </c>
      <c r="H12" s="684"/>
      <c r="I12" s="684"/>
    </row>
    <row r="13" spans="2:20" x14ac:dyDescent="0.35">
      <c r="H13" s="684"/>
      <c r="I13" s="684"/>
    </row>
    <row r="14" spans="2:20" x14ac:dyDescent="0.35">
      <c r="H14" s="684"/>
      <c r="I14" s="684"/>
    </row>
    <row r="15" spans="2:20" x14ac:dyDescent="0.35">
      <c r="B15" s="569" t="s">
        <v>687</v>
      </c>
      <c r="C15" s="569">
        <v>1990</v>
      </c>
      <c r="D15" s="569">
        <v>2015</v>
      </c>
      <c r="E15" s="569">
        <v>2019</v>
      </c>
      <c r="F15" s="569">
        <v>2023</v>
      </c>
      <c r="H15" s="684"/>
      <c r="I15" s="684"/>
      <c r="K15" s="684"/>
      <c r="L15" s="684"/>
    </row>
    <row r="16" spans="2:20" x14ac:dyDescent="0.35">
      <c r="B16" s="2" t="s">
        <v>402</v>
      </c>
      <c r="C16" s="413"/>
      <c r="D16" s="177">
        <f xml:space="preserve"> -1 +D7/$C7</f>
        <v>0.11448951434471399</v>
      </c>
      <c r="E16" s="177">
        <f t="shared" ref="E16:F16" si="1" xml:space="preserve"> -1 +E7/$C7</f>
        <v>0.11789468986169771</v>
      </c>
      <c r="F16" s="177">
        <f t="shared" si="1"/>
        <v>8.0663827334809035E-2</v>
      </c>
      <c r="H16" s="684"/>
      <c r="I16" s="684"/>
    </row>
    <row r="17" spans="2:15" x14ac:dyDescent="0.35">
      <c r="B17" s="2" t="s">
        <v>171</v>
      </c>
      <c r="C17" s="413"/>
      <c r="D17" s="177">
        <f t="shared" ref="D17:F17" si="2" xml:space="preserve"> -1 +D8/$C8</f>
        <v>-0.21319420712014192</v>
      </c>
      <c r="E17" s="177">
        <f t="shared" si="2"/>
        <v>-0.27232508596398375</v>
      </c>
      <c r="F17" s="177">
        <f t="shared" si="2"/>
        <v>-0.41320414058844634</v>
      </c>
      <c r="H17" s="684"/>
      <c r="I17" s="684"/>
    </row>
    <row r="18" spans="2:15" x14ac:dyDescent="0.35">
      <c r="B18" s="2" t="s">
        <v>135</v>
      </c>
      <c r="C18" s="413"/>
      <c r="D18" s="177">
        <f t="shared" ref="D18:F18" si="3" xml:space="preserve"> -1 +D9/$C9</f>
        <v>-0.10549491687859103</v>
      </c>
      <c r="E18" s="177">
        <f t="shared" si="3"/>
        <v>-9.9607247603866522E-2</v>
      </c>
      <c r="F18" s="177">
        <f t="shared" si="3"/>
        <v>-0.18247000412409742</v>
      </c>
      <c r="H18" s="684"/>
      <c r="I18" s="684"/>
    </row>
    <row r="19" spans="2:15" x14ac:dyDescent="0.35">
      <c r="B19" s="2" t="s">
        <v>0</v>
      </c>
      <c r="C19" s="413"/>
      <c r="D19" s="177">
        <f t="shared" ref="D19:F19" si="4" xml:space="preserve"> -1 +D10/$C10</f>
        <v>-0.14053185251171152</v>
      </c>
      <c r="E19" s="177">
        <f t="shared" si="4"/>
        <v>-0.15051777332463245</v>
      </c>
      <c r="F19" s="177">
        <f t="shared" si="4"/>
        <v>-0.16996264720543763</v>
      </c>
      <c r="H19" s="684"/>
      <c r="I19" s="684"/>
    </row>
    <row r="20" spans="2:15" x14ac:dyDescent="0.35">
      <c r="B20" s="2" t="s">
        <v>166</v>
      </c>
      <c r="C20" s="413"/>
      <c r="D20" s="177">
        <f xml:space="preserve"> -1 +D11/$C11</f>
        <v>0.37461325643596877</v>
      </c>
      <c r="E20" s="177">
        <f t="shared" ref="E20:F20" si="5" xml:space="preserve"> -1 +E11/$C11</f>
        <v>0.24809142441762111</v>
      </c>
      <c r="F20" s="177">
        <f t="shared" si="5"/>
        <v>9.7070171438902175E-2</v>
      </c>
      <c r="H20" s="684"/>
      <c r="I20" s="684"/>
    </row>
    <row r="21" spans="2:15" x14ac:dyDescent="0.35">
      <c r="B21" s="268" t="s">
        <v>715</v>
      </c>
      <c r="C21" s="268"/>
      <c r="D21" s="584">
        <f>-1+D12/$C12</f>
        <v>-8.5299921201780982E-2</v>
      </c>
      <c r="E21" s="584">
        <f>-1+E12/$C12</f>
        <v>-0.11801366697571547</v>
      </c>
      <c r="F21" s="584">
        <f>-1+F12/$C12</f>
        <v>-0.21182668790238202</v>
      </c>
      <c r="H21" s="684"/>
      <c r="I21" s="684"/>
    </row>
    <row r="22" spans="2:15" x14ac:dyDescent="0.35">
      <c r="H22" s="684"/>
      <c r="I22" s="684"/>
    </row>
    <row r="23" spans="2:15" x14ac:dyDescent="0.35">
      <c r="H23" s="684"/>
      <c r="I23" s="684"/>
      <c r="O23" s="413"/>
    </row>
    <row r="24" spans="2:15" x14ac:dyDescent="0.35">
      <c r="H24" s="403"/>
    </row>
    <row r="25" spans="2:15" x14ac:dyDescent="0.35">
      <c r="B25" s="569" t="s">
        <v>688</v>
      </c>
      <c r="C25" s="569">
        <v>1990</v>
      </c>
      <c r="D25" s="569">
        <v>2015</v>
      </c>
      <c r="E25" s="569">
        <v>2019</v>
      </c>
      <c r="F25" s="569">
        <v>2023</v>
      </c>
      <c r="H25" s="403"/>
    </row>
    <row r="26" spans="2:15" x14ac:dyDescent="0.35">
      <c r="B26" s="2" t="s">
        <v>402</v>
      </c>
      <c r="C26" s="48">
        <f t="shared" ref="C26:C31" si="6">C7/POP_VD_1990</f>
        <v>1.9773412003963149</v>
      </c>
      <c r="D26" s="48">
        <f t="shared" ref="D26:D31" si="7">D7/POP_VD_2015</f>
        <v>1.6621128950810768</v>
      </c>
      <c r="E26" s="48">
        <f t="shared" ref="E26:E31" si="8">E7/POP_VD_2019</f>
        <v>1.600419888303392</v>
      </c>
      <c r="F26" s="48">
        <f t="shared" ref="F26:F31" si="9">F7/POP_VD_2023</f>
        <v>1.4736021171744531</v>
      </c>
    </row>
    <row r="27" spans="2:15" x14ac:dyDescent="0.35">
      <c r="B27" s="2" t="s">
        <v>171</v>
      </c>
      <c r="C27" s="48">
        <f t="shared" si="6"/>
        <v>3.8935606552665147</v>
      </c>
      <c r="D27" s="48">
        <f t="shared" si="7"/>
        <v>2.3105608478508182</v>
      </c>
      <c r="E27" s="48">
        <f t="shared" si="8"/>
        <v>2.0513311685839963</v>
      </c>
      <c r="F27" s="48">
        <f t="shared" si="9"/>
        <v>1.5755855600372994</v>
      </c>
    </row>
    <row r="28" spans="2:15" x14ac:dyDescent="0.35">
      <c r="B28" s="2" t="s">
        <v>135</v>
      </c>
      <c r="C28" s="48">
        <f t="shared" si="6"/>
        <v>1.1538581835998594</v>
      </c>
      <c r="D28" s="48">
        <f t="shared" si="7"/>
        <v>0.77846333772889953</v>
      </c>
      <c r="E28" s="48">
        <f t="shared" si="8"/>
        <v>0.7522043767816794</v>
      </c>
      <c r="F28" s="48">
        <f t="shared" si="9"/>
        <v>0.65052521874796077</v>
      </c>
    </row>
    <row r="29" spans="2:15" x14ac:dyDescent="0.35">
      <c r="B29" s="2" t="s">
        <v>0</v>
      </c>
      <c r="C29" s="48">
        <f t="shared" si="6"/>
        <v>1.1028031144953199</v>
      </c>
      <c r="D29" s="48">
        <f t="shared" si="7"/>
        <v>0.71487594980358526</v>
      </c>
      <c r="E29" s="48">
        <f t="shared" si="8"/>
        <v>0.67827172278963377</v>
      </c>
      <c r="F29" s="48">
        <f t="shared" si="9"/>
        <v>0.63125325010539868</v>
      </c>
    </row>
    <row r="30" spans="2:15" x14ac:dyDescent="0.35">
      <c r="B30" s="2" t="s">
        <v>166</v>
      </c>
      <c r="C30" s="48">
        <f t="shared" si="6"/>
        <v>0.40686893390158274</v>
      </c>
      <c r="D30" s="48">
        <f t="shared" si="7"/>
        <v>0.42183049769032865</v>
      </c>
      <c r="E30" s="48">
        <f t="shared" si="8"/>
        <v>0.36766506102590157</v>
      </c>
      <c r="F30" s="48">
        <f t="shared" si="9"/>
        <v>0.30782007849422227</v>
      </c>
    </row>
    <row r="31" spans="2:15" x14ac:dyDescent="0.35">
      <c r="B31" s="268" t="s">
        <v>715</v>
      </c>
      <c r="C31" s="585">
        <f t="shared" si="6"/>
        <v>8.5344320876595923</v>
      </c>
      <c r="D31" s="585">
        <f t="shared" si="7"/>
        <v>5.8878435281547095</v>
      </c>
      <c r="E31" s="585">
        <f t="shared" si="8"/>
        <v>5.449892217484603</v>
      </c>
      <c r="F31" s="585">
        <f t="shared" si="9"/>
        <v>4.6387862245593334</v>
      </c>
      <c r="H31" s="586">
        <f>-1+F31/C31</f>
        <v>-0.45646222538148595</v>
      </c>
      <c r="I31" t="s">
        <v>751</v>
      </c>
    </row>
    <row r="34" spans="2:11" x14ac:dyDescent="0.35">
      <c r="B34" s="2" t="s">
        <v>716</v>
      </c>
      <c r="C34" s="2"/>
      <c r="D34" s="2"/>
      <c r="E34" s="2"/>
    </row>
    <row r="35" spans="2:11" x14ac:dyDescent="0.35">
      <c r="B35" s="2" t="s">
        <v>720</v>
      </c>
      <c r="C35" s="2"/>
      <c r="D35" s="2"/>
      <c r="E35" s="2"/>
    </row>
    <row r="38" spans="2:11" s="52" customFormat="1" x14ac:dyDescent="0.35">
      <c r="B38" s="54" t="s">
        <v>876</v>
      </c>
    </row>
    <row r="39" spans="2:11" s="686" customFormat="1" x14ac:dyDescent="0.35"/>
    <row r="40" spans="2:11" x14ac:dyDescent="0.35">
      <c r="B40" s="124" t="s">
        <v>834</v>
      </c>
      <c r="H40" s="124" t="s">
        <v>877</v>
      </c>
    </row>
    <row r="41" spans="2:11" x14ac:dyDescent="0.35">
      <c r="B41" s="41"/>
      <c r="C41" s="41">
        <v>2015</v>
      </c>
      <c r="D41" s="41">
        <v>2019</v>
      </c>
      <c r="E41" s="41">
        <v>2023</v>
      </c>
      <c r="H41" s="41"/>
      <c r="I41" s="41">
        <v>2015</v>
      </c>
      <c r="J41" s="41">
        <v>2019</v>
      </c>
      <c r="K41" s="41">
        <v>2023</v>
      </c>
    </row>
    <row r="42" spans="2:11" x14ac:dyDescent="0.35">
      <c r="B42" t="str">
        <f>B26</f>
        <v>Transports</v>
      </c>
      <c r="C42" s="162">
        <f>'Transports - Emissions'!L70</f>
        <v>4755932.4401391484</v>
      </c>
      <c r="D42" s="162">
        <f>'Transports - Emissions'!L48</f>
        <v>5052639.8873763159</v>
      </c>
      <c r="E42" s="162">
        <f>'Resultat 2023'!J10</f>
        <v>4798630.6431668419</v>
      </c>
      <c r="H42" t="s">
        <v>880</v>
      </c>
      <c r="I42" s="162">
        <f>D12</f>
        <v>4556036.8734602267</v>
      </c>
      <c r="J42" s="162">
        <f t="shared" ref="J42:K42" si="10">E12</f>
        <v>4393092.7178077288</v>
      </c>
      <c r="K42" s="162">
        <f t="shared" si="10"/>
        <v>3925818.6982032377</v>
      </c>
    </row>
    <row r="43" spans="2:11" x14ac:dyDescent="0.35">
      <c r="B43" s="684" t="str">
        <f t="shared" ref="B43:B46" si="11">B27</f>
        <v>Bâtiment</v>
      </c>
      <c r="C43" s="162">
        <f>'Chaleur du batiment - Emissions'!L45+'Electricite - Emissions'!L26</f>
        <v>2699065.319977636</v>
      </c>
      <c r="D43" s="162">
        <f>'Chaleur du batiment - Emissions'!L31+'Electricite - Emissions'!L18</f>
        <v>2497109.9591478948</v>
      </c>
      <c r="E43" s="162">
        <f>'Resultat 2023'!J13</f>
        <v>2121963.2500775219</v>
      </c>
      <c r="H43" t="s">
        <v>879</v>
      </c>
      <c r="I43" s="162">
        <f>'Forêt et sols - Emissions'!K53</f>
        <v>134449.17056014092</v>
      </c>
      <c r="J43" s="162">
        <f>'Forêt et sols - Emissions'!K36</f>
        <v>-163049.80956517791</v>
      </c>
      <c r="K43" s="162">
        <f>'Forêt et sols - Emissions'!K20</f>
        <v>170738.97556727263</v>
      </c>
    </row>
    <row r="44" spans="2:11" x14ac:dyDescent="0.35">
      <c r="B44" s="684" t="str">
        <f t="shared" si="11"/>
        <v>Industrie</v>
      </c>
      <c r="C44" s="162">
        <f>'Industrie - Emissions'!M42</f>
        <v>630379.3767655649</v>
      </c>
      <c r="D44" s="162">
        <f>'Industrie - Emissions'!M29</f>
        <v>637691.81142308586</v>
      </c>
      <c r="E44" s="162">
        <f>'Resultat 2023'!J20</f>
        <v>587195.40733024094</v>
      </c>
      <c r="H44" s="268" t="s">
        <v>878</v>
      </c>
      <c r="I44" s="583">
        <f>I43+I42</f>
        <v>4690486.0440203678</v>
      </c>
      <c r="J44" s="583">
        <f t="shared" ref="J44:K44" si="12">J43+J42</f>
        <v>4230042.9082425507</v>
      </c>
      <c r="K44" s="583">
        <f t="shared" si="12"/>
        <v>4096557.6737705106</v>
      </c>
    </row>
    <row r="45" spans="2:11" x14ac:dyDescent="0.35">
      <c r="B45" s="684" t="str">
        <f t="shared" si="11"/>
        <v>Agriculture</v>
      </c>
      <c r="C45" s="162">
        <f>'Agriculture - Emissions'!J43</f>
        <v>553173.86946181348</v>
      </c>
      <c r="D45" s="162">
        <f>'Agriculture - Emissions'!J30</f>
        <v>546746.69648005033</v>
      </c>
      <c r="E45" s="162">
        <f>'Resultat 2023'!J32</f>
        <v>534231.51932394924</v>
      </c>
    </row>
    <row r="46" spans="2:11" x14ac:dyDescent="0.35">
      <c r="B46" s="684" t="str">
        <f t="shared" si="11"/>
        <v>Autre</v>
      </c>
      <c r="C46" s="162">
        <f>'Déchets - Emissions'!L43+'Gaz synth. - Emissions'!K36</f>
        <v>326414.12643476709</v>
      </c>
      <c r="D46" s="162">
        <f>'Déchets - Emissions'!L30+'Gaz synth. - Emissions'!K25</f>
        <v>296370.39371224697</v>
      </c>
      <c r="E46" s="162">
        <f>'Resultat 2023'!J22+'Resultat 2023'!J26</f>
        <v>260509.05588989577</v>
      </c>
    </row>
    <row r="47" spans="2:11" x14ac:dyDescent="0.35">
      <c r="B47" s="684" t="s">
        <v>281</v>
      </c>
      <c r="C47" s="162">
        <f>'Consommation - Emissions'!J48</f>
        <v>1828985.056364927</v>
      </c>
      <c r="D47" s="162">
        <f>'Consommation - Emissions'!J30</f>
        <v>1877913.9796095528</v>
      </c>
      <c r="E47" s="162">
        <f>'Resultat 2023'!J33</f>
        <v>1738929.3932649274</v>
      </c>
    </row>
    <row r="48" spans="2:11" x14ac:dyDescent="0.35">
      <c r="B48" s="684" t="s">
        <v>263</v>
      </c>
      <c r="C48" s="162">
        <f>'Consommation - Emissions'!J51</f>
        <v>1365287.0271739967</v>
      </c>
      <c r="D48" s="162">
        <f>'Consommation - Emissions'!J33</f>
        <v>1400721.8144374518</v>
      </c>
      <c r="E48" s="162">
        <f>'Resultat 2023'!J34</f>
        <v>1349321.6240624855</v>
      </c>
    </row>
    <row r="49" spans="2:11" x14ac:dyDescent="0.35">
      <c r="B49" s="684" t="s">
        <v>270</v>
      </c>
      <c r="C49" s="162">
        <f>'Consommation - Emissions'!J55</f>
        <v>681581.4130357143</v>
      </c>
      <c r="D49" s="162">
        <f>'Consommation - Emissions'!J37</f>
        <v>744701.1111607143</v>
      </c>
      <c r="E49" s="162">
        <f>'Resultat 2023'!J35</f>
        <v>637099.81007763976</v>
      </c>
    </row>
    <row r="50" spans="2:11" x14ac:dyDescent="0.35">
      <c r="B50" s="268" t="s">
        <v>7</v>
      </c>
      <c r="C50" s="583">
        <f>SUM(C42:C49)</f>
        <v>12840818.629353568</v>
      </c>
      <c r="D50" s="583">
        <f t="shared" ref="D50:E50" si="13">SUM(D42:D49)</f>
        <v>13053895.653347313</v>
      </c>
      <c r="E50" s="583">
        <f t="shared" si="13"/>
        <v>12027880.703193503</v>
      </c>
    </row>
    <row r="52" spans="2:11" x14ac:dyDescent="0.35">
      <c r="D52" t="s">
        <v>835</v>
      </c>
      <c r="E52" s="177">
        <f xml:space="preserve"> -1+ E50/C50</f>
        <v>-6.3308886265375897E-2</v>
      </c>
    </row>
    <row r="54" spans="2:11" s="2" customFormat="1" x14ac:dyDescent="0.35">
      <c r="B54" s="268" t="s">
        <v>874</v>
      </c>
    </row>
    <row r="57" spans="2:11" x14ac:dyDescent="0.35">
      <c r="B57" s="569" t="s">
        <v>875</v>
      </c>
      <c r="C57" s="569">
        <v>1990</v>
      </c>
      <c r="D57" s="569">
        <v>2015</v>
      </c>
      <c r="E57" s="569">
        <v>2019</v>
      </c>
      <c r="F57" s="569">
        <v>2023</v>
      </c>
      <c r="H57" s="124" t="s">
        <v>877</v>
      </c>
      <c r="I57" s="684"/>
      <c r="J57" s="684"/>
      <c r="K57" s="684"/>
    </row>
    <row r="58" spans="2:11" x14ac:dyDescent="0.35">
      <c r="B58" s="2" t="s">
        <v>402</v>
      </c>
      <c r="C58" s="139">
        <f>C7/10^6</f>
        <v>1.1540257580812991</v>
      </c>
      <c r="D58" s="139">
        <f t="shared" ref="D58:F58" si="14">D7/10^6</f>
        <v>1.2861496066653177</v>
      </c>
      <c r="E58" s="139">
        <f t="shared" si="14"/>
        <v>1.2900792669227046</v>
      </c>
      <c r="F58" s="139">
        <f t="shared" si="14"/>
        <v>1.2471138925710912</v>
      </c>
      <c r="H58" s="41"/>
      <c r="I58" s="41">
        <v>2015</v>
      </c>
      <c r="J58" s="41">
        <v>2019</v>
      </c>
      <c r="K58" s="41">
        <v>2023</v>
      </c>
    </row>
    <row r="59" spans="2:11" x14ac:dyDescent="0.35">
      <c r="B59" s="2" t="s">
        <v>171</v>
      </c>
      <c r="C59" s="139">
        <f t="shared" ref="C59:F59" si="15">C8/10^6</f>
        <v>2.2723793374299199</v>
      </c>
      <c r="D59" s="139">
        <f t="shared" si="15"/>
        <v>1.7879212263103545</v>
      </c>
      <c r="E59" s="139">
        <f t="shared" si="15"/>
        <v>1.6535534390215363</v>
      </c>
      <c r="F59" s="139">
        <f t="shared" si="15"/>
        <v>1.3334227862162467</v>
      </c>
      <c r="H59" s="684" t="s">
        <v>880</v>
      </c>
      <c r="I59" s="139">
        <f>I42/10^6</f>
        <v>4.5560368734602266</v>
      </c>
      <c r="J59" s="139">
        <f t="shared" ref="J59:K59" si="16">J42/10^6</f>
        <v>4.393092717807729</v>
      </c>
      <c r="K59" s="139">
        <f t="shared" si="16"/>
        <v>3.9258186982032379</v>
      </c>
    </row>
    <row r="60" spans="2:11" x14ac:dyDescent="0.35">
      <c r="B60" s="2" t="s">
        <v>135</v>
      </c>
      <c r="C60" s="139">
        <f t="shared" ref="C60:F60" si="17">C9/10^6</f>
        <v>0.67342048240346786</v>
      </c>
      <c r="D60" s="139">
        <f t="shared" si="17"/>
        <v>0.60237804458797339</v>
      </c>
      <c r="E60" s="139">
        <f t="shared" si="17"/>
        <v>0.60634292167119042</v>
      </c>
      <c r="F60" s="139">
        <f t="shared" si="17"/>
        <v>0.55054144420205542</v>
      </c>
      <c r="H60" s="684" t="s">
        <v>879</v>
      </c>
      <c r="I60" s="139">
        <f t="shared" ref="I60:K60" si="18">I43/10^6</f>
        <v>0.13444917056014091</v>
      </c>
      <c r="J60" s="139">
        <f t="shared" si="18"/>
        <v>-0.16304980956517792</v>
      </c>
      <c r="K60" s="139">
        <f t="shared" si="18"/>
        <v>0.17073897556727263</v>
      </c>
    </row>
    <row r="61" spans="2:11" x14ac:dyDescent="0.35">
      <c r="B61" s="2" t="s">
        <v>0</v>
      </c>
      <c r="C61" s="139">
        <f t="shared" ref="C61:F61" si="19">C10/10^6</f>
        <v>0.64362346769733114</v>
      </c>
      <c r="D61" s="139">
        <f t="shared" si="19"/>
        <v>0.55317386946181346</v>
      </c>
      <c r="E61" s="139">
        <f t="shared" si="19"/>
        <v>0.54674669648005036</v>
      </c>
      <c r="F61" s="139">
        <f t="shared" si="19"/>
        <v>0.53423151932394919</v>
      </c>
      <c r="H61" s="268" t="s">
        <v>878</v>
      </c>
      <c r="I61" s="959">
        <f t="shared" ref="I61:K61" si="20">I44/10^6</f>
        <v>4.6904860440203677</v>
      </c>
      <c r="J61" s="959">
        <f t="shared" si="20"/>
        <v>4.2300429082425506</v>
      </c>
      <c r="K61" s="959">
        <f t="shared" si="20"/>
        <v>4.0965576737705103</v>
      </c>
    </row>
    <row r="62" spans="2:11" x14ac:dyDescent="0.35">
      <c r="B62" s="2" t="s">
        <v>166</v>
      </c>
      <c r="C62" s="139">
        <f t="shared" ref="C62:F62" si="21">C11/10^6</f>
        <v>0.23745888154831124</v>
      </c>
      <c r="D62" s="139">
        <f t="shared" si="21"/>
        <v>0.32641412643476708</v>
      </c>
      <c r="E62" s="139">
        <f t="shared" si="21"/>
        <v>0.29637039371224694</v>
      </c>
      <c r="F62" s="139">
        <f t="shared" si="21"/>
        <v>0.26050905588989576</v>
      </c>
      <c r="H62" s="684"/>
      <c r="I62" s="684"/>
      <c r="J62" s="684"/>
      <c r="K62" s="177">
        <f>-1+K61/I61</f>
        <v>-0.12662405658514275</v>
      </c>
    </row>
    <row r="63" spans="2:11" x14ac:dyDescent="0.35">
      <c r="B63" s="268" t="s">
        <v>715</v>
      </c>
      <c r="C63" s="959">
        <f>SUM(C58:C62)</f>
        <v>4.9809079271603292</v>
      </c>
      <c r="D63" s="959">
        <f t="shared" ref="D63:E63" si="22">SUM(D58:D62)</f>
        <v>4.5560368734602266</v>
      </c>
      <c r="E63" s="959">
        <f t="shared" si="22"/>
        <v>4.393092717807729</v>
      </c>
      <c r="F63" s="959">
        <f>SUM(F58:F62)</f>
        <v>3.9258186982032384</v>
      </c>
      <c r="K63" s="177">
        <f>-1+K61/J61</f>
        <v>-3.1556472917079526E-2</v>
      </c>
    </row>
  </sheetData>
  <sheetProtection algorithmName="SHA-512" hashValue="G41FCAjrJSEYeukf7tlJfBUPqbtQ1vb835+YdoJgzvcuV6hfo0hB+rYOSNrMCkA3yDzWB89mwFHhe4CJ9LO9oQ==" saltValue="SbuiG8P+hxx7IoAGSJHgCA==" spinCount="100000" sheet="1" objects="1" scenarios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DD6BB-4B00-4DB4-9EEE-B06BAFB65C64}">
  <sheetPr>
    <tabColor rgb="FF7030A0"/>
  </sheetPr>
  <dimension ref="B2:L93"/>
  <sheetViews>
    <sheetView topLeftCell="A50" workbookViewId="0">
      <selection activeCell="F74" sqref="F74"/>
    </sheetView>
  </sheetViews>
  <sheetFormatPr baseColWidth="10" defaultRowHeight="14.5" x14ac:dyDescent="0.35"/>
  <cols>
    <col min="2" max="2" width="54" customWidth="1"/>
    <col min="3" max="3" width="22.81640625" customWidth="1"/>
    <col min="4" max="4" width="25.1796875" customWidth="1"/>
    <col min="5" max="6" width="23.26953125" customWidth="1"/>
    <col min="7" max="7" width="26.54296875" customWidth="1"/>
    <col min="8" max="8" width="20.453125" customWidth="1"/>
    <col min="9" max="9" width="22.81640625" customWidth="1"/>
    <col min="10" max="10" width="25.453125" customWidth="1"/>
    <col min="11" max="11" width="20.54296875" customWidth="1"/>
  </cols>
  <sheetData>
    <row r="2" spans="2:9" s="296" customFormat="1" ht="33.5" x14ac:dyDescent="0.75">
      <c r="B2" s="298" t="s">
        <v>257</v>
      </c>
    </row>
    <row r="4" spans="2:9" s="297" customFormat="1" x14ac:dyDescent="0.35">
      <c r="B4" s="313" t="s">
        <v>19</v>
      </c>
    </row>
    <row r="6" spans="2:9" x14ac:dyDescent="0.35">
      <c r="B6" s="124" t="s">
        <v>420</v>
      </c>
      <c r="C6" s="1007">
        <v>2021</v>
      </c>
      <c r="D6" s="1008"/>
      <c r="E6" s="1008"/>
      <c r="F6" s="195"/>
      <c r="H6" s="223"/>
      <c r="I6" s="223"/>
    </row>
    <row r="7" spans="2:9" x14ac:dyDescent="0.35">
      <c r="B7" s="306"/>
      <c r="C7" s="307" t="s">
        <v>265</v>
      </c>
      <c r="D7" s="306" t="s">
        <v>268</v>
      </c>
      <c r="E7" s="306" t="s">
        <v>264</v>
      </c>
      <c r="F7" s="306" t="s">
        <v>717</v>
      </c>
    </row>
    <row r="8" spans="2:9" x14ac:dyDescent="0.35">
      <c r="B8" s="195" t="s">
        <v>258</v>
      </c>
      <c r="C8" s="300">
        <v>2.78</v>
      </c>
      <c r="D8" s="301">
        <f>C8-E8</f>
        <v>0.21999999999999975</v>
      </c>
      <c r="E8" s="301">
        <v>2.56</v>
      </c>
      <c r="F8" s="177">
        <f>D8/C8</f>
        <v>7.9136690647481925E-2</v>
      </c>
    </row>
    <row r="9" spans="2:9" x14ac:dyDescent="0.35">
      <c r="B9" s="195" t="s">
        <v>259</v>
      </c>
      <c r="C9" s="300">
        <v>3.57</v>
      </c>
      <c r="D9" s="301">
        <f t="shared" ref="D9:D13" si="0">C9-E9</f>
        <v>0.9099999999999997</v>
      </c>
      <c r="E9" s="301">
        <v>2.66</v>
      </c>
      <c r="F9" s="177">
        <f t="shared" ref="F9:F13" si="1">D9/C9</f>
        <v>0.25490196078431365</v>
      </c>
    </row>
    <row r="10" spans="2:9" x14ac:dyDescent="0.35">
      <c r="B10" s="195" t="s">
        <v>260</v>
      </c>
      <c r="C10" s="300">
        <v>4.3600000000000003</v>
      </c>
      <c r="D10" s="301">
        <f t="shared" si="0"/>
        <v>1.0400000000000005</v>
      </c>
      <c r="E10" s="301">
        <v>3.32</v>
      </c>
      <c r="F10" s="177">
        <f t="shared" si="1"/>
        <v>0.23853211009174322</v>
      </c>
    </row>
    <row r="11" spans="2:9" x14ac:dyDescent="0.35">
      <c r="B11" s="195" t="s">
        <v>261</v>
      </c>
      <c r="C11" s="300">
        <v>6.09</v>
      </c>
      <c r="D11" s="301">
        <f t="shared" si="0"/>
        <v>0.99000000000000021</v>
      </c>
      <c r="E11" s="301">
        <v>5.0999999999999996</v>
      </c>
      <c r="F11" s="177">
        <f t="shared" si="1"/>
        <v>0.16256157635467985</v>
      </c>
    </row>
    <row r="12" spans="2:9" x14ac:dyDescent="0.35">
      <c r="B12" s="195" t="s">
        <v>262</v>
      </c>
      <c r="C12" s="300">
        <v>6.61</v>
      </c>
      <c r="D12" s="301">
        <f t="shared" si="0"/>
        <v>1.29</v>
      </c>
      <c r="E12" s="301">
        <v>5.32</v>
      </c>
      <c r="F12" s="177">
        <f t="shared" si="1"/>
        <v>0.19515885022692889</v>
      </c>
    </row>
    <row r="13" spans="2:9" x14ac:dyDescent="0.35">
      <c r="B13" s="304" t="s">
        <v>263</v>
      </c>
      <c r="C13" s="302">
        <v>14.81</v>
      </c>
      <c r="D13" s="301">
        <f t="shared" si="0"/>
        <v>5.4400000000000013</v>
      </c>
      <c r="E13" s="303">
        <v>9.3699999999999992</v>
      </c>
      <c r="F13" s="177">
        <f t="shared" si="1"/>
        <v>0.36731937879810944</v>
      </c>
    </row>
    <row r="16" spans="2:9" x14ac:dyDescent="0.35">
      <c r="B16" s="308" t="s">
        <v>420</v>
      </c>
      <c r="C16" s="309" t="s">
        <v>99</v>
      </c>
      <c r="D16" s="309" t="s">
        <v>268</v>
      </c>
      <c r="E16" s="306" t="s">
        <v>266</v>
      </c>
    </row>
    <row r="17" spans="2:12" x14ac:dyDescent="0.35">
      <c r="B17" s="305">
        <v>2015</v>
      </c>
      <c r="C17" s="48">
        <v>117.0540331</v>
      </c>
      <c r="D17" s="48">
        <f>C17-E17</f>
        <v>42.587158909999999</v>
      </c>
      <c r="E17" s="48">
        <v>74.466874189999999</v>
      </c>
    </row>
    <row r="18" spans="2:12" x14ac:dyDescent="0.35">
      <c r="B18" s="305">
        <v>2019</v>
      </c>
      <c r="C18" s="48">
        <v>117.0341409</v>
      </c>
      <c r="D18" s="48">
        <f t="shared" ref="D18:D19" si="2">C18-E18</f>
        <v>40.209329670000002</v>
      </c>
      <c r="E18" s="48">
        <v>76.824811229999995</v>
      </c>
    </row>
    <row r="19" spans="2:12" x14ac:dyDescent="0.35">
      <c r="B19" s="305">
        <v>2021</v>
      </c>
      <c r="C19" s="48">
        <v>111.7681269</v>
      </c>
      <c r="D19" s="48">
        <f t="shared" si="2"/>
        <v>36.604004719999992</v>
      </c>
      <c r="E19" s="48">
        <v>75.164122180000007</v>
      </c>
    </row>
    <row r="21" spans="2:12" s="297" customFormat="1" x14ac:dyDescent="0.35">
      <c r="B21" s="313" t="s">
        <v>21</v>
      </c>
    </row>
    <row r="23" spans="2:12" x14ac:dyDescent="0.35">
      <c r="F23" s="11"/>
      <c r="G23" s="11"/>
      <c r="H23" s="11"/>
      <c r="I23" s="11"/>
      <c r="J23" s="11"/>
      <c r="K23" s="11"/>
    </row>
    <row r="24" spans="2:12" x14ac:dyDescent="0.35">
      <c r="B24" s="124" t="s">
        <v>829</v>
      </c>
      <c r="C24" s="1008">
        <v>2023</v>
      </c>
      <c r="D24" s="1008"/>
      <c r="E24" s="1008"/>
      <c r="F24" s="1009">
        <v>2019</v>
      </c>
      <c r="G24" s="1009"/>
      <c r="H24" s="1009"/>
      <c r="I24" s="1008">
        <v>2015</v>
      </c>
      <c r="J24" s="1008"/>
      <c r="K24" s="1008"/>
      <c r="L24" s="11"/>
    </row>
    <row r="25" spans="2:12" x14ac:dyDescent="0.35">
      <c r="B25" s="299"/>
      <c r="C25" s="299" t="s">
        <v>265</v>
      </c>
      <c r="D25" s="299" t="s">
        <v>268</v>
      </c>
      <c r="E25" s="299" t="s">
        <v>264</v>
      </c>
      <c r="F25" s="312" t="s">
        <v>265</v>
      </c>
      <c r="G25" s="312" t="s">
        <v>268</v>
      </c>
      <c r="H25" s="312" t="s">
        <v>264</v>
      </c>
      <c r="I25" s="299" t="s">
        <v>265</v>
      </c>
      <c r="J25" s="299" t="s">
        <v>268</v>
      </c>
      <c r="K25" s="299" t="s">
        <v>264</v>
      </c>
      <c r="L25" s="11"/>
    </row>
    <row r="26" spans="2:12" x14ac:dyDescent="0.35">
      <c r="B26" s="310" t="s">
        <v>258</v>
      </c>
      <c r="C26" s="148">
        <f>C8*Constantes!$F$9*10^6*Constantes!$F$21</f>
        <v>253631.88422227171</v>
      </c>
      <c r="D26" s="148">
        <f>D8*Constantes!$F$9*10^6*Constantes!$F$21</f>
        <v>20071.587960035864</v>
      </c>
      <c r="E26" s="148">
        <f>E8*Constantes!$F$9*10^6*Constantes!$F$21</f>
        <v>233560.29626223582</v>
      </c>
      <c r="F26" s="148">
        <f>C8*C$18/C$19*Constantes!$E$9*10^6*Constantes!$E$21</f>
        <v>266028.66951272084</v>
      </c>
      <c r="G26" s="148">
        <f>D8*D$18/D$19*Constantes!$E$9*10^6*Constantes!$E$21</f>
        <v>22085.63847986894</v>
      </c>
      <c r="H26" s="148">
        <f>E8*E$18/E$19*Constantes!$E$9*10^6*Constantes!$E$21</f>
        <v>239122.2150463289</v>
      </c>
      <c r="I26" s="148">
        <f>C8*C$17/C$19*Constantes!$D$9*10^6*Constantes!$D$21</f>
        <v>262739.07229935849</v>
      </c>
      <c r="J26" s="148">
        <f>D8*D$17/D$19*Constantes!$D$9*10^6*Constantes!$D$21</f>
        <v>23098.522623884073</v>
      </c>
      <c r="K26" s="148">
        <f>E8*E$17/E$19*Constantes!$D$9*10^6*Constantes!$D$21</f>
        <v>228877.95100893467</v>
      </c>
      <c r="L26" s="11"/>
    </row>
    <row r="27" spans="2:12" x14ac:dyDescent="0.35">
      <c r="B27" s="195" t="s">
        <v>259</v>
      </c>
      <c r="C27" s="148">
        <f>C9*Constantes!$F$9*10^6*Constantes!$F$21</f>
        <v>325707.131896946</v>
      </c>
      <c r="D27" s="148">
        <f>D9*Constantes!$F$9*10^6*Constantes!$F$21</f>
        <v>83023.386561966603</v>
      </c>
      <c r="E27" s="148">
        <f>E9*Constantes!$F$9*10^6*Constantes!$F$21</f>
        <v>242683.74533497941</v>
      </c>
      <c r="F27" s="148">
        <f>C9*C$18/C$19*Constantes!$E$9*10^6*Constantes!$E$21</f>
        <v>341626.74466201913</v>
      </c>
      <c r="G27" s="148">
        <f>D9*D$18/D$19*Constantes!$E$9*10^6*Constantes!$E$21</f>
        <v>91354.231894003402</v>
      </c>
      <c r="H27" s="148">
        <f>E9*E$18/E$19*Constantes!$E$9*10^6*Constantes!$E$21</f>
        <v>248462.92657157616</v>
      </c>
      <c r="I27" s="148">
        <f>C9*C$17/C$19*Constantes!$D$9*10^6*Constantes!$D$21</f>
        <v>337402.33385205385</v>
      </c>
      <c r="J27" s="148">
        <f>D9*D$17/D$19*Constantes!$D$9*10^6*Constantes!$D$21</f>
        <v>95543.889035156943</v>
      </c>
      <c r="K27" s="148">
        <f>E9*E$17/E$19*Constantes!$D$9*10^6*Constantes!$D$21</f>
        <v>237818.49597022118</v>
      </c>
      <c r="L27" s="11"/>
    </row>
    <row r="28" spans="2:12" x14ac:dyDescent="0.35">
      <c r="B28" s="195" t="s">
        <v>260</v>
      </c>
      <c r="C28" s="148">
        <f>C10*Constantes!$F$9*10^6*Constantes!$F$21</f>
        <v>397782.37957162037</v>
      </c>
      <c r="D28" s="148">
        <f>D10*Constantes!$F$9*10^6*Constantes!$F$21</f>
        <v>94883.870356533342</v>
      </c>
      <c r="E28" s="148">
        <f>E10*Constantes!$F$9*10^6*Constantes!$F$21</f>
        <v>302898.50921508705</v>
      </c>
      <c r="F28" s="148">
        <f>C10*C$18/C$19*Constantes!$E$9*10^6*Constantes!$E$21</f>
        <v>417224.81981131755</v>
      </c>
      <c r="G28" s="148">
        <f>D10*D$18/D$19*Constantes!$E$9*10^6*Constantes!$E$21</f>
        <v>104404.8364502897</v>
      </c>
      <c r="H28" s="148">
        <f>E10*E$18/E$19*Constantes!$E$9*10^6*Constantes!$E$21</f>
        <v>310111.6226382078</v>
      </c>
      <c r="I28" s="148">
        <f>C10*C$17/C$19*Constantes!$D$9*10^6*Constantes!$D$21</f>
        <v>412065.59540474933</v>
      </c>
      <c r="J28" s="148">
        <f>D10*D$17/D$19*Constantes!$D$9*10^6*Constantes!$D$21</f>
        <v>109193.01604017944</v>
      </c>
      <c r="K28" s="148">
        <f>E10*E$17/E$19*Constantes!$D$9*10^6*Constantes!$D$21</f>
        <v>296826.09271471214</v>
      </c>
      <c r="L28" s="11"/>
    </row>
    <row r="29" spans="2:12" x14ac:dyDescent="0.35">
      <c r="B29" s="195" t="s">
        <v>261</v>
      </c>
      <c r="C29" s="148">
        <f>C11*Constantes!$F$9*10^6*Constantes!$F$21</f>
        <v>555618.04853008431</v>
      </c>
      <c r="D29" s="148">
        <f>D11*Constantes!$F$9*10^6*Constantes!$F$21</f>
        <v>90322.145820161517</v>
      </c>
      <c r="E29" s="148">
        <f>E11*Constantes!$F$9*10^6*Constantes!$F$21</f>
        <v>465295.90270992287</v>
      </c>
      <c r="F29" s="148">
        <f>C11*C$18/C$19*Constantes!$E$9*10^6*Constantes!$E$21</f>
        <v>582775.03501167963</v>
      </c>
      <c r="G29" s="148">
        <f>D11*D$18/D$19*Constantes!$E$9*10^6*Constantes!$E$21</f>
        <v>99385.373159410359</v>
      </c>
      <c r="H29" s="148">
        <f>E11*E$18/E$19*Constantes!$E$9*10^6*Constantes!$E$21</f>
        <v>476376.28778760839</v>
      </c>
      <c r="I29" s="148">
        <f>C11*C$17/C$19*Constantes!$D$9*10^6*Constantes!$D$21</f>
        <v>575568.68715938611</v>
      </c>
      <c r="J29" s="148">
        <f>D11*D$17/D$19*Constantes!$D$9*10^6*Constantes!$D$21</f>
        <v>103943.35180747848</v>
      </c>
      <c r="K29" s="148">
        <f>E11*E$17/E$19*Constantes!$D$9*10^6*Constantes!$D$21</f>
        <v>455967.79302561202</v>
      </c>
      <c r="L29" s="11"/>
    </row>
    <row r="30" spans="2:12" x14ac:dyDescent="0.35">
      <c r="B30" s="195" t="s">
        <v>262</v>
      </c>
      <c r="C30" s="148">
        <f>C12*Constantes!$F$9*10^6*Constantes!$F$21</f>
        <v>603059.98370835104</v>
      </c>
      <c r="D30" s="148">
        <f>D12*Constantes!$F$9*10^6*Constantes!$F$21</f>
        <v>117692.49303839226</v>
      </c>
      <c r="E30" s="148">
        <f>E12*Constantes!$F$9*10^6*Constantes!$F$21</f>
        <v>485367.49066995882</v>
      </c>
      <c r="F30" s="148">
        <f>C12*C$18/C$19*Constantes!$E$9*10^6*Constantes!$E$21</f>
        <v>632535.79333780019</v>
      </c>
      <c r="G30" s="148">
        <f>D12*D$18/D$19*Constantes!$E$9*10^6*Constantes!$E$21</f>
        <v>129502.15290468623</v>
      </c>
      <c r="H30" s="148">
        <f>E12*E$18/E$19*Constantes!$E$9*10^6*Constantes!$E$21</f>
        <v>496925.85314315232</v>
      </c>
      <c r="I30" s="148">
        <f>C12*C$17/C$19*Constantes!$D$9*10^6*Constantes!$D$21</f>
        <v>624714.12514343881</v>
      </c>
      <c r="J30" s="148">
        <f>D12*D$17/D$19*Constantes!$D$9*10^6*Constantes!$D$21</f>
        <v>135441.33720368406</v>
      </c>
      <c r="K30" s="148">
        <f>E12*E$17/E$19*Constantes!$D$9*10^6*Constantes!$D$21</f>
        <v>475636.99194044236</v>
      </c>
      <c r="L30" s="11"/>
    </row>
    <row r="31" spans="2:12" x14ac:dyDescent="0.35">
      <c r="B31" s="304" t="s">
        <v>263</v>
      </c>
      <c r="C31" s="148">
        <f>C13*Constantes!$F$9*10^6*Constantes!$F$21</f>
        <v>1351182.8076733251</v>
      </c>
      <c r="D31" s="148">
        <f>D13*Constantes!$F$9*10^6*Constantes!$F$21</f>
        <v>496315.62955725123</v>
      </c>
      <c r="E31" s="148">
        <f>E13*Constantes!$F$9*10^6*Constantes!$F$21</f>
        <v>854867.17811607395</v>
      </c>
      <c r="F31" s="148">
        <f>C13*C$18/C$19*Constantes!$E$9*10^6*Constantes!$E$21</f>
        <v>1417224.6746343148</v>
      </c>
      <c r="G31" s="148">
        <f>D13*D$18/D$19*Constantes!$E$9*10^6*Constantes!$E$21</f>
        <v>546117.60604766908</v>
      </c>
      <c r="H31" s="148">
        <f>E13*E$18/E$19*Constantes!$E$9*10^6*Constantes!$E$21</f>
        <v>875224.66991566471</v>
      </c>
      <c r="I31" s="148">
        <f>C13*C$17/C$19*Constantes!$D$9*10^6*Constantes!$D$21</f>
        <v>1399699.8779688848</v>
      </c>
      <c r="J31" s="148">
        <f>D13*D$17/D$19*Constantes!$D$9*10^6*Constantes!$D$21</f>
        <v>571163.46851786156</v>
      </c>
      <c r="K31" s="148">
        <f>E13*E$17/E$19*Constantes!$D$9*10^6*Constantes!$D$21</f>
        <v>837729.06287254568</v>
      </c>
      <c r="L31" s="11"/>
    </row>
    <row r="32" spans="2:12" x14ac:dyDescent="0.35">
      <c r="E32" s="11"/>
      <c r="F32" s="11"/>
    </row>
    <row r="33" spans="2:12" x14ac:dyDescent="0.35">
      <c r="B33" s="304" t="s">
        <v>752</v>
      </c>
      <c r="C33" s="177">
        <v>1</v>
      </c>
      <c r="D33" s="124" t="s">
        <v>755</v>
      </c>
      <c r="E33" s="11"/>
      <c r="L33" s="162"/>
    </row>
    <row r="34" spans="2:12" s="413" customFormat="1" x14ac:dyDescent="0.35">
      <c r="B34" s="304" t="s">
        <v>753</v>
      </c>
      <c r="C34" s="177">
        <f>1-0.66</f>
        <v>0.33999999999999997</v>
      </c>
      <c r="D34" s="124" t="s">
        <v>756</v>
      </c>
      <c r="E34" s="11"/>
      <c r="L34" s="162"/>
    </row>
    <row r="35" spans="2:12" s="684" customFormat="1" x14ac:dyDescent="0.35">
      <c r="B35" s="304" t="s">
        <v>754</v>
      </c>
      <c r="C35" s="177">
        <f>1-75%</f>
        <v>0.25</v>
      </c>
      <c r="D35" s="124" t="s">
        <v>757</v>
      </c>
      <c r="E35" s="11"/>
    </row>
    <row r="36" spans="2:12" x14ac:dyDescent="0.35">
      <c r="G36" s="11"/>
    </row>
    <row r="38" spans="2:12" x14ac:dyDescent="0.35">
      <c r="B38" s="124" t="s">
        <v>823</v>
      </c>
      <c r="C38" s="1008">
        <v>2023</v>
      </c>
      <c r="D38" s="1008"/>
      <c r="E38" s="1008"/>
      <c r="F38" s="1009">
        <v>2019</v>
      </c>
      <c r="G38" s="1009"/>
      <c r="H38" s="1009"/>
      <c r="I38" s="1008">
        <v>2015</v>
      </c>
      <c r="J38" s="1008"/>
      <c r="K38" s="1008"/>
    </row>
    <row r="39" spans="2:12" x14ac:dyDescent="0.35">
      <c r="B39" s="299"/>
      <c r="C39" s="299" t="s">
        <v>282</v>
      </c>
      <c r="D39" s="299" t="s">
        <v>269</v>
      </c>
      <c r="E39" s="299" t="s">
        <v>264</v>
      </c>
      <c r="F39" s="312" t="s">
        <v>282</v>
      </c>
      <c r="G39" s="312" t="s">
        <v>269</v>
      </c>
      <c r="H39" s="312" t="s">
        <v>264</v>
      </c>
      <c r="I39" s="299" t="s">
        <v>282</v>
      </c>
      <c r="J39" s="299" t="s">
        <v>269</v>
      </c>
      <c r="K39" s="299" t="s">
        <v>264</v>
      </c>
    </row>
    <row r="40" spans="2:12" x14ac:dyDescent="0.35">
      <c r="B40" s="310" t="s">
        <v>258</v>
      </c>
      <c r="C40" s="148">
        <f>D40+E40</f>
        <v>253631.88422227168</v>
      </c>
      <c r="D40" s="148">
        <f xml:space="preserve"> $C$33*D26</f>
        <v>20071.587960035864</v>
      </c>
      <c r="E40" s="148">
        <f t="shared" ref="E40:E45" si="3">E26</f>
        <v>233560.29626223582</v>
      </c>
      <c r="F40" s="148">
        <f>G40+H40</f>
        <v>261207.85352619784</v>
      </c>
      <c r="G40" s="148">
        <f>G26*$C$33</f>
        <v>22085.63847986894</v>
      </c>
      <c r="H40" s="148">
        <f t="shared" ref="H40:H45" si="4">H26</f>
        <v>239122.2150463289</v>
      </c>
      <c r="I40" s="148">
        <f>J40+K40</f>
        <v>251976.47363281876</v>
      </c>
      <c r="J40" s="148">
        <f>J26*$C$33</f>
        <v>23098.522623884073</v>
      </c>
      <c r="K40" s="148">
        <f t="shared" ref="K40:K45" si="5">K26</f>
        <v>228877.95100893467</v>
      </c>
    </row>
    <row r="41" spans="2:12" x14ac:dyDescent="0.35">
      <c r="B41" s="195" t="s">
        <v>259</v>
      </c>
      <c r="C41" s="148">
        <f t="shared" ref="C41:C45" si="6">D41+E41</f>
        <v>325707.131896946</v>
      </c>
      <c r="D41" s="148">
        <f xml:space="preserve"> $C$33*D27</f>
        <v>83023.386561966603</v>
      </c>
      <c r="E41" s="148">
        <f t="shared" si="3"/>
        <v>242683.74533497941</v>
      </c>
      <c r="F41" s="148">
        <f t="shared" ref="F41:F45" si="7">G41+H41</f>
        <v>339817.15846557956</v>
      </c>
      <c r="G41" s="148">
        <f>G27*$C$33</f>
        <v>91354.231894003402</v>
      </c>
      <c r="H41" s="148">
        <f t="shared" si="4"/>
        <v>248462.92657157616</v>
      </c>
      <c r="I41" s="148">
        <f t="shared" ref="I41:I45" si="8">J41+K41</f>
        <v>333362.38500537811</v>
      </c>
      <c r="J41" s="148">
        <f>J27*$C$33</f>
        <v>95543.889035156943</v>
      </c>
      <c r="K41" s="148">
        <f t="shared" si="5"/>
        <v>237818.49597022118</v>
      </c>
    </row>
    <row r="42" spans="2:12" x14ac:dyDescent="0.35">
      <c r="B42" s="195" t="s">
        <v>260</v>
      </c>
      <c r="C42" s="148">
        <f t="shared" si="6"/>
        <v>326619.47680422041</v>
      </c>
      <c r="D42" s="148">
        <f xml:space="preserve"> $C$35*D28</f>
        <v>23720.967589133335</v>
      </c>
      <c r="E42" s="148">
        <f t="shared" si="3"/>
        <v>302898.50921508705</v>
      </c>
      <c r="F42" s="148">
        <f t="shared" si="7"/>
        <v>414516.4590884975</v>
      </c>
      <c r="G42" s="148">
        <f>G28*$C$33</f>
        <v>104404.8364502897</v>
      </c>
      <c r="H42" s="148">
        <f t="shared" si="4"/>
        <v>310111.6226382078</v>
      </c>
      <c r="I42" s="148">
        <f t="shared" si="8"/>
        <v>406019.10875489155</v>
      </c>
      <c r="J42" s="148">
        <f>J28*$C$33</f>
        <v>109193.01604017944</v>
      </c>
      <c r="K42" s="148">
        <f t="shared" si="5"/>
        <v>296826.09271471214</v>
      </c>
    </row>
    <row r="43" spans="2:12" x14ac:dyDescent="0.35">
      <c r="B43" s="195" t="s">
        <v>261</v>
      </c>
      <c r="C43" s="148">
        <f t="shared" si="6"/>
        <v>555618.04853008443</v>
      </c>
      <c r="D43" s="148">
        <f xml:space="preserve"> $C$33*D29</f>
        <v>90322.145820161517</v>
      </c>
      <c r="E43" s="148">
        <f t="shared" si="3"/>
        <v>465295.90270992287</v>
      </c>
      <c r="F43" s="148">
        <f t="shared" si="7"/>
        <v>575761.66094701877</v>
      </c>
      <c r="G43" s="148">
        <f>G29*$C$33</f>
        <v>99385.373159410359</v>
      </c>
      <c r="H43" s="148">
        <f t="shared" si="4"/>
        <v>476376.28778760839</v>
      </c>
      <c r="I43" s="148">
        <f t="shared" si="8"/>
        <v>559911.14483309048</v>
      </c>
      <c r="J43" s="148">
        <f>J29*$C$33</f>
        <v>103943.35180747848</v>
      </c>
      <c r="K43" s="148">
        <f t="shared" si="5"/>
        <v>455967.79302561202</v>
      </c>
    </row>
    <row r="44" spans="2:12" x14ac:dyDescent="0.35">
      <c r="B44" s="195" t="s">
        <v>262</v>
      </c>
      <c r="C44" s="148">
        <f t="shared" si="6"/>
        <v>603059.98370835104</v>
      </c>
      <c r="D44" s="148">
        <f xml:space="preserve"> $C$33*D30</f>
        <v>117692.49303839226</v>
      </c>
      <c r="E44" s="148">
        <f t="shared" si="3"/>
        <v>485367.49066995882</v>
      </c>
      <c r="F44" s="148">
        <f t="shared" si="7"/>
        <v>626428.0060478386</v>
      </c>
      <c r="G44" s="148">
        <f>G30*$C$33</f>
        <v>129502.15290468623</v>
      </c>
      <c r="H44" s="148">
        <f t="shared" si="4"/>
        <v>496925.85314315232</v>
      </c>
      <c r="I44" s="148">
        <f t="shared" si="8"/>
        <v>611078.32914412639</v>
      </c>
      <c r="J44" s="148">
        <f>J30*$C$33</f>
        <v>135441.33720368406</v>
      </c>
      <c r="K44" s="148">
        <f t="shared" si="5"/>
        <v>475636.99194044236</v>
      </c>
    </row>
    <row r="45" spans="2:12" x14ac:dyDescent="0.35">
      <c r="B45" s="304" t="s">
        <v>271</v>
      </c>
      <c r="C45" s="148">
        <f t="shared" si="6"/>
        <v>1023614.4921655394</v>
      </c>
      <c r="D45" s="148">
        <f xml:space="preserve"> $C$34*D31</f>
        <v>168747.31404946541</v>
      </c>
      <c r="E45" s="148">
        <f t="shared" si="3"/>
        <v>854867.17811607395</v>
      </c>
      <c r="F45" s="148">
        <f t="shared" si="7"/>
        <v>1060904.6559718722</v>
      </c>
      <c r="G45" s="148">
        <f>G31*$C$34</f>
        <v>185679.98605620748</v>
      </c>
      <c r="H45" s="148">
        <f t="shared" si="4"/>
        <v>875224.66991566471</v>
      </c>
      <c r="I45" s="148">
        <f t="shared" si="8"/>
        <v>1031924.6421686186</v>
      </c>
      <c r="J45" s="148">
        <f>J31*$C$34</f>
        <v>194195.57929607292</v>
      </c>
      <c r="K45" s="148">
        <f t="shared" si="5"/>
        <v>837729.06287254568</v>
      </c>
    </row>
    <row r="46" spans="2:12" s="413" customFormat="1" x14ac:dyDescent="0.35">
      <c r="C46" s="148"/>
      <c r="D46" s="148"/>
      <c r="E46" s="148"/>
      <c r="F46" s="148"/>
      <c r="G46" s="148"/>
      <c r="H46" s="148"/>
      <c r="I46" s="148"/>
      <c r="J46" s="148"/>
      <c r="K46" s="148"/>
    </row>
    <row r="47" spans="2:12" x14ac:dyDescent="0.35">
      <c r="B47" s="304" t="s">
        <v>718</v>
      </c>
      <c r="C47" s="162">
        <f>C31-C45</f>
        <v>327568.31550778565</v>
      </c>
      <c r="D47" s="177">
        <f>C47/'Agriculture - Emissions'!H17</f>
        <v>0.61315797301198471</v>
      </c>
      <c r="F47" s="162"/>
    </row>
    <row r="49" spans="2:10" s="297" customFormat="1" x14ac:dyDescent="0.35">
      <c r="B49" s="313" t="s">
        <v>270</v>
      </c>
    </row>
    <row r="51" spans="2:10" x14ac:dyDescent="0.35">
      <c r="B51" s="124" t="s">
        <v>522</v>
      </c>
      <c r="G51" s="124" t="s">
        <v>512</v>
      </c>
    </row>
    <row r="52" spans="2:10" x14ac:dyDescent="0.35">
      <c r="B52" s="195"/>
      <c r="C52" s="195">
        <v>2015</v>
      </c>
      <c r="D52" s="195">
        <v>2019</v>
      </c>
      <c r="E52" s="195">
        <v>2022</v>
      </c>
      <c r="G52" s="125"/>
      <c r="H52" s="125" t="s">
        <v>283</v>
      </c>
      <c r="I52" s="125" t="s">
        <v>510</v>
      </c>
      <c r="J52" s="125" t="s">
        <v>511</v>
      </c>
    </row>
    <row r="53" spans="2:10" x14ac:dyDescent="0.35">
      <c r="B53" t="s">
        <v>272</v>
      </c>
      <c r="C53" s="162">
        <v>331375</v>
      </c>
      <c r="D53" s="162">
        <v>339014</v>
      </c>
      <c r="E53" s="162">
        <v>319010</v>
      </c>
      <c r="G53" s="334">
        <v>2023</v>
      </c>
      <c r="H53" s="334" t="s">
        <v>499</v>
      </c>
      <c r="I53" s="431">
        <v>127237.1</v>
      </c>
      <c r="J53" s="431">
        <v>515441.9</v>
      </c>
    </row>
    <row r="54" spans="2:10" x14ac:dyDescent="0.35">
      <c r="B54" t="s">
        <v>273</v>
      </c>
      <c r="C54" s="162">
        <v>4442</v>
      </c>
      <c r="D54" s="162">
        <v>8348</v>
      </c>
      <c r="E54" s="162">
        <v>11347</v>
      </c>
      <c r="G54" s="334">
        <v>2023</v>
      </c>
      <c r="H54" s="334" t="s">
        <v>500</v>
      </c>
      <c r="I54" s="431">
        <v>45808.5</v>
      </c>
      <c r="J54" s="431">
        <v>85806</v>
      </c>
    </row>
    <row r="55" spans="2:10" x14ac:dyDescent="0.35">
      <c r="B55" t="s">
        <v>275</v>
      </c>
      <c r="C55" s="162">
        <v>1359120</v>
      </c>
      <c r="D55" s="162">
        <v>1590819</v>
      </c>
      <c r="E55" s="162">
        <v>1500576</v>
      </c>
      <c r="G55" s="334">
        <v>2023</v>
      </c>
      <c r="H55" s="334" t="s">
        <v>501</v>
      </c>
      <c r="I55" s="431">
        <v>24768.7</v>
      </c>
      <c r="J55" s="431">
        <v>110545.4</v>
      </c>
    </row>
    <row r="56" spans="2:10" x14ac:dyDescent="0.35">
      <c r="B56" t="s">
        <v>274</v>
      </c>
      <c r="C56" s="162">
        <v>2800398</v>
      </c>
      <c r="D56" s="162">
        <v>2998596</v>
      </c>
      <c r="E56" s="162">
        <v>3017187</v>
      </c>
      <c r="G56" s="334">
        <v>2023</v>
      </c>
      <c r="H56" s="334" t="s">
        <v>502</v>
      </c>
      <c r="I56" s="431">
        <v>12992.3</v>
      </c>
      <c r="J56" s="431">
        <v>36862.800000000003</v>
      </c>
    </row>
    <row r="57" spans="2:10" x14ac:dyDescent="0.35">
      <c r="B57" t="s">
        <v>277</v>
      </c>
      <c r="C57" s="162">
        <v>879854</v>
      </c>
      <c r="D57" s="162">
        <v>855852</v>
      </c>
      <c r="E57" s="162">
        <v>869361</v>
      </c>
      <c r="G57" s="334">
        <v>2023</v>
      </c>
      <c r="H57" s="334" t="s">
        <v>503</v>
      </c>
      <c r="I57" s="431">
        <v>7423.1</v>
      </c>
      <c r="J57" s="431">
        <v>22867.7</v>
      </c>
    </row>
    <row r="58" spans="2:10" x14ac:dyDescent="0.35">
      <c r="C58" s="162"/>
      <c r="D58" s="162"/>
      <c r="E58" s="162"/>
      <c r="G58" s="334">
        <v>2023</v>
      </c>
      <c r="H58" s="334" t="s">
        <v>504</v>
      </c>
      <c r="I58" s="431">
        <v>3623.7</v>
      </c>
      <c r="J58" s="431">
        <v>6459.7</v>
      </c>
    </row>
    <row r="59" spans="2:10" x14ac:dyDescent="0.35">
      <c r="B59" t="s">
        <v>811</v>
      </c>
      <c r="G59" s="334">
        <v>2023</v>
      </c>
      <c r="H59" s="334" t="s">
        <v>505</v>
      </c>
      <c r="I59" s="431">
        <v>15968.7</v>
      </c>
      <c r="J59" s="431">
        <v>50016.800000000003</v>
      </c>
    </row>
    <row r="60" spans="2:10" x14ac:dyDescent="0.35">
      <c r="B60" s="195"/>
      <c r="C60" s="195">
        <v>2015</v>
      </c>
      <c r="D60" s="195">
        <v>2019</v>
      </c>
      <c r="E60" s="195">
        <v>2022</v>
      </c>
      <c r="G60" s="334">
        <v>2023</v>
      </c>
      <c r="H60" s="334" t="s">
        <v>135</v>
      </c>
      <c r="I60" s="431">
        <v>42394.9</v>
      </c>
      <c r="J60" s="431">
        <v>81350.3</v>
      </c>
    </row>
    <row r="61" spans="2:10" x14ac:dyDescent="0.35">
      <c r="C61" s="162">
        <v>100</v>
      </c>
      <c r="D61" s="162">
        <v>100</v>
      </c>
      <c r="E61" s="162">
        <v>115</v>
      </c>
      <c r="G61" s="334">
        <v>2023</v>
      </c>
      <c r="H61" s="334" t="s">
        <v>506</v>
      </c>
      <c r="I61" s="431">
        <v>11780</v>
      </c>
      <c r="J61" s="431">
        <v>15582.6</v>
      </c>
    </row>
    <row r="62" spans="2:10" x14ac:dyDescent="0.35">
      <c r="G62" s="334">
        <v>2023</v>
      </c>
      <c r="H62" s="334" t="s">
        <v>507</v>
      </c>
      <c r="I62" s="431">
        <v>4084.8</v>
      </c>
      <c r="J62" s="431">
        <v>5355.7</v>
      </c>
    </row>
    <row r="63" spans="2:10" x14ac:dyDescent="0.35">
      <c r="B63" s="124" t="s">
        <v>276</v>
      </c>
      <c r="C63" s="162"/>
      <c r="D63" s="162"/>
      <c r="E63" s="162"/>
      <c r="G63" s="334">
        <v>2023</v>
      </c>
      <c r="H63" s="334" t="s">
        <v>508</v>
      </c>
      <c r="I63" s="431">
        <v>1093.4000000000001</v>
      </c>
      <c r="J63" s="431">
        <v>5510.9</v>
      </c>
    </row>
    <row r="64" spans="2:10" x14ac:dyDescent="0.35">
      <c r="B64" s="195"/>
      <c r="C64" s="314">
        <v>2015</v>
      </c>
      <c r="D64" s="314">
        <v>2019</v>
      </c>
      <c r="E64" s="314">
        <v>2022</v>
      </c>
      <c r="G64" s="334">
        <v>2023</v>
      </c>
      <c r="H64" s="334" t="s">
        <v>509</v>
      </c>
      <c r="I64" s="431">
        <v>199</v>
      </c>
      <c r="J64" s="431">
        <v>167.2</v>
      </c>
    </row>
    <row r="65" spans="2:11" x14ac:dyDescent="0.35">
      <c r="B65" t="str">
        <f>B53</f>
        <v>Routes</v>
      </c>
      <c r="C65" s="162">
        <f>C53*'Facteurs d''émissions'!$O$20 / 1000*C$61/C$61</f>
        <v>52635.368303571435</v>
      </c>
      <c r="D65" s="162">
        <f>D53*'Facteurs d''émissions'!$O$20 / 1000*100/ D$61</f>
        <v>53848.741607142867</v>
      </c>
      <c r="E65" s="162">
        <f>E53*'Facteurs d''émissions'!$O$20 / 1000*100/E$61</f>
        <v>44062.017857142862</v>
      </c>
    </row>
    <row r="66" spans="2:11" x14ac:dyDescent="0.35">
      <c r="B66" t="str">
        <f>B54</f>
        <v>Aménagements des berges et barrages</v>
      </c>
      <c r="C66" s="162">
        <f>C54*'Facteurs d''émissions'!$O$20 / 1000*C$61/C$61</f>
        <v>705.56410714285721</v>
      </c>
      <c r="D66" s="162">
        <f>D54*'Facteurs d''émissions'!$O$20 / 1000*100/ D$61</f>
        <v>1325.9903571428572</v>
      </c>
      <c r="E66" s="162">
        <f>E54*'Facteurs d''émissions'!$O$20 / 1000*100/E$61</f>
        <v>1567.2603260869564</v>
      </c>
    </row>
    <row r="67" spans="2:11" x14ac:dyDescent="0.35">
      <c r="B67" t="str">
        <f>B55</f>
        <v>Autres infrastructures</v>
      </c>
      <c r="C67" s="162">
        <f>C55*'Facteurs d''émissions'!$O$20 / 1000*C$61/C$61</f>
        <v>215881.65</v>
      </c>
      <c r="D67" s="162">
        <f>D55*'Facteurs d''émissions'!$O$20 / 1000*100/ D$61</f>
        <v>252684.5536607143</v>
      </c>
      <c r="E67" s="162">
        <f>E55*'Facteurs d''émissions'!$O$20 / 1000*100/E$61</f>
        <v>207261.23478260869</v>
      </c>
    </row>
    <row r="68" spans="2:11" x14ac:dyDescent="0.35">
      <c r="B68" t="str">
        <f>B56</f>
        <v>Habitations</v>
      </c>
      <c r="C68" s="162">
        <f>C56*'Facteurs d''émissions'!$O$20 / 1000*C$61/C$61</f>
        <v>444813.21803571435</v>
      </c>
      <c r="D68" s="162">
        <f>D56*'Facteurs d''émissions'!$O$20 / 1000*100/ D$61</f>
        <v>476294.84678571433</v>
      </c>
      <c r="E68" s="162">
        <f>E56*'Facteurs d''émissions'!$O$20 / 1000*100/E$61</f>
        <v>416737.24169254658</v>
      </c>
      <c r="G68" s="124" t="s">
        <v>514</v>
      </c>
    </row>
    <row r="69" spans="2:11" x14ac:dyDescent="0.35">
      <c r="B69" t="str">
        <f>B57</f>
        <v>Constructions industrielles</v>
      </c>
      <c r="C69" s="162">
        <f>C57*'Facteurs d''émissions'!$O$20 / 1000*C$61/C$61</f>
        <v>139755.38089285715</v>
      </c>
      <c r="D69" s="162">
        <f>D57*'Facteurs d''émissions'!$O$20 / 1000*100/ D$61</f>
        <v>135942.92035714287</v>
      </c>
      <c r="E69" s="162">
        <f>E57*'Facteurs d''émissions'!$O$20 / 1000*100/E$61</f>
        <v>120077.11327639753</v>
      </c>
      <c r="G69" s="125"/>
      <c r="H69" s="125" t="s">
        <v>283</v>
      </c>
      <c r="I69" s="125" t="s">
        <v>520</v>
      </c>
      <c r="J69" s="125" t="s">
        <v>519</v>
      </c>
      <c r="K69" s="125" t="s">
        <v>518</v>
      </c>
    </row>
    <row r="70" spans="2:11" x14ac:dyDescent="0.35">
      <c r="C70" s="162"/>
      <c r="D70" s="162"/>
      <c r="E70" s="162"/>
      <c r="G70">
        <v>2023</v>
      </c>
      <c r="H70" t="s">
        <v>513</v>
      </c>
      <c r="I70" s="432">
        <f>I53+I54</f>
        <v>173045.6</v>
      </c>
      <c r="J70" s="432">
        <f>J53+J54</f>
        <v>601247.9</v>
      </c>
      <c r="K70">
        <v>60</v>
      </c>
    </row>
    <row r="71" spans="2:11" x14ac:dyDescent="0.35">
      <c r="B71" s="124" t="s">
        <v>276</v>
      </c>
      <c r="C71" s="162"/>
      <c r="D71" s="162"/>
      <c r="E71" s="162"/>
      <c r="G71">
        <v>2023</v>
      </c>
      <c r="H71" t="s">
        <v>166</v>
      </c>
      <c r="I71" s="432">
        <f>SUM(I55:I64)</f>
        <v>124328.59999999999</v>
      </c>
      <c r="J71" s="432">
        <f>SUM(J55:J64)</f>
        <v>334719.10000000003</v>
      </c>
      <c r="K71">
        <v>60</v>
      </c>
    </row>
    <row r="72" spans="2:11" x14ac:dyDescent="0.35">
      <c r="B72" s="195"/>
      <c r="C72" s="314">
        <v>2015</v>
      </c>
      <c r="D72" s="314">
        <v>2019</v>
      </c>
      <c r="E72" s="314">
        <v>2022</v>
      </c>
    </row>
    <row r="73" spans="2:11" x14ac:dyDescent="0.35">
      <c r="B73" t="s">
        <v>272</v>
      </c>
      <c r="C73" s="162">
        <v>0</v>
      </c>
      <c r="D73" s="162">
        <v>0</v>
      </c>
      <c r="E73" s="162">
        <v>0</v>
      </c>
      <c r="G73" s="124" t="s">
        <v>521</v>
      </c>
    </row>
    <row r="74" spans="2:11" x14ac:dyDescent="0.35">
      <c r="B74" t="s">
        <v>274</v>
      </c>
      <c r="C74" s="162">
        <f>C68</f>
        <v>444813.21803571435</v>
      </c>
      <c r="D74" s="162">
        <f>D68</f>
        <v>476294.84678571433</v>
      </c>
      <c r="E74" s="178">
        <f>E68</f>
        <v>416737.24169254658</v>
      </c>
      <c r="G74" s="125"/>
      <c r="H74" s="125" t="s">
        <v>283</v>
      </c>
      <c r="I74" s="125" t="s">
        <v>516</v>
      </c>
    </row>
    <row r="75" spans="2:11" x14ac:dyDescent="0.35">
      <c r="B75" t="s">
        <v>278</v>
      </c>
      <c r="C75" s="162">
        <f>C66+C67+C69</f>
        <v>356342.59499999997</v>
      </c>
      <c r="D75" s="162">
        <f>D66+D67+D69</f>
        <v>389953.46437499998</v>
      </c>
      <c r="E75" s="178">
        <f>E66+E67+E69</f>
        <v>328905.60838509316</v>
      </c>
      <c r="H75" t="s">
        <v>513</v>
      </c>
      <c r="I75">
        <v>12.2</v>
      </c>
    </row>
    <row r="76" spans="2:11" x14ac:dyDescent="0.35">
      <c r="H76" t="s">
        <v>166</v>
      </c>
      <c r="I76">
        <f>12.2*1.1</f>
        <v>13.42</v>
      </c>
    </row>
    <row r="77" spans="2:11" x14ac:dyDescent="0.35">
      <c r="B77" s="195"/>
      <c r="C77" s="315">
        <v>2015</v>
      </c>
      <c r="D77" s="315">
        <v>2019</v>
      </c>
      <c r="E77" s="315">
        <v>2022</v>
      </c>
    </row>
    <row r="78" spans="2:11" x14ac:dyDescent="0.35">
      <c r="B78" t="s">
        <v>497</v>
      </c>
      <c r="C78" s="359">
        <v>0.32</v>
      </c>
      <c r="D78" s="359">
        <v>0.32</v>
      </c>
      <c r="E78" s="359">
        <v>0.32</v>
      </c>
      <c r="G78" s="124" t="s">
        <v>515</v>
      </c>
    </row>
    <row r="79" spans="2:11" x14ac:dyDescent="0.35">
      <c r="G79" s="125"/>
      <c r="H79" s="125" t="s">
        <v>283</v>
      </c>
      <c r="I79" s="125" t="s">
        <v>517</v>
      </c>
      <c r="J79" s="413"/>
    </row>
    <row r="80" spans="2:11" x14ac:dyDescent="0.35">
      <c r="G80" s="413">
        <v>2023</v>
      </c>
      <c r="H80" s="413" t="s">
        <v>513</v>
      </c>
      <c r="I80" s="433">
        <f>I75*J70*K70/1000</f>
        <v>440113.46280000004</v>
      </c>
      <c r="J80" s="413"/>
    </row>
    <row r="81" spans="2:9" x14ac:dyDescent="0.35">
      <c r="B81" s="124" t="s">
        <v>279</v>
      </c>
      <c r="C81" s="162"/>
      <c r="D81" s="162"/>
      <c r="E81" s="162"/>
      <c r="G81" s="413">
        <v>2023</v>
      </c>
      <c r="H81" s="413" t="s">
        <v>166</v>
      </c>
      <c r="I81" s="433">
        <f>I76*J71*K71/1000</f>
        <v>269515.81932000007</v>
      </c>
    </row>
    <row r="82" spans="2:9" x14ac:dyDescent="0.35">
      <c r="B82" s="195"/>
      <c r="C82" s="315">
        <v>2015</v>
      </c>
      <c r="D82" s="315">
        <v>2019</v>
      </c>
      <c r="E82" s="314">
        <v>2022</v>
      </c>
    </row>
    <row r="83" spans="2:9" x14ac:dyDescent="0.35">
      <c r="B83" t="s">
        <v>272</v>
      </c>
      <c r="C83" s="162">
        <f>C73- C$78*('Industrie - Calcul'!C$64+'Industrie - Calcul'!C$65)*'Consommation - Calcul'!C73/SUM('Consommation - Calcul'!C$73:C$75)</f>
        <v>0</v>
      </c>
      <c r="D83" s="162">
        <f>D73- D$78*('Industrie - Calcul'!D$64+'Industrie - Calcul'!D$65)*'Consommation - Calcul'!D73/SUM('Consommation - Calcul'!D$73:D$75)</f>
        <v>0</v>
      </c>
      <c r="E83" s="162">
        <f>E73- E$78*('Industrie - Calcul'!E$64+'Industrie - Calcul'!E$65)*'Consommation - Calcul'!E73/SUM('Consommation - Calcul'!E$73:E$75)</f>
        <v>0</v>
      </c>
    </row>
    <row r="84" spans="2:9" x14ac:dyDescent="0.35">
      <c r="B84" t="s">
        <v>274</v>
      </c>
      <c r="C84" s="162">
        <f>C74- C$78*('Industrie - Calcul'!C$64+'Industrie - Calcul'!C$65)*'Consommation - Calcul'!C74/SUM('Consommation - Calcul'!C$73:C$75)</f>
        <v>378423.79316572507</v>
      </c>
      <c r="D84" s="162">
        <f>D74- D$78*('Industrie - Calcul'!D$64+'Industrie - Calcul'!D$65)*'Consommation - Calcul'!D74/SUM('Consommation - Calcul'!D$73:D$75)</f>
        <v>409463.77276761807</v>
      </c>
      <c r="E84" s="162">
        <f>E74- E$78*('Industrie - Calcul'!E$64+'Industrie - Calcul'!E$65)*'Consommation - Calcul'!E74/SUM('Consommation - Calcul'!E$73:E$75)</f>
        <v>356072.90743410931</v>
      </c>
    </row>
    <row r="85" spans="2:9" x14ac:dyDescent="0.35">
      <c r="B85" t="s">
        <v>278</v>
      </c>
      <c r="C85" s="162">
        <f>C75- C$78*('Industrie - Calcul'!C$64+'Industrie - Calcul'!C$65)*'Consommation - Calcul'!C75/SUM('Consommation - Calcul'!C$73:C$75)</f>
        <v>303157.61986998923</v>
      </c>
      <c r="D85" s="162">
        <f>D75- D$78*('Industrie - Calcul'!D$64+'Industrie - Calcul'!D$65)*'Consommation - Calcul'!D75/SUM('Consommation - Calcul'!D$73:D$75)</f>
        <v>335237.33839309623</v>
      </c>
      <c r="E85" s="162">
        <f>E75- E$78*('Industrie - Calcul'!E$64+'Industrie - Calcul'!E$65)*'Consommation - Calcul'!E75/SUM('Consommation - Calcul'!E$73:E$75)</f>
        <v>281026.9026435304</v>
      </c>
    </row>
    <row r="93" spans="2:9" x14ac:dyDescent="0.35">
      <c r="D93">
        <f>C$78*('Industrie - Calcul'!C$64+'Industrie - Calcul'!C$65)</f>
        <v>119574.40000000001</v>
      </c>
    </row>
  </sheetData>
  <mergeCells count="7">
    <mergeCell ref="C6:E6"/>
    <mergeCell ref="C24:E24"/>
    <mergeCell ref="F24:H24"/>
    <mergeCell ref="I24:K24"/>
    <mergeCell ref="C38:E38"/>
    <mergeCell ref="F38:H38"/>
    <mergeCell ref="I38:K38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2D42-2CBB-4B49-984F-1A9D624DCDA2}">
  <sheetPr>
    <tabColor theme="9" tint="-0.499984740745262"/>
  </sheetPr>
  <dimension ref="A2:L61"/>
  <sheetViews>
    <sheetView workbookViewId="0">
      <selection activeCell="B4" sqref="B4"/>
    </sheetView>
  </sheetViews>
  <sheetFormatPr baseColWidth="10" defaultRowHeight="14.5" x14ac:dyDescent="0.35"/>
  <cols>
    <col min="2" max="3" width="19.54296875" customWidth="1"/>
    <col min="4" max="4" width="28.453125" customWidth="1"/>
    <col min="8" max="8" width="10.81640625" style="684"/>
    <col min="10" max="11" width="30" customWidth="1"/>
  </cols>
  <sheetData>
    <row r="2" spans="1:12" s="81" customFormat="1" ht="46" x14ac:dyDescent="1">
      <c r="B2" s="81" t="s">
        <v>732</v>
      </c>
    </row>
    <row r="6" spans="1:12" s="2" customFormat="1" x14ac:dyDescent="0.35">
      <c r="A6" s="3">
        <v>2023</v>
      </c>
    </row>
    <row r="7" spans="1:12" s="6" customFormat="1" x14ac:dyDescent="0.35">
      <c r="C7" s="7"/>
    </row>
    <row r="8" spans="1:12" ht="29" x14ac:dyDescent="0.35">
      <c r="D8" s="14"/>
      <c r="E8" s="970" t="s">
        <v>722</v>
      </c>
      <c r="F8" s="971"/>
      <c r="G8" s="971"/>
      <c r="H8" s="971"/>
      <c r="I8" s="972"/>
      <c r="J8" s="667" t="s">
        <v>731</v>
      </c>
      <c r="K8" s="668" t="s">
        <v>723</v>
      </c>
    </row>
    <row r="9" spans="1:12" ht="15" thickBot="1" x14ac:dyDescent="0.4">
      <c r="B9" s="15" t="s">
        <v>5</v>
      </c>
      <c r="C9" s="17" t="s">
        <v>340</v>
      </c>
      <c r="D9" s="9" t="s">
        <v>1</v>
      </c>
      <c r="E9" s="8" t="s">
        <v>48</v>
      </c>
      <c r="F9" s="4" t="s">
        <v>3</v>
      </c>
      <c r="G9" s="4" t="s">
        <v>50</v>
      </c>
      <c r="H9" s="4" t="s">
        <v>779</v>
      </c>
      <c r="I9" s="9" t="s">
        <v>4</v>
      </c>
      <c r="J9" s="8" t="s">
        <v>4</v>
      </c>
      <c r="K9" s="674" t="s">
        <v>4</v>
      </c>
    </row>
    <row r="10" spans="1:12" ht="15" thickTop="1" x14ac:dyDescent="0.35">
      <c r="B10" s="10">
        <v>2023</v>
      </c>
      <c r="C10" s="349" t="str">
        <f>'Resultat 2023'!C37</f>
        <v xml:space="preserve">Surfaces forestières </v>
      </c>
      <c r="D10" s="12" t="s">
        <v>62</v>
      </c>
      <c r="E10" s="149">
        <f>'Calcul - Forêt et sols'!G83</f>
        <v>-67772.260138956219</v>
      </c>
      <c r="F10" s="11">
        <v>0</v>
      </c>
      <c r="G10" s="11">
        <v>0</v>
      </c>
      <c r="H10" s="11">
        <v>0</v>
      </c>
      <c r="I10" s="152">
        <f>SUM(E10:G10)</f>
        <v>-67772.260138956219</v>
      </c>
      <c r="J10" s="10">
        <v>0</v>
      </c>
      <c r="K10" s="657">
        <f>I10+J10</f>
        <v>-67772.260138956219</v>
      </c>
    </row>
    <row r="11" spans="1:12" x14ac:dyDescent="0.35">
      <c r="B11" s="10">
        <v>2023</v>
      </c>
      <c r="C11" s="18"/>
      <c r="D11" s="12" t="s">
        <v>63</v>
      </c>
      <c r="E11" s="149">
        <f>'Calcul - Forêt et sols'!G70</f>
        <v>129641.39811609148</v>
      </c>
      <c r="F11" s="11">
        <v>0</v>
      </c>
      <c r="G11" s="11">
        <v>0</v>
      </c>
      <c r="H11" s="11">
        <v>0</v>
      </c>
      <c r="I11" s="152">
        <f>SUM(E11:G11)</f>
        <v>129641.39811609148</v>
      </c>
      <c r="J11">
        <v>0</v>
      </c>
      <c r="K11" s="650">
        <f t="shared" ref="K11:K19" si="0">I11+J11</f>
        <v>129641.39811609148</v>
      </c>
    </row>
    <row r="12" spans="1:12" x14ac:dyDescent="0.35">
      <c r="B12" s="10">
        <v>2023</v>
      </c>
      <c r="C12" s="18"/>
      <c r="D12" s="12" t="s">
        <v>328</v>
      </c>
      <c r="E12" s="208">
        <f>'Calcul - Forêt et sols'!G94</f>
        <v>3422.7714524445478</v>
      </c>
      <c r="F12" s="11">
        <v>0</v>
      </c>
      <c r="G12" s="11">
        <v>0</v>
      </c>
      <c r="H12" s="11">
        <v>0</v>
      </c>
      <c r="I12" s="152">
        <f>SUM(E12:G12)</f>
        <v>3422.7714524445478</v>
      </c>
      <c r="J12" s="10">
        <v>0</v>
      </c>
      <c r="K12" s="650">
        <f t="shared" si="0"/>
        <v>3422.7714524445478</v>
      </c>
    </row>
    <row r="13" spans="1:12" x14ac:dyDescent="0.35">
      <c r="B13" s="20" t="s">
        <v>6</v>
      </c>
      <c r="C13" s="21"/>
      <c r="D13" s="22"/>
      <c r="E13" s="213">
        <f>SUM(E10:E12)</f>
        <v>65291.909429579813</v>
      </c>
      <c r="F13" s="211">
        <f>SUM(F10:F12)</f>
        <v>0</v>
      </c>
      <c r="G13" s="211">
        <f>SUM(G10:G12)</f>
        <v>0</v>
      </c>
      <c r="H13" s="211">
        <v>0</v>
      </c>
      <c r="I13" s="210">
        <f>SUM(I10:I12)</f>
        <v>65291.909429579813</v>
      </c>
      <c r="J13" s="213">
        <f>SUM(J10:J12)</f>
        <v>0</v>
      </c>
      <c r="K13" s="654">
        <f t="shared" si="0"/>
        <v>65291.909429579813</v>
      </c>
      <c r="L13" s="11"/>
    </row>
    <row r="14" spans="1:12" s="684" customFormat="1" x14ac:dyDescent="0.35">
      <c r="B14" s="10">
        <v>2023</v>
      </c>
      <c r="C14" s="203" t="s">
        <v>769</v>
      </c>
      <c r="D14" s="688" t="s">
        <v>771</v>
      </c>
      <c r="E14" s="282">
        <f>'Calcul - Forêt et sols'!G112</f>
        <v>53427.585558957035</v>
      </c>
      <c r="F14" s="318">
        <v>0</v>
      </c>
      <c r="G14" s="318">
        <v>0</v>
      </c>
      <c r="H14" s="318">
        <v>0</v>
      </c>
      <c r="I14" s="318">
        <f>SUM(E14:G14)</f>
        <v>53427.585558957035</v>
      </c>
      <c r="J14" s="646">
        <v>0</v>
      </c>
      <c r="K14" s="689">
        <f>I14+J14</f>
        <v>53427.585558957035</v>
      </c>
      <c r="L14" s="11"/>
    </row>
    <row r="15" spans="1:12" s="684" customFormat="1" x14ac:dyDescent="0.35">
      <c r="B15" s="10">
        <v>2023</v>
      </c>
      <c r="C15" s="203"/>
      <c r="D15" s="688" t="s">
        <v>772</v>
      </c>
      <c r="E15" s="646">
        <f>'Calcul - Forêt et sols'!G119</f>
        <v>40163.806554466217</v>
      </c>
      <c r="F15" s="318">
        <v>0</v>
      </c>
      <c r="G15" s="318">
        <v>0</v>
      </c>
      <c r="H15" s="318">
        <v>0</v>
      </c>
      <c r="I15" s="318">
        <f>SUM(E15:G15)</f>
        <v>40163.806554466217</v>
      </c>
      <c r="J15" s="646">
        <v>0</v>
      </c>
      <c r="K15" s="689">
        <f>I15+J15</f>
        <v>40163.806554466217</v>
      </c>
      <c r="L15" s="11"/>
    </row>
    <row r="16" spans="1:12" s="684" customFormat="1" x14ac:dyDescent="0.35">
      <c r="B16" s="20" t="s">
        <v>6</v>
      </c>
      <c r="C16" s="21"/>
      <c r="D16" s="22"/>
      <c r="E16" s="213">
        <f>SUM(E14:E15)</f>
        <v>93591.392113423251</v>
      </c>
      <c r="F16" s="211">
        <f t="shared" ref="F16:I16" si="1">SUM(F14:F15)</f>
        <v>0</v>
      </c>
      <c r="G16" s="211">
        <f t="shared" si="1"/>
        <v>0</v>
      </c>
      <c r="H16" s="211">
        <v>0</v>
      </c>
      <c r="I16" s="211">
        <f t="shared" si="1"/>
        <v>93591.392113423251</v>
      </c>
      <c r="J16" s="213">
        <f t="shared" ref="J16" si="2">SUM(J14:J15)</f>
        <v>0</v>
      </c>
      <c r="K16" s="213">
        <f t="shared" ref="K16" si="3">SUM(K14:K15)</f>
        <v>93591.392113423251</v>
      </c>
      <c r="L16" s="10"/>
    </row>
    <row r="17" spans="1:12" x14ac:dyDescent="0.35">
      <c r="B17" s="10">
        <v>2023</v>
      </c>
      <c r="C17" s="18" t="s">
        <v>67</v>
      </c>
      <c r="D17" s="12" t="s">
        <v>64</v>
      </c>
      <c r="E17" s="153">
        <f>'Calcul - Forêt et sols'!G126</f>
        <v>802.27861805444991</v>
      </c>
      <c r="F17" s="318">
        <v>0</v>
      </c>
      <c r="G17" s="318">
        <v>0</v>
      </c>
      <c r="H17" s="318">
        <v>0</v>
      </c>
      <c r="I17" s="162">
        <f>SUM(E17:G17)</f>
        <v>802.27861805444991</v>
      </c>
      <c r="J17" s="149">
        <v>0</v>
      </c>
      <c r="K17" s="650">
        <f t="shared" si="0"/>
        <v>802.27861805444991</v>
      </c>
      <c r="L17" s="11"/>
    </row>
    <row r="18" spans="1:12" x14ac:dyDescent="0.35">
      <c r="B18" s="10">
        <v>2023</v>
      </c>
      <c r="C18" s="18"/>
      <c r="D18" s="12" t="s">
        <v>68</v>
      </c>
      <c r="E18" s="149">
        <f>'Calcul - Forêt et sols'!G134</f>
        <v>11053.395406215121</v>
      </c>
      <c r="F18" s="318">
        <v>0</v>
      </c>
      <c r="G18" s="318">
        <v>0</v>
      </c>
      <c r="H18" s="318">
        <v>0</v>
      </c>
      <c r="I18" s="162">
        <f>SUM(E18:G18)</f>
        <v>11053.395406215121</v>
      </c>
      <c r="J18" s="149">
        <v>0</v>
      </c>
      <c r="K18" s="650">
        <f t="shared" si="0"/>
        <v>11053.395406215121</v>
      </c>
      <c r="L18" s="11"/>
    </row>
    <row r="19" spans="1:12" x14ac:dyDescent="0.35">
      <c r="B19" s="20" t="s">
        <v>6</v>
      </c>
      <c r="C19" s="21"/>
      <c r="D19" s="22"/>
      <c r="E19" s="213">
        <f>SUM(E17:E18)</f>
        <v>11855.674024269571</v>
      </c>
      <c r="F19" s="211">
        <f>SUM(F17:F18)</f>
        <v>0</v>
      </c>
      <c r="G19" s="211">
        <f>SUM(G17:G18)</f>
        <v>0</v>
      </c>
      <c r="H19" s="211">
        <v>0</v>
      </c>
      <c r="I19" s="211">
        <f>SUM(I17:I18)</f>
        <v>11855.674024269571</v>
      </c>
      <c r="J19" s="213">
        <f>SUM(J17:J18)</f>
        <v>0</v>
      </c>
      <c r="K19" s="654">
        <f t="shared" si="0"/>
        <v>11855.674024269571</v>
      </c>
    </row>
    <row r="20" spans="1:12" x14ac:dyDescent="0.35">
      <c r="B20" s="24" t="s">
        <v>7</v>
      </c>
      <c r="C20" s="25"/>
      <c r="D20" s="26"/>
      <c r="E20" s="279">
        <f>E19+E16+E13</f>
        <v>170738.97556727263</v>
      </c>
      <c r="F20" s="280">
        <f>F19+F16+F13</f>
        <v>0</v>
      </c>
      <c r="G20" s="280">
        <f>G19+G16+G13</f>
        <v>0</v>
      </c>
      <c r="H20" s="280">
        <v>0</v>
      </c>
      <c r="I20" s="280">
        <f>I19+I16+I13</f>
        <v>170738.97556727263</v>
      </c>
      <c r="J20" s="279">
        <f>J19+J16+J13</f>
        <v>0</v>
      </c>
      <c r="K20" s="279">
        <f>K19+K16+K13</f>
        <v>170738.97556727263</v>
      </c>
      <c r="L20" s="10"/>
    </row>
    <row r="21" spans="1:12" x14ac:dyDescent="0.35">
      <c r="E21" s="162"/>
      <c r="F21" s="162"/>
      <c r="G21" s="162"/>
      <c r="H21" s="162"/>
      <c r="I21" s="162"/>
      <c r="J21" s="162"/>
      <c r="K21" s="162"/>
    </row>
    <row r="22" spans="1:12" s="2" customFormat="1" x14ac:dyDescent="0.35">
      <c r="A22" s="3">
        <v>2019</v>
      </c>
      <c r="E22" s="276"/>
      <c r="F22" s="276"/>
      <c r="G22" s="276"/>
      <c r="H22" s="276"/>
      <c r="I22" s="276"/>
      <c r="J22" s="276"/>
      <c r="K22" s="276"/>
    </row>
    <row r="23" spans="1:12" x14ac:dyDescent="0.35">
      <c r="E23" s="162"/>
      <c r="F23" s="162"/>
      <c r="G23" s="162"/>
      <c r="H23" s="162"/>
      <c r="I23" s="162"/>
      <c r="J23" s="162"/>
      <c r="K23" s="162"/>
    </row>
    <row r="24" spans="1:12" ht="29" x14ac:dyDescent="0.35">
      <c r="E24" s="970" t="s">
        <v>722</v>
      </c>
      <c r="F24" s="971"/>
      <c r="G24" s="971"/>
      <c r="H24" s="971"/>
      <c r="I24" s="972"/>
      <c r="J24" s="667" t="s">
        <v>731</v>
      </c>
      <c r="K24" s="668" t="s">
        <v>723</v>
      </c>
    </row>
    <row r="25" spans="1:12" ht="15" thickBot="1" x14ac:dyDescent="0.4">
      <c r="B25" s="15" t="s">
        <v>5</v>
      </c>
      <c r="C25" s="17" t="s">
        <v>340</v>
      </c>
      <c r="D25" s="9" t="s">
        <v>1</v>
      </c>
      <c r="E25" s="241" t="s">
        <v>48</v>
      </c>
      <c r="F25" s="240" t="s">
        <v>3</v>
      </c>
      <c r="G25" s="240" t="s">
        <v>50</v>
      </c>
      <c r="H25" s="4" t="s">
        <v>779</v>
      </c>
      <c r="I25" s="278" t="s">
        <v>4</v>
      </c>
      <c r="J25" s="8" t="s">
        <v>4</v>
      </c>
      <c r="K25" s="674" t="s">
        <v>4</v>
      </c>
    </row>
    <row r="26" spans="1:12" ht="15" thickTop="1" x14ac:dyDescent="0.35">
      <c r="B26" s="10">
        <f>A22</f>
        <v>2019</v>
      </c>
      <c r="C26" s="18" t="s">
        <v>61</v>
      </c>
      <c r="D26" s="12" t="s">
        <v>62</v>
      </c>
      <c r="E26" s="149">
        <f>'Calcul - Forêt et sols'!F83</f>
        <v>-52950.043625787686</v>
      </c>
      <c r="F26" s="148">
        <v>0</v>
      </c>
      <c r="G26" s="148">
        <v>0</v>
      </c>
      <c r="H26" s="11">
        <v>0</v>
      </c>
      <c r="I26" s="152">
        <f>SUM(E26:G26)</f>
        <v>-52950.043625787686</v>
      </c>
      <c r="J26" s="149">
        <v>0</v>
      </c>
      <c r="K26" s="657">
        <f>I26+J26</f>
        <v>-52950.043625787686</v>
      </c>
    </row>
    <row r="27" spans="1:12" x14ac:dyDescent="0.35">
      <c r="B27" s="10">
        <f>A22</f>
        <v>2019</v>
      </c>
      <c r="C27" s="18"/>
      <c r="D27" s="12" t="s">
        <v>63</v>
      </c>
      <c r="E27" s="149">
        <f>'Calcul - Forêt et sols'!E70</f>
        <v>-138048.23204665139</v>
      </c>
      <c r="F27" s="148">
        <v>0</v>
      </c>
      <c r="G27" s="148">
        <v>0</v>
      </c>
      <c r="H27" s="11">
        <v>0</v>
      </c>
      <c r="I27" s="152">
        <f>'Calcul - Forêt et sols'!F70</f>
        <v>-44080.159053206022</v>
      </c>
      <c r="J27" s="162">
        <v>0</v>
      </c>
      <c r="K27" s="650">
        <f t="shared" ref="K27:K35" si="4">I27+J27</f>
        <v>-44080.159053206022</v>
      </c>
    </row>
    <row r="28" spans="1:12" x14ac:dyDescent="0.35">
      <c r="B28" s="10"/>
      <c r="C28" s="18"/>
      <c r="D28" s="12" t="s">
        <v>328</v>
      </c>
      <c r="E28" s="149">
        <f>'Calcul - Forêt et sols'!F94</f>
        <v>6787.1039603615118</v>
      </c>
      <c r="F28" s="148">
        <v>0</v>
      </c>
      <c r="G28" s="148">
        <v>0</v>
      </c>
      <c r="H28" s="11">
        <v>0</v>
      </c>
      <c r="I28" s="152">
        <f>SUM(E28:G28)</f>
        <v>6787.1039603615118</v>
      </c>
      <c r="J28" s="149">
        <v>0</v>
      </c>
      <c r="K28" s="650">
        <f t="shared" si="4"/>
        <v>6787.1039603615118</v>
      </c>
      <c r="L28" s="11"/>
    </row>
    <row r="29" spans="1:12" ht="16" customHeight="1" x14ac:dyDescent="0.35">
      <c r="B29" s="20" t="s">
        <v>6</v>
      </c>
      <c r="C29" s="21"/>
      <c r="D29" s="22"/>
      <c r="E29" s="213">
        <f>SUM(E25:E28)</f>
        <v>-184211.17171207757</v>
      </c>
      <c r="F29" s="211">
        <f>SUM(F25:F28)</f>
        <v>0</v>
      </c>
      <c r="G29" s="211">
        <f>SUM(G25:G28)</f>
        <v>0</v>
      </c>
      <c r="H29" s="211">
        <v>0</v>
      </c>
      <c r="I29" s="210">
        <f>SUM(I25:I28)</f>
        <v>-90243.098718632202</v>
      </c>
      <c r="J29" s="213">
        <f>SUM(J25:J28)</f>
        <v>0</v>
      </c>
      <c r="K29" s="654">
        <f t="shared" si="4"/>
        <v>-90243.098718632202</v>
      </c>
      <c r="L29" s="11"/>
    </row>
    <row r="30" spans="1:12" s="684" customFormat="1" x14ac:dyDescent="0.35">
      <c r="B30" s="10">
        <v>2019</v>
      </c>
      <c r="C30" s="203" t="str">
        <f>C14</f>
        <v>Pâturages et cultures</v>
      </c>
      <c r="D30" s="688" t="s">
        <v>771</v>
      </c>
      <c r="E30" s="282">
        <f>'Calcul - Forêt et sols'!F112</f>
        <v>-88666.764121721237</v>
      </c>
      <c r="F30" s="318">
        <v>0</v>
      </c>
      <c r="G30" s="318">
        <v>0</v>
      </c>
      <c r="H30" s="318">
        <v>0</v>
      </c>
      <c r="I30" s="318">
        <f>SUM(E30:G30)</f>
        <v>-88666.764121721237</v>
      </c>
      <c r="J30" s="646">
        <v>0</v>
      </c>
      <c r="K30" s="689">
        <f>I30+J30</f>
        <v>-88666.764121721237</v>
      </c>
      <c r="L30" s="11"/>
    </row>
    <row r="31" spans="1:12" s="684" customFormat="1" x14ac:dyDescent="0.35">
      <c r="B31" s="10">
        <v>2019</v>
      </c>
      <c r="C31" s="203"/>
      <c r="D31" s="688" t="s">
        <v>772</v>
      </c>
      <c r="E31" s="646">
        <f>'Calcul - Forêt et sols'!F119</f>
        <v>317.12313728485105</v>
      </c>
      <c r="F31" s="318">
        <v>0</v>
      </c>
      <c r="G31" s="318">
        <v>0</v>
      </c>
      <c r="H31" s="318">
        <v>0</v>
      </c>
      <c r="I31" s="318">
        <f>SUM(E31:G31)</f>
        <v>317.12313728485105</v>
      </c>
      <c r="J31" s="646">
        <v>0</v>
      </c>
      <c r="K31" s="689">
        <f>I31+J31</f>
        <v>317.12313728485105</v>
      </c>
      <c r="L31" s="11"/>
    </row>
    <row r="32" spans="1:12" s="684" customFormat="1" x14ac:dyDescent="0.35">
      <c r="B32" s="20" t="s">
        <v>6</v>
      </c>
      <c r="C32" s="21"/>
      <c r="D32" s="22"/>
      <c r="E32" s="213">
        <f>SUM(E30:E31)</f>
        <v>-88349.640984436381</v>
      </c>
      <c r="F32" s="211">
        <f t="shared" ref="F32" si="5">SUM(F30:F31)</f>
        <v>0</v>
      </c>
      <c r="G32" s="211">
        <f t="shared" ref="G32" si="6">SUM(G30:G31)</f>
        <v>0</v>
      </c>
      <c r="H32" s="211">
        <v>0</v>
      </c>
      <c r="I32" s="211">
        <f t="shared" ref="I32" si="7">SUM(I30:I31)</f>
        <v>-88349.640984436381</v>
      </c>
      <c r="J32" s="213">
        <f t="shared" ref="J32" si="8">SUM(J30:J31)</f>
        <v>0</v>
      </c>
      <c r="K32" s="213">
        <f t="shared" ref="K32" si="9">SUM(K30:K31)</f>
        <v>-88349.640984436381</v>
      </c>
      <c r="L32" s="11"/>
    </row>
    <row r="33" spans="1:12" x14ac:dyDescent="0.35">
      <c r="B33" s="10">
        <f>A22</f>
        <v>2019</v>
      </c>
      <c r="C33" s="18" t="s">
        <v>67</v>
      </c>
      <c r="D33" s="12" t="s">
        <v>64</v>
      </c>
      <c r="E33" s="153">
        <f>'Calcul - Forêt et sols'!F126</f>
        <v>912.82653711373041</v>
      </c>
      <c r="F33" s="318">
        <v>0</v>
      </c>
      <c r="G33" s="318">
        <v>0</v>
      </c>
      <c r="H33" s="318">
        <v>0</v>
      </c>
      <c r="I33" s="162">
        <f>SUM(E33:G33)</f>
        <v>912.82653711373041</v>
      </c>
      <c r="J33" s="149">
        <v>0</v>
      </c>
      <c r="K33" s="650">
        <f t="shared" si="4"/>
        <v>912.82653711373041</v>
      </c>
      <c r="L33" s="11"/>
    </row>
    <row r="34" spans="1:12" x14ac:dyDescent="0.35">
      <c r="B34" s="10">
        <v>2019</v>
      </c>
      <c r="C34" s="18"/>
      <c r="D34" s="12" t="s">
        <v>68</v>
      </c>
      <c r="E34" s="149">
        <f>'Calcul - Forêt et sols'!F134</f>
        <v>14630.103600776933</v>
      </c>
      <c r="F34" s="318">
        <v>0</v>
      </c>
      <c r="G34" s="318">
        <v>0</v>
      </c>
      <c r="H34" s="318">
        <v>0</v>
      </c>
      <c r="I34" s="162">
        <f>SUM(E34:G34)</f>
        <v>14630.103600776933</v>
      </c>
      <c r="J34" s="149">
        <v>0</v>
      </c>
      <c r="K34" s="650">
        <f t="shared" si="4"/>
        <v>14630.103600776933</v>
      </c>
      <c r="L34" s="11"/>
    </row>
    <row r="35" spans="1:12" x14ac:dyDescent="0.35">
      <c r="B35" s="20" t="s">
        <v>6</v>
      </c>
      <c r="C35" s="21"/>
      <c r="D35" s="22"/>
      <c r="E35" s="213">
        <f>SUM(E33:E34)</f>
        <v>15542.930137890664</v>
      </c>
      <c r="F35" s="211">
        <f>SUM(F33:F34)</f>
        <v>0</v>
      </c>
      <c r="G35" s="211">
        <f>SUM(G33:G34)</f>
        <v>0</v>
      </c>
      <c r="H35" s="211">
        <v>0</v>
      </c>
      <c r="I35" s="211">
        <f>SUM(I33:I34)</f>
        <v>15542.930137890664</v>
      </c>
      <c r="J35" s="213">
        <f>SUM(J33:J34)</f>
        <v>0</v>
      </c>
      <c r="K35" s="654">
        <f t="shared" si="4"/>
        <v>15542.930137890664</v>
      </c>
    </row>
    <row r="36" spans="1:12" x14ac:dyDescent="0.35">
      <c r="B36" s="24" t="s">
        <v>7</v>
      </c>
      <c r="C36" s="25"/>
      <c r="D36" s="26"/>
      <c r="E36" s="279">
        <f>E35+E32+E29</f>
        <v>-257017.88255862327</v>
      </c>
      <c r="F36" s="280">
        <f>F35+F32+F29</f>
        <v>0</v>
      </c>
      <c r="G36" s="280">
        <f>G35+G32+G29</f>
        <v>0</v>
      </c>
      <c r="H36" s="280">
        <v>0</v>
      </c>
      <c r="I36" s="280">
        <f>I35+I32+I29</f>
        <v>-163049.80956517791</v>
      </c>
      <c r="J36" s="279">
        <f>J35+J32+J29</f>
        <v>0</v>
      </c>
      <c r="K36" s="279">
        <f>K35+K32+K29</f>
        <v>-163049.80956517791</v>
      </c>
      <c r="L36" s="10"/>
    </row>
    <row r="37" spans="1:12" x14ac:dyDescent="0.35">
      <c r="E37" s="162"/>
      <c r="F37" s="162"/>
      <c r="G37" s="162"/>
      <c r="H37" s="162"/>
      <c r="I37" s="162"/>
      <c r="J37" s="162"/>
      <c r="K37" s="162"/>
    </row>
    <row r="38" spans="1:12" x14ac:dyDescent="0.35">
      <c r="E38" s="162"/>
      <c r="F38" s="162"/>
      <c r="G38" s="162"/>
      <c r="H38" s="162"/>
      <c r="I38" s="162"/>
      <c r="J38" s="162"/>
      <c r="K38" s="162"/>
    </row>
    <row r="39" spans="1:12" s="2" customFormat="1" x14ac:dyDescent="0.35">
      <c r="A39" s="3">
        <v>2015</v>
      </c>
      <c r="E39" s="276"/>
      <c r="F39" s="276"/>
      <c r="G39" s="276"/>
      <c r="H39" s="276"/>
      <c r="I39" s="276"/>
      <c r="J39" s="276"/>
      <c r="K39" s="276"/>
    </row>
    <row r="40" spans="1:12" x14ac:dyDescent="0.35">
      <c r="E40" s="162"/>
      <c r="F40" s="162"/>
      <c r="G40" s="162"/>
      <c r="H40" s="162"/>
      <c r="I40" s="162"/>
      <c r="J40" s="162"/>
      <c r="K40" s="162"/>
    </row>
    <row r="41" spans="1:12" ht="29" x14ac:dyDescent="0.35">
      <c r="E41" s="970" t="s">
        <v>722</v>
      </c>
      <c r="F41" s="971"/>
      <c r="G41" s="971"/>
      <c r="H41" s="971"/>
      <c r="I41" s="972"/>
      <c r="J41" s="667" t="s">
        <v>731</v>
      </c>
      <c r="K41" s="668" t="s">
        <v>723</v>
      </c>
    </row>
    <row r="42" spans="1:12" ht="15" thickBot="1" x14ac:dyDescent="0.4">
      <c r="B42" s="15" t="s">
        <v>5</v>
      </c>
      <c r="C42" s="17" t="s">
        <v>340</v>
      </c>
      <c r="D42" s="9" t="s">
        <v>1</v>
      </c>
      <c r="E42" s="241" t="s">
        <v>48</v>
      </c>
      <c r="F42" s="240" t="s">
        <v>3</v>
      </c>
      <c r="G42" s="240" t="s">
        <v>50</v>
      </c>
      <c r="H42" s="4" t="s">
        <v>779</v>
      </c>
      <c r="I42" s="278" t="s">
        <v>4</v>
      </c>
      <c r="J42" s="8" t="s">
        <v>4</v>
      </c>
      <c r="K42" s="676" t="s">
        <v>4</v>
      </c>
    </row>
    <row r="43" spans="1:12" ht="15" thickTop="1" x14ac:dyDescent="0.35">
      <c r="B43" s="10">
        <f>A39</f>
        <v>2015</v>
      </c>
      <c r="C43" s="18" t="s">
        <v>61</v>
      </c>
      <c r="D43" s="12" t="s">
        <v>62</v>
      </c>
      <c r="E43" s="149">
        <f>'Calcul - Forêt et sols'!E83</f>
        <v>-53892.17685878132</v>
      </c>
      <c r="F43" s="148">
        <v>0</v>
      </c>
      <c r="G43" s="148">
        <v>0</v>
      </c>
      <c r="H43" s="11">
        <v>0</v>
      </c>
      <c r="I43" s="152">
        <f>SUM(E43:G43)</f>
        <v>-53892.17685878132</v>
      </c>
      <c r="J43" s="149">
        <v>0</v>
      </c>
      <c r="K43" s="657">
        <f>I43+J43</f>
        <v>-53892.17685878132</v>
      </c>
    </row>
    <row r="44" spans="1:12" x14ac:dyDescent="0.35">
      <c r="B44" s="10">
        <f>A39</f>
        <v>2015</v>
      </c>
      <c r="C44" s="18"/>
      <c r="D44" s="12" t="s">
        <v>63</v>
      </c>
      <c r="E44" s="149">
        <f>'Calcul - Forêt et sols'!E70</f>
        <v>-138048.23204665139</v>
      </c>
      <c r="F44" s="148">
        <v>0</v>
      </c>
      <c r="G44" s="148">
        <v>0</v>
      </c>
      <c r="H44" s="11">
        <v>0</v>
      </c>
      <c r="I44" s="152">
        <f>SUM(E44:G44)</f>
        <v>-138048.23204665139</v>
      </c>
      <c r="J44" s="162">
        <v>0</v>
      </c>
      <c r="K44" s="650">
        <f t="shared" ref="K44:K52" si="10">I44+J44</f>
        <v>-138048.23204665139</v>
      </c>
    </row>
    <row r="45" spans="1:12" x14ac:dyDescent="0.35">
      <c r="B45" s="10">
        <v>2015</v>
      </c>
      <c r="C45" s="18"/>
      <c r="D45" s="12" t="s">
        <v>328</v>
      </c>
      <c r="E45" s="149">
        <f>'Calcul - Forêt et sols'!E94</f>
        <v>-5598.0560054849802</v>
      </c>
      <c r="F45" s="148">
        <v>0</v>
      </c>
      <c r="G45" s="148">
        <v>0</v>
      </c>
      <c r="H45" s="11">
        <v>0</v>
      </c>
      <c r="I45" s="152">
        <f>SUM(E45:G45)</f>
        <v>-5598.0560054849802</v>
      </c>
      <c r="J45" s="149">
        <v>0</v>
      </c>
      <c r="K45" s="650">
        <f t="shared" si="10"/>
        <v>-5598.0560054849802</v>
      </c>
      <c r="L45" s="11"/>
    </row>
    <row r="46" spans="1:12" x14ac:dyDescent="0.35">
      <c r="B46" s="20" t="s">
        <v>6</v>
      </c>
      <c r="C46" s="21"/>
      <c r="D46" s="22"/>
      <c r="E46" s="213">
        <f>SUM(E42:E45)</f>
        <v>-197538.46491091768</v>
      </c>
      <c r="F46" s="211">
        <f t="shared" ref="F46" si="11">SUM(F42:F45)</f>
        <v>0</v>
      </c>
      <c r="G46" s="211">
        <f t="shared" ref="G46" si="12">SUM(G42:G45)</f>
        <v>0</v>
      </c>
      <c r="H46" s="211">
        <v>0</v>
      </c>
      <c r="I46" s="210">
        <f t="shared" ref="I46" si="13">SUM(I42:I45)</f>
        <v>-197538.46491091768</v>
      </c>
      <c r="J46" s="213">
        <f t="shared" ref="J46" si="14">SUM(J42:J45)</f>
        <v>0</v>
      </c>
      <c r="K46" s="675">
        <f t="shared" si="10"/>
        <v>-197538.46491091768</v>
      </c>
      <c r="L46" s="11"/>
    </row>
    <row r="47" spans="1:12" s="684" customFormat="1" x14ac:dyDescent="0.35">
      <c r="B47" s="10">
        <v>2015</v>
      </c>
      <c r="C47" s="203" t="str">
        <f>C30</f>
        <v>Pâturages et cultures</v>
      </c>
      <c r="D47" s="688" t="s">
        <v>771</v>
      </c>
      <c r="E47" s="282">
        <f>'Calcul - Forêt et sols'!E112</f>
        <v>208056.8363714306</v>
      </c>
      <c r="F47" s="318">
        <v>0</v>
      </c>
      <c r="G47" s="318">
        <v>0</v>
      </c>
      <c r="H47" s="318">
        <v>0</v>
      </c>
      <c r="I47" s="318">
        <f>SUM(E47:G47)</f>
        <v>208056.8363714306</v>
      </c>
      <c r="J47" s="646">
        <v>0</v>
      </c>
      <c r="K47" s="689">
        <f>I47+J47</f>
        <v>208056.8363714306</v>
      </c>
      <c r="L47" s="11"/>
    </row>
    <row r="48" spans="1:12" s="684" customFormat="1" x14ac:dyDescent="0.35">
      <c r="B48" s="10">
        <v>2015</v>
      </c>
      <c r="C48" s="203"/>
      <c r="D48" s="688" t="s">
        <v>772</v>
      </c>
      <c r="E48" s="646">
        <f>'Calcul - Forêt et sols'!E119</f>
        <v>107159.08470401802</v>
      </c>
      <c r="F48" s="318">
        <v>0</v>
      </c>
      <c r="G48" s="318">
        <v>0</v>
      </c>
      <c r="H48" s="318">
        <v>0</v>
      </c>
      <c r="I48" s="318">
        <f>SUM(E48:G48)</f>
        <v>107159.08470401802</v>
      </c>
      <c r="J48" s="646">
        <v>0</v>
      </c>
      <c r="K48" s="689">
        <f>I48+J48</f>
        <v>107159.08470401802</v>
      </c>
      <c r="L48" s="11"/>
    </row>
    <row r="49" spans="1:12" s="684" customFormat="1" x14ac:dyDescent="0.35">
      <c r="B49" s="20" t="s">
        <v>6</v>
      </c>
      <c r="C49" s="21"/>
      <c r="D49" s="22"/>
      <c r="E49" s="213">
        <f>SUM(E47:E48)</f>
        <v>315215.92107544863</v>
      </c>
      <c r="F49" s="211">
        <f t="shared" ref="F49" si="15">SUM(F47:F48)</f>
        <v>0</v>
      </c>
      <c r="G49" s="211">
        <f t="shared" ref="G49" si="16">SUM(G47:G48)</f>
        <v>0</v>
      </c>
      <c r="H49" s="211">
        <v>0</v>
      </c>
      <c r="I49" s="211">
        <f t="shared" ref="I49" si="17">SUM(I47:I48)</f>
        <v>315215.92107544863</v>
      </c>
      <c r="J49" s="213">
        <f t="shared" ref="J49" si="18">SUM(J47:J48)</f>
        <v>0</v>
      </c>
      <c r="K49" s="213">
        <f t="shared" ref="K49" si="19">SUM(K47:K48)</f>
        <v>315215.92107544863</v>
      </c>
      <c r="L49" s="11"/>
    </row>
    <row r="50" spans="1:12" x14ac:dyDescent="0.35">
      <c r="B50" s="10">
        <f>A39</f>
        <v>2015</v>
      </c>
      <c r="C50" s="18" t="s">
        <v>67</v>
      </c>
      <c r="D50" s="12" t="s">
        <v>64</v>
      </c>
      <c r="E50" s="149">
        <f>'Calcul - Forêt et sols'!E126</f>
        <v>886.92365317182032</v>
      </c>
      <c r="F50" s="318">
        <v>0</v>
      </c>
      <c r="G50" s="318">
        <v>0</v>
      </c>
      <c r="H50" s="318">
        <v>0</v>
      </c>
      <c r="I50" s="162">
        <f>SUM(E50:G50)</f>
        <v>886.92365317182032</v>
      </c>
      <c r="J50" s="149">
        <v>0</v>
      </c>
      <c r="K50" s="650">
        <f t="shared" si="10"/>
        <v>886.92365317182032</v>
      </c>
      <c r="L50" s="11"/>
    </row>
    <row r="51" spans="1:12" x14ac:dyDescent="0.35">
      <c r="B51" s="10">
        <v>2023</v>
      </c>
      <c r="C51" s="18"/>
      <c r="D51" s="12" t="s">
        <v>68</v>
      </c>
      <c r="E51" s="149">
        <f>'Calcul - Forêt et sols'!E134</f>
        <v>15884.79074243813</v>
      </c>
      <c r="F51" s="318">
        <v>0</v>
      </c>
      <c r="G51" s="318">
        <v>0</v>
      </c>
      <c r="H51" s="318">
        <v>0</v>
      </c>
      <c r="I51" s="162">
        <f>SUM(E51:G51)</f>
        <v>15884.79074243813</v>
      </c>
      <c r="J51" s="149">
        <v>0</v>
      </c>
      <c r="K51" s="650">
        <f t="shared" si="10"/>
        <v>15884.79074243813</v>
      </c>
      <c r="L51" s="11"/>
    </row>
    <row r="52" spans="1:12" x14ac:dyDescent="0.35">
      <c r="B52" s="20" t="s">
        <v>6</v>
      </c>
      <c r="C52" s="21"/>
      <c r="D52" s="22"/>
      <c r="E52" s="213">
        <f>SUM(E50:E51)</f>
        <v>16771.71439560995</v>
      </c>
      <c r="F52" s="211">
        <f>SUM(F50:F51)</f>
        <v>0</v>
      </c>
      <c r="G52" s="211">
        <f>SUM(G50:G51)</f>
        <v>0</v>
      </c>
      <c r="H52" s="211">
        <v>0</v>
      </c>
      <c r="I52" s="211">
        <f>SUM(I50:I51)</f>
        <v>16771.71439560995</v>
      </c>
      <c r="J52" s="213">
        <f>SUM(J50:J51)</f>
        <v>0</v>
      </c>
      <c r="K52" s="654">
        <f t="shared" si="10"/>
        <v>16771.71439560995</v>
      </c>
    </row>
    <row r="53" spans="1:12" x14ac:dyDescent="0.35">
      <c r="B53" s="24" t="s">
        <v>7</v>
      </c>
      <c r="C53" s="25"/>
      <c r="D53" s="26"/>
      <c r="E53" s="279">
        <f>E52+E49+E46</f>
        <v>134449.17056014092</v>
      </c>
      <c r="F53" s="280">
        <f>F52+F49+F46</f>
        <v>0</v>
      </c>
      <c r="G53" s="280">
        <f>G52+G49+G46</f>
        <v>0</v>
      </c>
      <c r="H53" s="280">
        <v>0</v>
      </c>
      <c r="I53" s="280">
        <f>I52+I49+I46</f>
        <v>134449.17056014092</v>
      </c>
      <c r="J53" s="279">
        <f>J52+J49+J46</f>
        <v>0</v>
      </c>
      <c r="K53" s="279">
        <f>K52+K49+K46</f>
        <v>134449.17056014092</v>
      </c>
      <c r="L53" s="10"/>
    </row>
    <row r="56" spans="1:12" s="2" customFormat="1" x14ac:dyDescent="0.35">
      <c r="A56" s="3">
        <v>1990</v>
      </c>
    </row>
    <row r="58" spans="1:12" ht="29" x14ac:dyDescent="0.35">
      <c r="E58" s="970" t="s">
        <v>722</v>
      </c>
      <c r="F58" s="971"/>
      <c r="G58" s="971"/>
      <c r="H58" s="971"/>
      <c r="I58" s="972"/>
      <c r="J58" s="667" t="s">
        <v>731</v>
      </c>
      <c r="K58" s="668" t="s">
        <v>723</v>
      </c>
    </row>
    <row r="59" spans="1:12" ht="15" thickBot="1" x14ac:dyDescent="0.4">
      <c r="B59" s="15" t="s">
        <v>5</v>
      </c>
      <c r="C59" s="17" t="s">
        <v>1</v>
      </c>
      <c r="D59" s="16" t="s">
        <v>2</v>
      </c>
      <c r="E59" s="8" t="s">
        <v>48</v>
      </c>
      <c r="F59" s="4" t="s">
        <v>3</v>
      </c>
      <c r="G59" s="4" t="s">
        <v>50</v>
      </c>
      <c r="H59" s="4"/>
      <c r="I59" s="9" t="s">
        <v>4</v>
      </c>
      <c r="J59" s="8" t="s">
        <v>4</v>
      </c>
      <c r="K59" s="8" t="s">
        <v>4</v>
      </c>
    </row>
    <row r="60" spans="1:12" ht="15" thickTop="1" x14ac:dyDescent="0.35">
      <c r="B60" s="20" t="s">
        <v>6</v>
      </c>
      <c r="C60" s="21"/>
      <c r="D60" s="22"/>
      <c r="E60" s="20"/>
      <c r="F60" s="23"/>
      <c r="G60" s="23"/>
      <c r="H60" s="23"/>
      <c r="I60" s="22"/>
      <c r="J60" s="20"/>
      <c r="K60" s="21"/>
    </row>
    <row r="61" spans="1:12" x14ac:dyDescent="0.35">
      <c r="B61" s="24" t="s">
        <v>7</v>
      </c>
      <c r="C61" s="25"/>
      <c r="D61" s="26"/>
      <c r="E61" s="24"/>
      <c r="F61" s="27"/>
      <c r="G61" s="27"/>
      <c r="H61" s="27"/>
      <c r="I61" s="26"/>
      <c r="J61" s="24"/>
      <c r="K61" s="25"/>
    </row>
  </sheetData>
  <sheetProtection algorithmName="SHA-512" hashValue="sZraifIB83XStJ8Aei3/E+I5dVR3Y/TPyKAOZ3gWaLVazo5LTMYXyY3ZdlI6K7KtEepHRXyWkolIPZevxk+3MA==" saltValue="IY5/PER0utNSFMYBv4Zk/A==" spinCount="100000" sheet="1" objects="1" scenarios="1"/>
  <mergeCells count="4">
    <mergeCell ref="E41:I41"/>
    <mergeCell ref="E58:I58"/>
    <mergeCell ref="E8:I8"/>
    <mergeCell ref="E24:I2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D157F-202E-418D-8CFC-4C1497A2E760}">
  <sheetPr>
    <tabColor theme="9" tint="-0.499984740745262"/>
  </sheetPr>
  <dimension ref="B2:X147"/>
  <sheetViews>
    <sheetView topLeftCell="A96" workbookViewId="0">
      <selection activeCell="C70" sqref="C70"/>
    </sheetView>
  </sheetViews>
  <sheetFormatPr baseColWidth="10" defaultRowHeight="14.5" x14ac:dyDescent="0.35"/>
  <cols>
    <col min="2" max="2" width="42.1796875" customWidth="1"/>
    <col min="3" max="4" width="14.81640625" customWidth="1"/>
    <col min="5" max="5" width="14.453125" customWidth="1"/>
    <col min="6" max="6" width="16.26953125" customWidth="1"/>
    <col min="7" max="7" width="19.81640625" customWidth="1"/>
    <col min="8" max="8" width="13.453125" customWidth="1"/>
    <col min="9" max="9" width="18.36328125" style="684" customWidth="1"/>
    <col min="10" max="10" width="14.453125" customWidth="1"/>
    <col min="11" max="11" width="12.26953125" customWidth="1"/>
    <col min="12" max="12" width="16.81640625" customWidth="1"/>
  </cols>
  <sheetData>
    <row r="2" spans="2:8" s="81" customFormat="1" ht="46" x14ac:dyDescent="1">
      <c r="B2" s="81" t="s">
        <v>69</v>
      </c>
    </row>
    <row r="5" spans="2:8" s="28" customFormat="1" x14ac:dyDescent="0.35">
      <c r="B5" s="33" t="s">
        <v>339</v>
      </c>
    </row>
    <row r="7" spans="2:8" x14ac:dyDescent="0.35">
      <c r="B7" s="124" t="s">
        <v>335</v>
      </c>
    </row>
    <row r="8" spans="2:8" x14ac:dyDescent="0.35">
      <c r="B8" s="82" t="s">
        <v>61</v>
      </c>
      <c r="C8" s="82">
        <v>1990</v>
      </c>
      <c r="D8" s="82"/>
      <c r="E8" s="82">
        <v>2015</v>
      </c>
      <c r="F8" s="82">
        <v>2019</v>
      </c>
      <c r="G8" s="82">
        <v>2023</v>
      </c>
      <c r="H8" s="684"/>
    </row>
    <row r="9" spans="2:8" x14ac:dyDescent="0.35">
      <c r="B9" s="2" t="s">
        <v>71</v>
      </c>
      <c r="C9" s="47">
        <v>-140.0665037610068</v>
      </c>
      <c r="D9" s="47"/>
      <c r="E9" s="47">
        <v>-75.45983428827418</v>
      </c>
      <c r="F9" s="47">
        <v>180.61147265824496</v>
      </c>
      <c r="G9" s="47">
        <v>297.22738815281645</v>
      </c>
      <c r="H9" s="684"/>
    </row>
    <row r="10" spans="2:8" x14ac:dyDescent="0.35">
      <c r="B10" s="2" t="s">
        <v>72</v>
      </c>
      <c r="C10" s="47">
        <v>-164.99607013680227</v>
      </c>
      <c r="D10" s="47"/>
      <c r="E10" s="47">
        <v>-250.57535435289387</v>
      </c>
      <c r="F10" s="47">
        <v>94.936408844732185</v>
      </c>
      <c r="G10" s="47">
        <v>349.02942443265391</v>
      </c>
    </row>
    <row r="11" spans="2:8" x14ac:dyDescent="0.35">
      <c r="B11" s="2" t="s">
        <v>73</v>
      </c>
      <c r="C11" s="47">
        <v>-3.2568698214885101</v>
      </c>
      <c r="D11" s="47"/>
      <c r="E11" s="47">
        <v>-37.359637914026997</v>
      </c>
      <c r="F11" s="47">
        <v>-33.992200012352079</v>
      </c>
      <c r="G11" s="47">
        <v>-0.77034704761949913</v>
      </c>
    </row>
    <row r="12" spans="2:8" x14ac:dyDescent="0.35">
      <c r="B12" s="2" t="s">
        <v>74</v>
      </c>
      <c r="C12" s="47">
        <v>129.28527375644632</v>
      </c>
      <c r="D12" s="47"/>
      <c r="E12" s="47">
        <v>-12.603704189596421</v>
      </c>
      <c r="F12" s="47">
        <v>196.38112818684462</v>
      </c>
      <c r="G12" s="47">
        <v>504.84769563245425</v>
      </c>
    </row>
    <row r="13" spans="2:8" x14ac:dyDescent="0.35">
      <c r="B13" s="2" t="s">
        <v>75</v>
      </c>
      <c r="C13" s="47">
        <v>31.427942005429269</v>
      </c>
      <c r="D13" s="47"/>
      <c r="E13" s="47">
        <v>-68.353298355946876</v>
      </c>
      <c r="F13" s="47">
        <v>-17.950692369066541</v>
      </c>
      <c r="G13" s="47">
        <v>203.90062156560299</v>
      </c>
    </row>
    <row r="14" spans="2:8" x14ac:dyDescent="0.35">
      <c r="B14" s="2" t="s">
        <v>76</v>
      </c>
      <c r="C14" s="47">
        <v>0.72785203488201999</v>
      </c>
      <c r="D14" s="47"/>
      <c r="E14" s="47">
        <v>-1.8352728196791701</v>
      </c>
      <c r="F14" s="47">
        <v>-0.58635352186484002</v>
      </c>
      <c r="G14" s="47">
        <v>5.2480684174555821</v>
      </c>
    </row>
    <row r="15" spans="2:8" x14ac:dyDescent="0.35">
      <c r="B15" s="2" t="s">
        <v>77</v>
      </c>
      <c r="C15" s="47">
        <v>-18.748853165915861</v>
      </c>
      <c r="D15" s="47"/>
      <c r="E15" s="47">
        <v>-14.68850532977056</v>
      </c>
      <c r="F15" s="47">
        <v>-12.6733184988482</v>
      </c>
      <c r="G15" s="47">
        <v>11.675410478648578</v>
      </c>
    </row>
    <row r="16" spans="2:8" x14ac:dyDescent="0.35">
      <c r="B16" s="2" t="s">
        <v>78</v>
      </c>
      <c r="C16" s="47">
        <v>-261.48994210799538</v>
      </c>
      <c r="D16" s="47"/>
      <c r="E16" s="47">
        <v>-204.55781340814167</v>
      </c>
      <c r="F16" s="47">
        <v>-176.54351337703514</v>
      </c>
      <c r="G16" s="47">
        <v>163.21401782093884</v>
      </c>
    </row>
    <row r="17" spans="2:10" x14ac:dyDescent="0.35">
      <c r="B17" s="2" t="s">
        <v>79</v>
      </c>
      <c r="C17" s="47">
        <v>47.42590100836248</v>
      </c>
      <c r="D17" s="47"/>
      <c r="E17" s="47">
        <v>-151.25905402501371</v>
      </c>
      <c r="F17" s="47">
        <v>-218.10596998525776</v>
      </c>
      <c r="G17" s="47">
        <v>-134.89987143117418</v>
      </c>
    </row>
    <row r="18" spans="2:10" x14ac:dyDescent="0.35">
      <c r="B18" s="2" t="s">
        <v>80</v>
      </c>
      <c r="C18" s="47">
        <v>-15.25405609171786</v>
      </c>
      <c r="D18" s="47"/>
      <c r="E18" s="47">
        <v>-17.353602506885089</v>
      </c>
      <c r="F18" s="47">
        <v>-14.29499400486756</v>
      </c>
      <c r="G18" s="47">
        <v>3.278925223850148E-2</v>
      </c>
    </row>
    <row r="19" spans="2:10" x14ac:dyDescent="0.35">
      <c r="B19" s="2" t="s">
        <v>81</v>
      </c>
      <c r="C19" s="47">
        <v>-171.4891670776172</v>
      </c>
      <c r="D19" s="47"/>
      <c r="E19" s="47">
        <v>-198.90268498160057</v>
      </c>
      <c r="F19" s="47">
        <v>-164.52248448926343</v>
      </c>
      <c r="G19" s="47">
        <v>0.3797832867318689</v>
      </c>
    </row>
    <row r="20" spans="2:10" x14ac:dyDescent="0.35">
      <c r="B20" s="2" t="s">
        <v>82</v>
      </c>
      <c r="C20" s="47">
        <v>-99.709161774997256</v>
      </c>
      <c r="D20" s="47"/>
      <c r="E20" s="47">
        <v>-807.19872926683627</v>
      </c>
      <c r="F20" s="47">
        <v>-898.59490427909702</v>
      </c>
      <c r="G20" s="47">
        <v>-606.92229180321715</v>
      </c>
    </row>
    <row r="21" spans="2:10" x14ac:dyDescent="0.35">
      <c r="B21" s="2" t="s">
        <v>83</v>
      </c>
      <c r="C21" s="47">
        <v>-109.88528095403836</v>
      </c>
      <c r="D21" s="47"/>
      <c r="E21" s="47">
        <v>-91.893824669608989</v>
      </c>
      <c r="F21" s="47">
        <v>-71.269736957398379</v>
      </c>
      <c r="G21" s="47">
        <v>-55.108186217791086</v>
      </c>
    </row>
    <row r="22" spans="2:10" x14ac:dyDescent="0.35">
      <c r="B22" s="2" t="s">
        <v>84</v>
      </c>
      <c r="C22" s="47">
        <v>-305.90627106408482</v>
      </c>
      <c r="D22" s="47"/>
      <c r="E22" s="47">
        <v>-268.10750778415223</v>
      </c>
      <c r="F22" s="47">
        <v>-209.02626875151239</v>
      </c>
      <c r="G22" s="47">
        <v>-161.80342185905502</v>
      </c>
    </row>
    <row r="23" spans="2:10" x14ac:dyDescent="0.35">
      <c r="B23" s="2" t="s">
        <v>85</v>
      </c>
      <c r="C23" s="47">
        <v>-236.63364140541245</v>
      </c>
      <c r="D23" s="47"/>
      <c r="E23" s="47">
        <v>-304.6603188899569</v>
      </c>
      <c r="F23" s="47">
        <v>-281.44687117245667</v>
      </c>
      <c r="G23" s="47">
        <v>-213.284486878309</v>
      </c>
      <c r="J23" s="47"/>
    </row>
    <row r="24" spans="2:10" x14ac:dyDescent="0.35">
      <c r="B24" s="2" t="s">
        <v>86</v>
      </c>
      <c r="C24" s="47">
        <v>45.653007869208267</v>
      </c>
      <c r="D24" s="47"/>
      <c r="E24" s="47">
        <v>111.28346462100009</v>
      </c>
      <c r="F24" s="47">
        <v>120.02760156141656</v>
      </c>
      <c r="G24" s="47">
        <f>G27-SUM(G9:G23)</f>
        <v>30.64340619762504</v>
      </c>
    </row>
    <row r="27" spans="2:10" x14ac:dyDescent="0.35">
      <c r="B27" s="2" t="str">
        <f>'Forêt et sols - Emissions'!D11</f>
        <v>Surface forestière existante</v>
      </c>
      <c r="C27" s="48">
        <f>SUM(C9:C24)</f>
        <v>-1272.9158406867484</v>
      </c>
      <c r="D27" s="48"/>
      <c r="E27" s="48">
        <f>SUM(E9:E24)</f>
        <v>-2393.5256781613839</v>
      </c>
      <c r="F27" s="48">
        <f>SUM(F9:F24)</f>
        <v>-1507.0506961677818</v>
      </c>
      <c r="G27" s="48">
        <v>393.41</v>
      </c>
      <c r="H27" s="684"/>
    </row>
    <row r="28" spans="2:10" x14ac:dyDescent="0.35">
      <c r="B28" s="2" t="str">
        <f>'Forêt et sols - Emissions'!D10</f>
        <v>Nouvelles surfaces forestières</v>
      </c>
      <c r="C28" s="48">
        <v>-632.45311005245219</v>
      </c>
      <c r="D28" s="48"/>
      <c r="E28" s="48">
        <v>-624.72126349315897</v>
      </c>
      <c r="F28" s="48">
        <v>-613.79999999999995</v>
      </c>
      <c r="G28" s="48">
        <v>-785.62</v>
      </c>
    </row>
    <row r="29" spans="2:10" s="413" customFormat="1" x14ac:dyDescent="0.35">
      <c r="C29" s="48"/>
      <c r="D29" s="48"/>
      <c r="E29" s="48"/>
      <c r="F29" s="48"/>
      <c r="G29" s="48"/>
      <c r="I29" s="684"/>
    </row>
    <row r="30" spans="2:10" s="413" customFormat="1" x14ac:dyDescent="0.35">
      <c r="E30" s="48"/>
      <c r="F30" s="48"/>
      <c r="G30" s="48"/>
      <c r="I30" s="684"/>
    </row>
    <row r="31" spans="2:10" s="413" customFormat="1" x14ac:dyDescent="0.35">
      <c r="C31" s="48"/>
      <c r="D31" s="48"/>
      <c r="E31" s="48"/>
      <c r="F31" s="48"/>
      <c r="G31" s="48"/>
      <c r="I31" s="684"/>
    </row>
    <row r="32" spans="2:10" s="413" customFormat="1" x14ac:dyDescent="0.35">
      <c r="C32" s="48"/>
      <c r="D32" s="48"/>
      <c r="E32" s="48"/>
      <c r="F32" s="48"/>
      <c r="G32" s="48"/>
      <c r="I32" s="684"/>
    </row>
    <row r="35" spans="2:24" s="28" customFormat="1" x14ac:dyDescent="0.35">
      <c r="B35" s="33" t="s">
        <v>325</v>
      </c>
    </row>
    <row r="38" spans="2:24" x14ac:dyDescent="0.35">
      <c r="B38" s="124" t="s">
        <v>301</v>
      </c>
      <c r="L38" s="326" t="s">
        <v>322</v>
      </c>
    </row>
    <row r="39" spans="2:24" ht="14.5" customHeight="1" x14ac:dyDescent="0.35">
      <c r="B39" s="327" t="s">
        <v>283</v>
      </c>
      <c r="C39" s="327" t="s">
        <v>284</v>
      </c>
      <c r="D39" s="327" t="s">
        <v>292</v>
      </c>
      <c r="E39" s="327" t="s">
        <v>297</v>
      </c>
      <c r="F39" s="327" t="s">
        <v>303</v>
      </c>
      <c r="G39" s="327" t="s">
        <v>302</v>
      </c>
      <c r="H39" s="327" t="s">
        <v>794</v>
      </c>
      <c r="I39" s="327" t="s">
        <v>872</v>
      </c>
      <c r="L39" s="325"/>
      <c r="M39" s="1010" t="s">
        <v>304</v>
      </c>
      <c r="N39" s="1010"/>
      <c r="O39" s="1010" t="s">
        <v>305</v>
      </c>
      <c r="P39" s="1010"/>
      <c r="Q39" s="1010" t="s">
        <v>306</v>
      </c>
      <c r="R39" s="1010"/>
      <c r="S39" s="1010" t="s">
        <v>307</v>
      </c>
      <c r="T39" s="1010"/>
      <c r="U39" s="1010" t="s">
        <v>308</v>
      </c>
      <c r="V39" s="1010"/>
      <c r="W39" s="1010" t="s">
        <v>19</v>
      </c>
      <c r="X39" s="1010"/>
    </row>
    <row r="40" spans="2:24" ht="29" x14ac:dyDescent="0.35">
      <c r="B40" s="11" t="s">
        <v>287</v>
      </c>
      <c r="C40" s="11" t="s">
        <v>285</v>
      </c>
      <c r="D40" s="11" t="s">
        <v>294</v>
      </c>
      <c r="E40" s="11" t="s">
        <v>298</v>
      </c>
      <c r="F40" s="11">
        <v>2728</v>
      </c>
      <c r="G40" s="311">
        <v>51.2</v>
      </c>
      <c r="H40" s="328">
        <f t="shared" ref="H40:H51" si="0">F40/(G40*1000)</f>
        <v>5.3281250000000002E-2</v>
      </c>
      <c r="I40" s="48">
        <f>G9/G40</f>
        <v>5.8052224248596955</v>
      </c>
      <c r="L40" s="322" t="s">
        <v>309</v>
      </c>
      <c r="M40" s="322" t="s">
        <v>310</v>
      </c>
      <c r="N40" s="322" t="s">
        <v>311</v>
      </c>
      <c r="O40" s="322" t="s">
        <v>310</v>
      </c>
      <c r="P40" s="322" t="s">
        <v>311</v>
      </c>
      <c r="Q40" s="322" t="s">
        <v>310</v>
      </c>
      <c r="R40" s="322" t="s">
        <v>311</v>
      </c>
      <c r="S40" s="322" t="s">
        <v>310</v>
      </c>
      <c r="T40" s="322" t="s">
        <v>311</v>
      </c>
      <c r="U40" s="322" t="s">
        <v>310</v>
      </c>
      <c r="V40" s="322" t="s">
        <v>311</v>
      </c>
      <c r="W40" s="322" t="s">
        <v>310</v>
      </c>
      <c r="X40" s="322" t="s">
        <v>311</v>
      </c>
    </row>
    <row r="41" spans="2:24" x14ac:dyDescent="0.35">
      <c r="B41" s="11" t="s">
        <v>287</v>
      </c>
      <c r="C41" s="11" t="s">
        <v>290</v>
      </c>
      <c r="D41" s="11" t="s">
        <v>294</v>
      </c>
      <c r="E41" s="11" t="s">
        <v>299</v>
      </c>
      <c r="F41" s="11">
        <v>20739</v>
      </c>
      <c r="G41" s="311">
        <f>SUM($M$46:$M$48)</f>
        <v>123.19999999999999</v>
      </c>
      <c r="H41" s="328">
        <f t="shared" si="0"/>
        <v>0.16833603896103899</v>
      </c>
      <c r="I41" s="48">
        <f t="shared" ref="I41:I51" si="1">G10/G41</f>
        <v>2.8330310424728404</v>
      </c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23"/>
      <c r="W41" s="323"/>
      <c r="X41" s="323"/>
    </row>
    <row r="42" spans="2:24" x14ac:dyDescent="0.35">
      <c r="B42" s="11" t="s">
        <v>287</v>
      </c>
      <c r="C42" s="11" t="s">
        <v>291</v>
      </c>
      <c r="D42" s="11" t="s">
        <v>294</v>
      </c>
      <c r="E42" s="11" t="s">
        <v>300</v>
      </c>
      <c r="F42" s="11">
        <v>19661</v>
      </c>
      <c r="G42" s="11">
        <f>SUM($N$42:$N$45)</f>
        <v>40</v>
      </c>
      <c r="H42" s="328">
        <f t="shared" si="0"/>
        <v>0.49152499999999999</v>
      </c>
      <c r="I42" s="48">
        <f t="shared" si="1"/>
        <v>-1.9258676190487479E-2</v>
      </c>
      <c r="L42" s="322" t="s">
        <v>312</v>
      </c>
      <c r="M42" s="324">
        <v>0</v>
      </c>
      <c r="N42" s="324" t="s">
        <v>313</v>
      </c>
      <c r="O42" s="324">
        <v>0</v>
      </c>
      <c r="P42" s="324" t="s">
        <v>313</v>
      </c>
      <c r="Q42" s="324">
        <v>2.6</v>
      </c>
      <c r="R42" s="324">
        <v>38</v>
      </c>
      <c r="S42" s="324">
        <v>111.6</v>
      </c>
      <c r="T42" s="324">
        <v>5</v>
      </c>
      <c r="U42" s="324">
        <v>28.4</v>
      </c>
      <c r="V42" s="324">
        <v>10</v>
      </c>
      <c r="W42" s="324">
        <v>142.5</v>
      </c>
      <c r="X42" s="324">
        <v>5</v>
      </c>
    </row>
    <row r="43" spans="2:24" x14ac:dyDescent="0.35">
      <c r="B43" s="11" t="s">
        <v>288</v>
      </c>
      <c r="C43" s="11" t="s">
        <v>285</v>
      </c>
      <c r="D43" s="11" t="s">
        <v>295</v>
      </c>
      <c r="E43" s="11" t="s">
        <v>298</v>
      </c>
      <c r="F43" s="11">
        <v>9486</v>
      </c>
      <c r="G43" s="311">
        <v>129.30000000000001</v>
      </c>
      <c r="H43" s="328">
        <f t="shared" si="0"/>
        <v>7.336426914153131E-2</v>
      </c>
      <c r="I43" s="48">
        <f t="shared" si="1"/>
        <v>3.9044678703206048</v>
      </c>
      <c r="L43" s="322" t="s">
        <v>314</v>
      </c>
      <c r="M43" s="324">
        <v>0</v>
      </c>
      <c r="N43" s="324" t="s">
        <v>313</v>
      </c>
      <c r="O43" s="324">
        <v>0</v>
      </c>
      <c r="P43" s="324" t="s">
        <v>313</v>
      </c>
      <c r="Q43" s="324">
        <v>13.1</v>
      </c>
      <c r="R43" s="324">
        <v>16</v>
      </c>
      <c r="S43" s="324">
        <v>89</v>
      </c>
      <c r="T43" s="324">
        <v>6</v>
      </c>
      <c r="U43" s="324">
        <v>30.1</v>
      </c>
      <c r="V43" s="324">
        <v>10</v>
      </c>
      <c r="W43" s="324">
        <v>132.30000000000001</v>
      </c>
      <c r="X43" s="324">
        <v>5</v>
      </c>
    </row>
    <row r="44" spans="2:24" x14ac:dyDescent="0.35">
      <c r="B44" s="11" t="s">
        <v>288</v>
      </c>
      <c r="C44" s="11" t="s">
        <v>290</v>
      </c>
      <c r="D44" s="11" t="s">
        <v>295</v>
      </c>
      <c r="E44" s="11" t="s">
        <v>299</v>
      </c>
      <c r="F44" s="11">
        <v>19169</v>
      </c>
      <c r="G44" s="311">
        <f>SUM($O44:$O$48)</f>
        <v>99.1</v>
      </c>
      <c r="H44" s="328">
        <f t="shared" si="0"/>
        <v>0.19343087790110999</v>
      </c>
      <c r="I44" s="48">
        <f t="shared" si="1"/>
        <v>2.0575239310353481</v>
      </c>
      <c r="L44" s="322" t="s">
        <v>315</v>
      </c>
      <c r="M44" s="324">
        <v>4.4000000000000004</v>
      </c>
      <c r="N44" s="324">
        <v>28</v>
      </c>
      <c r="O44" s="324">
        <v>1.7</v>
      </c>
      <c r="P44" s="324">
        <v>44</v>
      </c>
      <c r="Q44" s="324">
        <v>29.2</v>
      </c>
      <c r="R44" s="324">
        <v>10</v>
      </c>
      <c r="S44" s="324">
        <v>91.6</v>
      </c>
      <c r="T44" s="324">
        <v>6</v>
      </c>
      <c r="U44" s="324">
        <v>25.3</v>
      </c>
      <c r="V44" s="324">
        <v>11</v>
      </c>
      <c r="W44" s="324">
        <v>152.19999999999999</v>
      </c>
      <c r="X44" s="324">
        <v>4</v>
      </c>
    </row>
    <row r="45" spans="2:24" x14ac:dyDescent="0.35">
      <c r="B45" s="11" t="s">
        <v>288</v>
      </c>
      <c r="C45" s="11" t="s">
        <v>291</v>
      </c>
      <c r="D45" s="11" t="s">
        <v>295</v>
      </c>
      <c r="E45" s="11" t="s">
        <v>300</v>
      </c>
      <c r="F45" s="11">
        <v>2643</v>
      </c>
      <c r="G45" s="11">
        <f>SUM($O$42:$O$45)</f>
        <v>3.2</v>
      </c>
      <c r="H45" s="328">
        <f t="shared" si="0"/>
        <v>0.82593749999999999</v>
      </c>
      <c r="I45" s="48">
        <f t="shared" si="1"/>
        <v>1.6400213804548693</v>
      </c>
      <c r="L45" s="322" t="s">
        <v>316</v>
      </c>
      <c r="M45" s="324">
        <v>20.3</v>
      </c>
      <c r="N45" s="324">
        <v>12</v>
      </c>
      <c r="O45" s="324">
        <v>1.5</v>
      </c>
      <c r="P45" s="324">
        <v>50</v>
      </c>
      <c r="Q45" s="324">
        <v>41</v>
      </c>
      <c r="R45" s="324">
        <v>8</v>
      </c>
      <c r="S45" s="324">
        <v>60.1</v>
      </c>
      <c r="T45" s="324">
        <v>7</v>
      </c>
      <c r="U45" s="324">
        <v>22.9</v>
      </c>
      <c r="V45" s="324">
        <v>11</v>
      </c>
      <c r="W45" s="324">
        <v>145.80000000000001</v>
      </c>
      <c r="X45" s="324">
        <v>5</v>
      </c>
    </row>
    <row r="46" spans="2:24" x14ac:dyDescent="0.35">
      <c r="B46" s="11" t="s">
        <v>289</v>
      </c>
      <c r="C46" s="11" t="s">
        <v>285</v>
      </c>
      <c r="D46" s="11" t="s">
        <v>296</v>
      </c>
      <c r="E46" s="11" t="s">
        <v>298</v>
      </c>
      <c r="F46" s="11">
        <v>305</v>
      </c>
      <c r="G46" s="311">
        <v>7.2</v>
      </c>
      <c r="H46" s="328">
        <f t="shared" si="0"/>
        <v>4.2361111111111113E-2</v>
      </c>
      <c r="I46" s="48">
        <f t="shared" si="1"/>
        <v>1.6215847887011914</v>
      </c>
      <c r="L46" s="322" t="s">
        <v>317</v>
      </c>
      <c r="M46" s="324">
        <v>40.1</v>
      </c>
      <c r="N46" s="324">
        <v>8</v>
      </c>
      <c r="O46" s="324">
        <v>3.1</v>
      </c>
      <c r="P46" s="324">
        <v>33</v>
      </c>
      <c r="Q46" s="324">
        <v>49.6</v>
      </c>
      <c r="R46" s="324">
        <v>7</v>
      </c>
      <c r="S46" s="324">
        <v>50.4</v>
      </c>
      <c r="T46" s="324">
        <v>8</v>
      </c>
      <c r="U46" s="324">
        <v>25.7</v>
      </c>
      <c r="V46" s="324">
        <v>11</v>
      </c>
      <c r="W46" s="324">
        <v>168.8</v>
      </c>
      <c r="X46" s="324">
        <v>4</v>
      </c>
    </row>
    <row r="47" spans="2:24" x14ac:dyDescent="0.35">
      <c r="B47" s="11" t="s">
        <v>289</v>
      </c>
      <c r="C47" s="11" t="s">
        <v>290</v>
      </c>
      <c r="D47" s="11" t="s">
        <v>296</v>
      </c>
      <c r="E47" s="11" t="s">
        <v>299</v>
      </c>
      <c r="F47" s="11">
        <v>4019</v>
      </c>
      <c r="G47" s="311">
        <f>SUM($Q$46:$Q$48)</f>
        <v>137.4</v>
      </c>
      <c r="H47" s="328">
        <f t="shared" si="0"/>
        <v>2.9250363901018924E-2</v>
      </c>
      <c r="I47" s="48">
        <f t="shared" si="1"/>
        <v>1.1878749477506465</v>
      </c>
      <c r="L47" s="322" t="s">
        <v>318</v>
      </c>
      <c r="M47" s="324">
        <v>40.5</v>
      </c>
      <c r="N47" s="324">
        <v>8</v>
      </c>
      <c r="O47" s="324">
        <v>16</v>
      </c>
      <c r="P47" s="324">
        <v>14</v>
      </c>
      <c r="Q47" s="324">
        <v>54.3</v>
      </c>
      <c r="R47" s="324">
        <v>7</v>
      </c>
      <c r="S47" s="324">
        <v>38.200000000000003</v>
      </c>
      <c r="T47" s="324">
        <v>9</v>
      </c>
      <c r="U47" s="324">
        <v>19.100000000000001</v>
      </c>
      <c r="V47" s="324">
        <v>13</v>
      </c>
      <c r="W47" s="324">
        <v>168.1</v>
      </c>
      <c r="X47" s="324">
        <v>4</v>
      </c>
    </row>
    <row r="48" spans="2:24" x14ac:dyDescent="0.35">
      <c r="B48" s="11" t="s">
        <v>289</v>
      </c>
      <c r="C48" s="11" t="s">
        <v>291</v>
      </c>
      <c r="D48" s="11" t="s">
        <v>296</v>
      </c>
      <c r="E48" s="11" t="s">
        <v>300</v>
      </c>
      <c r="F48" s="11">
        <f>7924-291</f>
        <v>7633</v>
      </c>
      <c r="G48" s="11">
        <f>SUM($Q$42:$Q$45)</f>
        <v>85.9</v>
      </c>
      <c r="H48" s="328">
        <f t="shared" si="0"/>
        <v>8.8859138533178117E-2</v>
      </c>
      <c r="I48" s="48">
        <f t="shared" si="1"/>
        <v>-1.5704292366842161</v>
      </c>
      <c r="L48" s="322" t="s">
        <v>319</v>
      </c>
      <c r="M48" s="324">
        <v>42.6</v>
      </c>
      <c r="N48" s="324">
        <v>8</v>
      </c>
      <c r="O48" s="324">
        <v>76.8</v>
      </c>
      <c r="P48" s="324">
        <v>6</v>
      </c>
      <c r="Q48" s="324">
        <v>33.5</v>
      </c>
      <c r="R48" s="324">
        <v>9</v>
      </c>
      <c r="S48" s="324">
        <v>24.3</v>
      </c>
      <c r="T48" s="324">
        <v>11</v>
      </c>
      <c r="U48" s="324">
        <v>17.7</v>
      </c>
      <c r="V48" s="324">
        <v>13</v>
      </c>
      <c r="W48" s="324">
        <v>195</v>
      </c>
      <c r="X48" s="324">
        <v>4</v>
      </c>
    </row>
    <row r="49" spans="2:24" x14ac:dyDescent="0.35">
      <c r="B49" s="11" t="s">
        <v>286</v>
      </c>
      <c r="C49" s="11" t="s">
        <v>285</v>
      </c>
      <c r="D49" s="11" t="s">
        <v>293</v>
      </c>
      <c r="E49" s="11" t="s">
        <v>298</v>
      </c>
      <c r="F49" s="11">
        <v>1889</v>
      </c>
      <c r="G49" s="311">
        <v>10.199999999999999</v>
      </c>
      <c r="H49" s="328">
        <f t="shared" si="0"/>
        <v>0.18519607843137256</v>
      </c>
      <c r="I49" s="48">
        <f t="shared" si="1"/>
        <v>3.214632572402106E-3</v>
      </c>
      <c r="L49" s="322" t="s">
        <v>320</v>
      </c>
      <c r="M49" s="324" t="s">
        <v>321</v>
      </c>
      <c r="N49" s="324">
        <v>7</v>
      </c>
      <c r="O49" s="324">
        <v>129.30000000000001</v>
      </c>
      <c r="P49" s="324">
        <v>4</v>
      </c>
      <c r="Q49" s="324">
        <v>7.2</v>
      </c>
      <c r="R49" s="324">
        <v>22</v>
      </c>
      <c r="S49" s="324">
        <v>10.199999999999999</v>
      </c>
      <c r="T49" s="324">
        <v>18</v>
      </c>
      <c r="U49" s="324">
        <v>24.5</v>
      </c>
      <c r="V49" s="324">
        <v>11</v>
      </c>
      <c r="W49" s="324">
        <v>222.4</v>
      </c>
      <c r="X49" s="324">
        <v>3</v>
      </c>
    </row>
    <row r="50" spans="2:24" x14ac:dyDescent="0.35">
      <c r="B50" s="11" t="s">
        <v>286</v>
      </c>
      <c r="C50" s="11" t="s">
        <v>290</v>
      </c>
      <c r="D50" s="11" t="s">
        <v>293</v>
      </c>
      <c r="E50" s="11" t="s">
        <v>299</v>
      </c>
      <c r="F50" s="11">
        <f>5509-1</f>
        <v>5508</v>
      </c>
      <c r="G50" s="311">
        <f>SUM($S$46:$S$48)</f>
        <v>112.89999999999999</v>
      </c>
      <c r="H50" s="328">
        <f t="shared" si="0"/>
        <v>4.8786536758193097E-2</v>
      </c>
      <c r="I50" s="48">
        <f t="shared" si="1"/>
        <v>3.3638909365090249E-3</v>
      </c>
      <c r="L50" s="322" t="s">
        <v>267</v>
      </c>
      <c r="M50" s="324">
        <v>199.1</v>
      </c>
      <c r="N50" s="324">
        <v>1</v>
      </c>
      <c r="O50" s="324">
        <v>228.4</v>
      </c>
      <c r="P50" s="324">
        <v>1</v>
      </c>
      <c r="Q50" s="324">
        <v>230.6</v>
      </c>
      <c r="R50" s="324">
        <v>2</v>
      </c>
      <c r="S50" s="324">
        <v>475.3</v>
      </c>
      <c r="T50" s="324">
        <v>1</v>
      </c>
      <c r="U50" s="324">
        <v>193.6</v>
      </c>
      <c r="V50" s="324">
        <v>2</v>
      </c>
      <c r="W50" s="324">
        <v>1327.1</v>
      </c>
      <c r="X50" s="324">
        <v>1</v>
      </c>
    </row>
    <row r="51" spans="2:24" x14ac:dyDescent="0.35">
      <c r="B51" s="11" t="s">
        <v>286</v>
      </c>
      <c r="C51" s="11" t="s">
        <v>291</v>
      </c>
      <c r="D51" s="11" t="s">
        <v>293</v>
      </c>
      <c r="E51" s="11" t="s">
        <v>300</v>
      </c>
      <c r="F51" s="11">
        <f>12182-1333</f>
        <v>10849</v>
      </c>
      <c r="G51" s="11">
        <f>SUM($S$42:$S$45)</f>
        <v>352.3</v>
      </c>
      <c r="H51" s="328">
        <f t="shared" si="0"/>
        <v>3.0794777178541018E-2</v>
      </c>
      <c r="I51" s="48">
        <f t="shared" si="1"/>
        <v>-1.7227428095464579</v>
      </c>
      <c r="W51">
        <f>SUM(W42:W50)</f>
        <v>2654.2</v>
      </c>
    </row>
    <row r="52" spans="2:24" x14ac:dyDescent="0.35">
      <c r="F52">
        <f>SUM(F40:F51)</f>
        <v>104629</v>
      </c>
    </row>
    <row r="53" spans="2:24" x14ac:dyDescent="0.35">
      <c r="B53" s="124" t="s">
        <v>323</v>
      </c>
    </row>
    <row r="54" spans="2:24" x14ac:dyDescent="0.35">
      <c r="B54" s="82" t="s">
        <v>61</v>
      </c>
      <c r="C54" s="82">
        <v>1990</v>
      </c>
      <c r="D54" s="82"/>
      <c r="E54" s="82">
        <v>2015</v>
      </c>
      <c r="F54" s="82">
        <v>2019</v>
      </c>
      <c r="G54" s="82">
        <v>2023</v>
      </c>
    </row>
    <row r="55" spans="2:24" x14ac:dyDescent="0.35">
      <c r="B55" s="2" t="s">
        <v>71</v>
      </c>
      <c r="C55" s="162">
        <f t="shared" ref="C55:C69" si="2">$H40*C9*1000</f>
        <v>-7462.9184035161443</v>
      </c>
      <c r="D55" s="162">
        <f t="shared" ref="D55:F55" si="3">$H40*D9*1000</f>
        <v>0</v>
      </c>
      <c r="E55" s="162">
        <f t="shared" si="3"/>
        <v>-4020.5942956721092</v>
      </c>
      <c r="F55" s="162">
        <f t="shared" si="3"/>
        <v>9623.2050275721158</v>
      </c>
      <c r="G55" s="162">
        <f>$H40*G9*1000</f>
        <v>15836.646775017252</v>
      </c>
      <c r="H55">
        <v>5.4885999999999999</v>
      </c>
      <c r="I55" s="162">
        <f>H55*F40</f>
        <v>14972.900799999999</v>
      </c>
      <c r="J55" s="162"/>
    </row>
    <row r="56" spans="2:24" x14ac:dyDescent="0.35">
      <c r="B56" s="2" t="s">
        <v>72</v>
      </c>
      <c r="C56" s="162">
        <f t="shared" si="2"/>
        <v>-27774.784890967068</v>
      </c>
      <c r="D56" s="162">
        <f t="shared" ref="D56:G69" si="4">$H41*D10*1000</f>
        <v>0</v>
      </c>
      <c r="E56" s="162">
        <f t="shared" si="4"/>
        <v>-42180.862613024896</v>
      </c>
      <c r="F56" s="162">
        <f t="shared" si="4"/>
        <v>15981.219018107964</v>
      </c>
      <c r="G56" s="162">
        <f t="shared" si="4"/>
        <v>58754.230789844245</v>
      </c>
      <c r="H56">
        <v>2.9449999999999998</v>
      </c>
      <c r="I56" s="162">
        <f t="shared" ref="I56:I66" si="5">H56*F41</f>
        <v>61076.354999999996</v>
      </c>
      <c r="J56" s="162"/>
      <c r="K56" s="684"/>
    </row>
    <row r="57" spans="2:24" x14ac:dyDescent="0.35">
      <c r="B57" s="2" t="s">
        <v>73</v>
      </c>
      <c r="C57" s="162">
        <f t="shared" si="2"/>
        <v>-1600.8329390071399</v>
      </c>
      <c r="D57" s="162">
        <f t="shared" si="4"/>
        <v>0</v>
      </c>
      <c r="E57" s="162">
        <f t="shared" si="4"/>
        <v>-18363.196025692119</v>
      </c>
      <c r="F57" s="162">
        <f t="shared" si="4"/>
        <v>-16708.016111071356</v>
      </c>
      <c r="G57" s="162">
        <f t="shared" si="4"/>
        <v>-378.64483258117434</v>
      </c>
      <c r="H57">
        <v>-0.04</v>
      </c>
      <c r="I57" s="162">
        <f t="shared" si="5"/>
        <v>-786.44</v>
      </c>
      <c r="J57" s="162"/>
      <c r="K57" s="684"/>
    </row>
    <row r="58" spans="2:24" x14ac:dyDescent="0.35">
      <c r="B58" s="2" t="s">
        <v>74</v>
      </c>
      <c r="C58" s="162">
        <f t="shared" si="2"/>
        <v>9484.9196199044836</v>
      </c>
      <c r="D58" s="162">
        <f t="shared" si="4"/>
        <v>0</v>
      </c>
      <c r="E58" s="162">
        <f t="shared" si="4"/>
        <v>-924.66154634579755</v>
      </c>
      <c r="F58" s="162">
        <f t="shared" si="4"/>
        <v>14407.357942617229</v>
      </c>
      <c r="G58" s="162">
        <f t="shared" si="4"/>
        <v>37037.782217861255</v>
      </c>
      <c r="H58">
        <v>3.8449</v>
      </c>
      <c r="I58" s="162">
        <f t="shared" si="5"/>
        <v>36472.721400000002</v>
      </c>
      <c r="J58" s="162"/>
      <c r="K58" s="684"/>
    </row>
    <row r="59" spans="2:24" x14ac:dyDescent="0.35">
      <c r="B59" s="2" t="s">
        <v>75</v>
      </c>
      <c r="C59" s="162">
        <f t="shared" si="2"/>
        <v>6079.134412735355</v>
      </c>
      <c r="D59" s="162">
        <f t="shared" si="4"/>
        <v>0</v>
      </c>
      <c r="E59" s="162">
        <f t="shared" si="4"/>
        <v>-13221.638508427302</v>
      </c>
      <c r="F59" s="162">
        <f t="shared" si="4"/>
        <v>-3472.2181838812971</v>
      </c>
      <c r="G59" s="162">
        <f t="shared" si="4"/>
        <v>39440.676234016588</v>
      </c>
      <c r="H59">
        <v>2.2242000000000002</v>
      </c>
      <c r="I59" s="162">
        <f t="shared" si="5"/>
        <v>42635.6898</v>
      </c>
      <c r="J59" s="162"/>
      <c r="K59" s="684"/>
    </row>
    <row r="60" spans="2:24" x14ac:dyDescent="0.35">
      <c r="B60" s="2" t="s">
        <v>76</v>
      </c>
      <c r="C60" s="162">
        <f t="shared" si="2"/>
        <v>601.16029006036842</v>
      </c>
      <c r="D60" s="162">
        <f t="shared" si="4"/>
        <v>0</v>
      </c>
      <c r="E60" s="162">
        <f t="shared" si="4"/>
        <v>-1515.8206445037645</v>
      </c>
      <c r="F60" s="162">
        <f t="shared" si="4"/>
        <v>-484.29136196524132</v>
      </c>
      <c r="G60" s="162">
        <f t="shared" si="4"/>
        <v>4334.5765085422199</v>
      </c>
      <c r="H60">
        <v>2.57</v>
      </c>
      <c r="I60" s="162">
        <f t="shared" si="5"/>
        <v>6792.5099999999993</v>
      </c>
      <c r="J60" s="162"/>
      <c r="K60" s="684"/>
    </row>
    <row r="61" spans="2:24" x14ac:dyDescent="0.35">
      <c r="B61" s="2" t="s">
        <v>77</v>
      </c>
      <c r="C61" s="162">
        <f t="shared" si="2"/>
        <v>-794.22225216726918</v>
      </c>
      <c r="D61" s="162">
        <f t="shared" si="4"/>
        <v>0</v>
      </c>
      <c r="E61" s="162">
        <f t="shared" si="4"/>
        <v>-622.22140633055847</v>
      </c>
      <c r="F61" s="162">
        <f t="shared" si="4"/>
        <v>-536.85585307620852</v>
      </c>
      <c r="G61" s="162">
        <f t="shared" si="4"/>
        <v>494.58336055386337</v>
      </c>
      <c r="H61" s="162">
        <f>H62</f>
        <v>1.1870000000000001</v>
      </c>
      <c r="I61" s="162">
        <f t="shared" si="5"/>
        <v>362.03500000000003</v>
      </c>
      <c r="J61" s="162"/>
      <c r="K61" s="684"/>
    </row>
    <row r="62" spans="2:24" x14ac:dyDescent="0.35">
      <c r="B62" s="2" t="s">
        <v>78</v>
      </c>
      <c r="C62" s="162">
        <f t="shared" si="2"/>
        <v>-7648.6759631152363</v>
      </c>
      <c r="D62" s="162">
        <f t="shared" si="4"/>
        <v>0</v>
      </c>
      <c r="E62" s="162">
        <f t="shared" si="4"/>
        <v>-5983.3904809848727</v>
      </c>
      <c r="F62" s="162">
        <f t="shared" si="4"/>
        <v>-5163.9620106426801</v>
      </c>
      <c r="G62" s="162">
        <f t="shared" si="4"/>
        <v>4774.0694150098489</v>
      </c>
      <c r="H62">
        <v>1.1870000000000001</v>
      </c>
      <c r="I62" s="162">
        <f t="shared" si="5"/>
        <v>4770.5529999999999</v>
      </c>
      <c r="J62" s="162"/>
      <c r="K62" s="684"/>
    </row>
    <row r="63" spans="2:24" x14ac:dyDescent="0.35">
      <c r="B63" s="2" t="s">
        <v>79</v>
      </c>
      <c r="C63" s="162">
        <f t="shared" si="2"/>
        <v>4214.2247077628726</v>
      </c>
      <c r="D63" s="162">
        <f t="shared" si="4"/>
        <v>0</v>
      </c>
      <c r="E63" s="162">
        <f t="shared" si="4"/>
        <v>-13440.749236006166</v>
      </c>
      <c r="F63" s="162">
        <f t="shared" si="4"/>
        <v>-19380.708601833205</v>
      </c>
      <c r="G63" s="162">
        <f t="shared" si="4"/>
        <v>-11987.086363610622</v>
      </c>
      <c r="H63">
        <v>-1.97</v>
      </c>
      <c r="I63" s="162">
        <f t="shared" si="5"/>
        <v>-15037.01</v>
      </c>
      <c r="J63" s="162"/>
      <c r="K63" s="684"/>
    </row>
    <row r="64" spans="2:24" x14ac:dyDescent="0.35">
      <c r="B64" s="2" t="s">
        <v>80</v>
      </c>
      <c r="C64" s="162">
        <f t="shared" si="2"/>
        <v>-2824.9913683583372</v>
      </c>
      <c r="D64" s="162">
        <f t="shared" si="4"/>
        <v>0</v>
      </c>
      <c r="E64" s="162">
        <f t="shared" si="4"/>
        <v>-3213.8191309319545</v>
      </c>
      <c r="F64" s="162">
        <f t="shared" si="4"/>
        <v>-2647.3768309014536</v>
      </c>
      <c r="G64" s="162">
        <f t="shared" si="4"/>
        <v>6.0724409292675787</v>
      </c>
      <c r="H64" s="139">
        <f>H65</f>
        <v>-0.01</v>
      </c>
      <c r="I64" s="162">
        <f t="shared" si="5"/>
        <v>-18.89</v>
      </c>
      <c r="J64" s="162"/>
      <c r="K64" s="684"/>
    </row>
    <row r="65" spans="2:11" x14ac:dyDescent="0.35">
      <c r="B65" s="2" t="s">
        <v>81</v>
      </c>
      <c r="C65" s="162">
        <f t="shared" si="2"/>
        <v>-8366.362553264089</v>
      </c>
      <c r="D65" s="162">
        <f t="shared" si="4"/>
        <v>0</v>
      </c>
      <c r="E65" s="162">
        <f t="shared" si="4"/>
        <v>-9703.7731521581572</v>
      </c>
      <c r="F65" s="162">
        <f t="shared" si="4"/>
        <v>-8026.4822370847032</v>
      </c>
      <c r="G65" s="162">
        <f t="shared" si="4"/>
        <v>18.52831127829171</v>
      </c>
      <c r="H65">
        <v>-0.01</v>
      </c>
      <c r="I65" s="162">
        <f t="shared" si="5"/>
        <v>-55.08</v>
      </c>
      <c r="J65" s="162"/>
      <c r="K65" s="684"/>
    </row>
    <row r="66" spans="2:11" x14ac:dyDescent="0.35">
      <c r="B66" s="2" t="s">
        <v>82</v>
      </c>
      <c r="C66" s="162">
        <f t="shared" si="2"/>
        <v>-3070.5214195201397</v>
      </c>
      <c r="D66" s="162">
        <f t="shared" si="4"/>
        <v>0</v>
      </c>
      <c r="E66" s="162">
        <f t="shared" si="4"/>
        <v>-24857.50500657368</v>
      </c>
      <c r="F66" s="162">
        <f t="shared" si="4"/>
        <v>-27672.029851047188</v>
      </c>
      <c r="G66" s="162">
        <f t="shared" si="4"/>
        <v>-18690.036740769527</v>
      </c>
      <c r="H66">
        <v>-2.62</v>
      </c>
      <c r="I66" s="162">
        <f t="shared" si="5"/>
        <v>-28424.38</v>
      </c>
      <c r="J66" s="162"/>
      <c r="K66" s="684"/>
    </row>
    <row r="67" spans="2:11" x14ac:dyDescent="0.35">
      <c r="B67" s="2" t="s">
        <v>83</v>
      </c>
      <c r="C67" s="162">
        <f t="shared" si="2"/>
        <v>0</v>
      </c>
      <c r="D67" s="162">
        <f t="shared" si="4"/>
        <v>0</v>
      </c>
      <c r="E67" s="162">
        <f t="shared" si="4"/>
        <v>0</v>
      </c>
      <c r="F67" s="162">
        <f t="shared" si="4"/>
        <v>0</v>
      </c>
      <c r="G67" s="162">
        <f t="shared" si="4"/>
        <v>0</v>
      </c>
      <c r="J67" s="162"/>
    </row>
    <row r="68" spans="2:11" x14ac:dyDescent="0.35">
      <c r="B68" s="2" t="s">
        <v>84</v>
      </c>
      <c r="C68" s="162">
        <f t="shared" si="2"/>
        <v>0</v>
      </c>
      <c r="D68" s="162">
        <f t="shared" si="4"/>
        <v>0</v>
      </c>
      <c r="E68" s="162">
        <f t="shared" si="4"/>
        <v>0</v>
      </c>
      <c r="F68" s="162">
        <f t="shared" si="4"/>
        <v>0</v>
      </c>
      <c r="G68" s="162">
        <f t="shared" si="4"/>
        <v>0</v>
      </c>
      <c r="J68" s="162"/>
    </row>
    <row r="69" spans="2:11" x14ac:dyDescent="0.35">
      <c r="B69" s="2" t="s">
        <v>85</v>
      </c>
      <c r="C69" s="162">
        <f t="shared" si="2"/>
        <v>0</v>
      </c>
      <c r="D69" s="162">
        <f t="shared" si="4"/>
        <v>0</v>
      </c>
      <c r="E69" s="162">
        <f t="shared" si="4"/>
        <v>0</v>
      </c>
      <c r="F69" s="162">
        <f t="shared" si="4"/>
        <v>0</v>
      </c>
      <c r="G69" s="162">
        <f t="shared" si="4"/>
        <v>0</v>
      </c>
      <c r="J69" s="162"/>
    </row>
    <row r="70" spans="2:11" x14ac:dyDescent="0.35">
      <c r="B70" s="268" t="s">
        <v>7</v>
      </c>
      <c r="C70" s="178">
        <f>SUM(C55:C69)</f>
        <v>-39163.870759452344</v>
      </c>
      <c r="D70" s="178">
        <f t="shared" ref="D70:G70" si="6">SUM(D55:D69)</f>
        <v>0</v>
      </c>
      <c r="E70" s="178">
        <f t="shared" si="6"/>
        <v>-138048.23204665139</v>
      </c>
      <c r="F70" s="178">
        <f t="shared" si="6"/>
        <v>-44080.159053206022</v>
      </c>
      <c r="G70" s="178">
        <f t="shared" si="6"/>
        <v>129641.39811609148</v>
      </c>
      <c r="H70" s="369"/>
      <c r="I70" s="369"/>
    </row>
    <row r="71" spans="2:11" x14ac:dyDescent="0.35">
      <c r="B71" s="329" t="s">
        <v>326</v>
      </c>
      <c r="C71" s="330">
        <f xml:space="preserve"> SUM($F$40:$F$51) / (1000*$W$51) * SUM(C9:C24)*1000</f>
        <v>-50178.551539150707</v>
      </c>
      <c r="D71" s="330">
        <f t="shared" ref="D71:G71" si="7" xml:space="preserve"> SUM($F$40:$F$51) / (1000*$W$51) * SUM(D9:D24)*1000</f>
        <v>0</v>
      </c>
      <c r="E71" s="330">
        <f t="shared" si="7"/>
        <v>-94353.175412684592</v>
      </c>
      <c r="F71" s="330">
        <f t="shared" si="7"/>
        <v>-59408.186003066403</v>
      </c>
      <c r="G71" s="330">
        <f t="shared" si="7"/>
        <v>15508.286824655264</v>
      </c>
      <c r="J71" s="177">
        <f>175000/'Resultat 2023'!H41</f>
        <v>4.4576689208825078E-2</v>
      </c>
    </row>
    <row r="72" spans="2:11" x14ac:dyDescent="0.35">
      <c r="E72" s="331">
        <v>-200000</v>
      </c>
    </row>
    <row r="74" spans="2:11" s="52" customFormat="1" x14ac:dyDescent="0.35">
      <c r="B74" s="54" t="s">
        <v>327</v>
      </c>
    </row>
    <row r="75" spans="2:11" x14ac:dyDescent="0.35">
      <c r="C75" t="s">
        <v>324</v>
      </c>
    </row>
    <row r="76" spans="2:11" x14ac:dyDescent="0.35">
      <c r="B76" s="107" t="s">
        <v>330</v>
      </c>
      <c r="C76" s="163">
        <v>5339</v>
      </c>
      <c r="D76" t="s">
        <v>329</v>
      </c>
      <c r="E76" s="332" t="s">
        <v>331</v>
      </c>
    </row>
    <row r="78" spans="2:11" x14ac:dyDescent="0.35">
      <c r="B78" s="82" t="s">
        <v>123</v>
      </c>
      <c r="C78" s="82">
        <v>1990</v>
      </c>
      <c r="D78" s="82"/>
      <c r="E78" s="82">
        <v>2015</v>
      </c>
      <c r="F78" s="82">
        <v>2019</v>
      </c>
      <c r="G78" s="82">
        <v>2023</v>
      </c>
    </row>
    <row r="79" spans="2:11" x14ac:dyDescent="0.35">
      <c r="B79" t="s">
        <v>332</v>
      </c>
      <c r="E79">
        <v>61.68</v>
      </c>
      <c r="F79">
        <v>65.12</v>
      </c>
      <c r="G79">
        <v>61.89</v>
      </c>
      <c r="I79" s="684" t="s">
        <v>873</v>
      </c>
    </row>
    <row r="80" spans="2:11" x14ac:dyDescent="0.35">
      <c r="B80" t="s">
        <v>333</v>
      </c>
      <c r="C80" s="48">
        <f>C28</f>
        <v>-632.45311005245219</v>
      </c>
      <c r="E80" s="48">
        <f>E28</f>
        <v>-624.72126349315897</v>
      </c>
      <c r="F80" s="48">
        <f t="shared" ref="F80" si="8">F28</f>
        <v>-613.79999999999995</v>
      </c>
      <c r="G80" s="48">
        <f>G28</f>
        <v>-785.62</v>
      </c>
      <c r="I80" s="684">
        <f>G80/G79</f>
        <v>-12.693811601227985</v>
      </c>
    </row>
    <row r="82" spans="2:7" x14ac:dyDescent="0.35">
      <c r="B82" s="82" t="s">
        <v>334</v>
      </c>
      <c r="C82" s="82">
        <v>1990</v>
      </c>
      <c r="D82" s="82"/>
      <c r="E82" s="82">
        <v>2015</v>
      </c>
      <c r="F82" s="82">
        <v>2019</v>
      </c>
      <c r="G82" s="82">
        <v>2023</v>
      </c>
    </row>
    <row r="83" spans="2:7" x14ac:dyDescent="0.35">
      <c r="B83" s="107" t="s">
        <v>336</v>
      </c>
      <c r="C83" s="107"/>
      <c r="D83" s="107"/>
      <c r="E83" s="178">
        <f>$C$76/(1000*$G$79)*E80*1000</f>
        <v>-53892.17685878132</v>
      </c>
      <c r="F83" s="178">
        <f>$C$76/(1000*$G$79)*F80*1000</f>
        <v>-52950.043625787686</v>
      </c>
      <c r="G83" s="178">
        <f>$C$76/(1000*$G$79)*G80*1000</f>
        <v>-67772.260138956219</v>
      </c>
    </row>
    <row r="84" spans="2:7" x14ac:dyDescent="0.35">
      <c r="B84" t="s">
        <v>881</v>
      </c>
      <c r="F84" s="684"/>
    </row>
    <row r="87" spans="2:7" s="52" customFormat="1" x14ac:dyDescent="0.35">
      <c r="B87" s="54" t="s">
        <v>328</v>
      </c>
    </row>
    <row r="89" spans="2:7" x14ac:dyDescent="0.35">
      <c r="B89" s="82" t="s">
        <v>123</v>
      </c>
      <c r="C89" s="82">
        <v>1990</v>
      </c>
      <c r="D89" s="82"/>
      <c r="E89" s="82">
        <v>2015</v>
      </c>
      <c r="F89" s="82">
        <v>2019</v>
      </c>
      <c r="G89" s="82">
        <v>2023</v>
      </c>
    </row>
    <row r="90" spans="2:7" x14ac:dyDescent="0.35">
      <c r="B90" t="s">
        <v>337</v>
      </c>
      <c r="E90">
        <v>-69.8</v>
      </c>
      <c r="F90" s="215">
        <v>82.98</v>
      </c>
      <c r="G90">
        <v>41.98</v>
      </c>
    </row>
    <row r="92" spans="2:7" x14ac:dyDescent="0.35">
      <c r="B92" s="82" t="s">
        <v>334</v>
      </c>
      <c r="C92" s="333"/>
      <c r="D92" s="333"/>
      <c r="E92" s="82">
        <v>2015</v>
      </c>
      <c r="F92" s="82">
        <v>2019</v>
      </c>
      <c r="G92" s="82">
        <v>2022</v>
      </c>
    </row>
    <row r="93" spans="2:7" x14ac:dyDescent="0.35">
      <c r="B93" t="s">
        <v>338</v>
      </c>
      <c r="E93" s="216">
        <f>Constantes!D15</f>
        <v>8.0201375436747574E-2</v>
      </c>
      <c r="F93" s="216">
        <f>Constantes!E15</f>
        <v>8.179204579852388E-2</v>
      </c>
      <c r="G93" s="216">
        <f>Constantes!F15</f>
        <v>8.1533383812399898E-2</v>
      </c>
    </row>
    <row r="94" spans="2:7" x14ac:dyDescent="0.35">
      <c r="B94" s="107" t="s">
        <v>328</v>
      </c>
      <c r="C94" s="107"/>
      <c r="D94" s="107"/>
      <c r="E94" s="185">
        <f>E93*E90*1000</f>
        <v>-5598.0560054849802</v>
      </c>
      <c r="F94" s="185">
        <f t="shared" ref="F94:G94" si="9">F93*F90*1000</f>
        <v>6787.1039603615118</v>
      </c>
      <c r="G94" s="185">
        <f t="shared" si="9"/>
        <v>3422.7714524445478</v>
      </c>
    </row>
    <row r="98" spans="2:7" s="52" customFormat="1" x14ac:dyDescent="0.35">
      <c r="B98" s="54" t="s">
        <v>760</v>
      </c>
    </row>
    <row r="100" spans="2:7" x14ac:dyDescent="0.35">
      <c r="B100" s="124" t="s">
        <v>411</v>
      </c>
    </row>
    <row r="101" spans="2:7" x14ac:dyDescent="0.35">
      <c r="B101" s="82" t="s">
        <v>123</v>
      </c>
      <c r="C101" s="82">
        <v>1990</v>
      </c>
      <c r="D101" s="82"/>
      <c r="E101" s="82">
        <v>2015</v>
      </c>
      <c r="F101" s="82">
        <v>2019</v>
      </c>
      <c r="G101" s="82">
        <v>2023</v>
      </c>
    </row>
    <row r="102" spans="2:7" s="684" customFormat="1" x14ac:dyDescent="0.35">
      <c r="B102" s="263" t="s">
        <v>758</v>
      </c>
      <c r="C102" s="690">
        <v>530.37</v>
      </c>
      <c r="D102" s="691"/>
      <c r="E102" s="690">
        <v>2008.04</v>
      </c>
      <c r="F102" s="690">
        <v>-852.65</v>
      </c>
      <c r="G102" s="690">
        <v>515.02</v>
      </c>
    </row>
    <row r="103" spans="2:7" s="684" customFormat="1" x14ac:dyDescent="0.35">
      <c r="B103" s="263" t="s">
        <v>759</v>
      </c>
      <c r="C103" s="690">
        <v>-438.61</v>
      </c>
      <c r="D103" s="691"/>
      <c r="E103" s="690">
        <v>1990.29</v>
      </c>
      <c r="F103" s="690">
        <v>5.89</v>
      </c>
      <c r="G103" s="690">
        <v>756.46</v>
      </c>
    </row>
    <row r="104" spans="2:7" x14ac:dyDescent="0.35">
      <c r="B104" t="s">
        <v>409</v>
      </c>
      <c r="C104" s="692">
        <v>159.71</v>
      </c>
      <c r="D104" s="39"/>
      <c r="E104" s="39">
        <v>166.77</v>
      </c>
      <c r="F104" s="39">
        <v>171.75</v>
      </c>
      <c r="G104" s="39">
        <v>161.51</v>
      </c>
    </row>
    <row r="105" spans="2:7" x14ac:dyDescent="0.35">
      <c r="B105" t="s">
        <v>410</v>
      </c>
      <c r="C105" s="692">
        <v>169.26</v>
      </c>
      <c r="D105" s="39"/>
      <c r="E105" s="39">
        <v>161.91</v>
      </c>
      <c r="F105" s="39">
        <v>152.47</v>
      </c>
      <c r="G105" s="39">
        <v>113</v>
      </c>
    </row>
    <row r="106" spans="2:7" x14ac:dyDescent="0.35">
      <c r="C106" s="39"/>
      <c r="D106" s="39"/>
      <c r="E106" s="39"/>
      <c r="F106" s="39"/>
      <c r="G106" s="39"/>
    </row>
    <row r="107" spans="2:7" x14ac:dyDescent="0.35">
      <c r="B107" s="124" t="s">
        <v>761</v>
      </c>
      <c r="C107" s="39"/>
      <c r="D107" s="39"/>
      <c r="E107" s="39"/>
      <c r="F107" s="39"/>
      <c r="G107" s="39"/>
    </row>
    <row r="108" spans="2:7" x14ac:dyDescent="0.35">
      <c r="B108" s="82" t="s">
        <v>762</v>
      </c>
      <c r="C108" s="693">
        <v>1990</v>
      </c>
      <c r="D108" s="693"/>
      <c r="E108" s="693">
        <v>2015</v>
      </c>
      <c r="F108" s="693">
        <v>2019</v>
      </c>
      <c r="G108" s="693">
        <v>2023</v>
      </c>
    </row>
    <row r="109" spans="2:7" x14ac:dyDescent="0.35">
      <c r="B109" t="s">
        <v>763</v>
      </c>
      <c r="C109" s="162">
        <f>_xlfn.XLOOKUP(C$108,'Agriculture - Calcul'!$E$69:$AJ$69,'Agriculture - Calcul'!$E71:$AJ71)</f>
        <v>108833</v>
      </c>
      <c r="D109" s="162"/>
      <c r="E109" s="162">
        <f>_xlfn.XLOOKUP(E$108,'Agriculture - Calcul'!$E$69:$AJ$69,'Agriculture - Calcul'!$E71:$AJ71)</f>
        <v>108764</v>
      </c>
      <c r="F109" s="162">
        <f>_xlfn.XLOOKUP(F$108,'Agriculture - Calcul'!$E$69:$AJ$69,'Agriculture - Calcul'!$E71:$AJ71)</f>
        <v>108537</v>
      </c>
      <c r="G109" s="162">
        <f>_xlfn.XLOOKUP(G$108,'Agriculture - Calcul'!$E$69:$AJ$69,'Agriculture - Calcul'!$E71:$AJ71)</f>
        <v>108099</v>
      </c>
    </row>
    <row r="110" spans="2:7" s="684" customFormat="1" x14ac:dyDescent="0.35">
      <c r="B110" s="684" t="s">
        <v>764</v>
      </c>
      <c r="C110" s="162">
        <f>_xlfn.XLOOKUP(C$108,'Agriculture - Calcul'!$E$69:$AJ$69,'Agriculture - Calcul'!$E70:$AJ70)</f>
        <v>1066980</v>
      </c>
      <c r="D110" s="162"/>
      <c r="E110" s="162">
        <f>_xlfn.XLOOKUP(E$108,'Agriculture - Calcul'!$E$69:$AJ$69,'Agriculture - Calcul'!$E70:$AJ70)</f>
        <v>1049725</v>
      </c>
      <c r="F110" s="162">
        <f>_xlfn.XLOOKUP(F$108,'Agriculture - Calcul'!$E$69:$AJ$69,'Agriculture - Calcul'!$E70:$AJ70)</f>
        <v>1043729</v>
      </c>
      <c r="G110" s="162">
        <f>_xlfn.XLOOKUP(G$108,'Agriculture - Calcul'!$E$69:$AJ$69,'Agriculture - Calcul'!$E70:$AJ70)</f>
        <v>1042030</v>
      </c>
    </row>
    <row r="111" spans="2:7" x14ac:dyDescent="0.35">
      <c r="B111" t="s">
        <v>124</v>
      </c>
      <c r="C111" s="694">
        <f>C109/C110</f>
        <v>0.10200097471367786</v>
      </c>
      <c r="D111" s="694"/>
      <c r="E111" s="694">
        <f t="shared" ref="E111:G111" si="10">E109/E110</f>
        <v>0.10361189835433089</v>
      </c>
      <c r="F111" s="694">
        <f t="shared" si="10"/>
        <v>0.10398963715677154</v>
      </c>
      <c r="G111" s="694">
        <f t="shared" si="10"/>
        <v>0.10373885588706659</v>
      </c>
    </row>
    <row r="112" spans="2:7" x14ac:dyDescent="0.35">
      <c r="B112" s="107" t="s">
        <v>417</v>
      </c>
      <c r="C112" s="178">
        <f>C111*C102*1000</f>
        <v>54098.256958893333</v>
      </c>
      <c r="D112" s="697"/>
      <c r="E112" s="178">
        <f t="shared" ref="E112:G112" si="11">E111*E102*1000</f>
        <v>208056.8363714306</v>
      </c>
      <c r="F112" s="178">
        <f t="shared" si="11"/>
        <v>-88666.764121721237</v>
      </c>
      <c r="G112" s="178">
        <f t="shared" si="11"/>
        <v>53427.585558957035</v>
      </c>
    </row>
    <row r="113" spans="2:7" s="684" customFormat="1" x14ac:dyDescent="0.35">
      <c r="C113" s="39"/>
      <c r="D113" s="687"/>
      <c r="E113" s="39"/>
      <c r="F113" s="39"/>
      <c r="G113" s="39"/>
    </row>
    <row r="114" spans="2:7" s="684" customFormat="1" x14ac:dyDescent="0.35">
      <c r="B114" s="124" t="s">
        <v>415</v>
      </c>
      <c r="C114" s="39"/>
      <c r="D114" s="39"/>
      <c r="E114" s="39"/>
      <c r="F114" s="39"/>
      <c r="G114" s="39"/>
    </row>
    <row r="115" spans="2:7" s="684" customFormat="1" x14ac:dyDescent="0.35">
      <c r="B115" s="82" t="s">
        <v>765</v>
      </c>
      <c r="C115" s="693">
        <v>1990</v>
      </c>
      <c r="D115" s="693"/>
      <c r="E115" s="693">
        <v>2015</v>
      </c>
      <c r="F115" s="693">
        <v>2019</v>
      </c>
      <c r="G115" s="693">
        <v>2023</v>
      </c>
    </row>
    <row r="116" spans="2:7" s="684" customFormat="1" x14ac:dyDescent="0.35">
      <c r="B116" s="684" t="s">
        <v>766</v>
      </c>
      <c r="C116" s="162">
        <v>27356</v>
      </c>
      <c r="D116" s="162"/>
      <c r="E116" s="162">
        <v>28200</v>
      </c>
      <c r="F116" s="162">
        <v>28200</v>
      </c>
      <c r="G116" s="162">
        <v>27809</v>
      </c>
    </row>
    <row r="117" spans="2:7" s="684" customFormat="1" x14ac:dyDescent="0.35">
      <c r="B117" s="684" t="s">
        <v>767</v>
      </c>
      <c r="C117" s="162">
        <v>503963</v>
      </c>
      <c r="D117" s="162"/>
      <c r="E117" s="162">
        <v>523765</v>
      </c>
      <c r="F117" s="162">
        <v>523765</v>
      </c>
      <c r="G117" s="162">
        <v>523765</v>
      </c>
    </row>
    <row r="118" spans="2:7" s="684" customFormat="1" x14ac:dyDescent="0.35">
      <c r="B118" s="684" t="s">
        <v>124</v>
      </c>
      <c r="C118" s="162">
        <f>C116/C117</f>
        <v>5.4281762748455739E-2</v>
      </c>
      <c r="D118" s="694"/>
      <c r="E118" s="694">
        <f t="shared" ref="E118" si="12">E116/E117</f>
        <v>5.3840940116273522E-2</v>
      </c>
      <c r="F118" s="694">
        <f t="shared" ref="F118" si="13">F116/F117</f>
        <v>5.3840940116273522E-2</v>
      </c>
      <c r="G118" s="694">
        <f t="shared" ref="G118" si="14">G116/G117</f>
        <v>5.3094422116789018E-2</v>
      </c>
    </row>
    <row r="119" spans="2:7" x14ac:dyDescent="0.35">
      <c r="B119" s="107" t="s">
        <v>417</v>
      </c>
      <c r="C119" s="178">
        <f t="shared" ref="C119" si="15">C118*C103*1000</f>
        <v>-23808.52395910017</v>
      </c>
      <c r="D119" s="178">
        <f t="shared" ref="D119" si="16">D118*D103*1000</f>
        <v>0</v>
      </c>
      <c r="E119" s="178">
        <f t="shared" ref="E119:G119" si="17">E118*E103*1000</f>
        <v>107159.08470401802</v>
      </c>
      <c r="F119" s="178">
        <f t="shared" si="17"/>
        <v>317.12313728485105</v>
      </c>
      <c r="G119" s="178">
        <f t="shared" si="17"/>
        <v>40163.806554466217</v>
      </c>
    </row>
    <row r="120" spans="2:7" s="684" customFormat="1" x14ac:dyDescent="0.35">
      <c r="C120" s="39"/>
      <c r="D120" s="39"/>
      <c r="E120" s="39"/>
      <c r="F120" s="39"/>
      <c r="G120" s="39"/>
    </row>
    <row r="121" spans="2:7" x14ac:dyDescent="0.35">
      <c r="B121" s="124" t="s">
        <v>415</v>
      </c>
      <c r="C121" s="39"/>
      <c r="D121" s="39"/>
      <c r="E121" s="39"/>
      <c r="F121" s="39"/>
      <c r="G121" s="39"/>
    </row>
    <row r="122" spans="2:7" x14ac:dyDescent="0.35">
      <c r="B122" s="82" t="s">
        <v>412</v>
      </c>
      <c r="C122" s="693">
        <v>1990</v>
      </c>
      <c r="D122" s="693"/>
      <c r="E122" s="693">
        <v>2015</v>
      </c>
      <c r="F122" s="693">
        <v>2019</v>
      </c>
      <c r="G122" s="693">
        <v>2022</v>
      </c>
    </row>
    <row r="123" spans="2:7" x14ac:dyDescent="0.35">
      <c r="B123" t="s">
        <v>413</v>
      </c>
      <c r="C123" s="162"/>
      <c r="D123" s="162"/>
      <c r="E123" s="162">
        <v>1001</v>
      </c>
      <c r="F123" s="162">
        <v>1001</v>
      </c>
      <c r="G123" s="162">
        <v>936</v>
      </c>
    </row>
    <row r="124" spans="2:7" x14ac:dyDescent="0.35">
      <c r="B124" t="s">
        <v>414</v>
      </c>
      <c r="C124" s="162"/>
      <c r="D124" s="162"/>
      <c r="E124" s="162">
        <f>188.22*1000</f>
        <v>188220</v>
      </c>
      <c r="F124" s="162">
        <f>188.34*1000</f>
        <v>188340</v>
      </c>
      <c r="G124" s="162">
        <f>188.43*1000</f>
        <v>188430</v>
      </c>
    </row>
    <row r="125" spans="2:7" x14ac:dyDescent="0.35">
      <c r="B125" t="s">
        <v>124</v>
      </c>
      <c r="C125" s="162"/>
      <c r="D125" s="162"/>
      <c r="E125" s="694">
        <f>E123/E124</f>
        <v>5.3182446073743493E-3</v>
      </c>
      <c r="F125" s="694">
        <f t="shared" ref="F125:G125" si="18">F123/F124</f>
        <v>5.3148561112880957E-3</v>
      </c>
      <c r="G125" s="694">
        <f t="shared" si="18"/>
        <v>4.9673618850501512E-3</v>
      </c>
    </row>
    <row r="126" spans="2:7" x14ac:dyDescent="0.35">
      <c r="B126" s="107" t="s">
        <v>417</v>
      </c>
      <c r="C126" s="178"/>
      <c r="D126" s="178"/>
      <c r="E126" s="178">
        <f>E125*E104*1000</f>
        <v>886.92365317182032</v>
      </c>
      <c r="F126" s="178">
        <f>F125*F104*1000</f>
        <v>912.82653711373041</v>
      </c>
      <c r="G126" s="178">
        <f>G125*G104*1000</f>
        <v>802.27861805444991</v>
      </c>
    </row>
    <row r="127" spans="2:7" x14ac:dyDescent="0.35">
      <c r="C127" s="39"/>
      <c r="D127" s="39"/>
      <c r="E127" s="39"/>
      <c r="F127" s="39"/>
      <c r="G127" s="39"/>
    </row>
    <row r="128" spans="2:7" x14ac:dyDescent="0.35">
      <c r="C128" s="39"/>
      <c r="D128" s="39"/>
      <c r="E128" s="39"/>
      <c r="F128" s="39"/>
      <c r="G128" s="39"/>
    </row>
    <row r="129" spans="2:9" x14ac:dyDescent="0.35">
      <c r="B129" s="124" t="s">
        <v>415</v>
      </c>
      <c r="C129" s="39"/>
      <c r="D129" s="39"/>
      <c r="E129" s="39"/>
      <c r="F129" s="39"/>
      <c r="G129" s="39"/>
    </row>
    <row r="130" spans="2:9" x14ac:dyDescent="0.35">
      <c r="B130" s="82" t="s">
        <v>416</v>
      </c>
      <c r="C130" s="693">
        <v>1990</v>
      </c>
      <c r="D130" s="693"/>
      <c r="E130" s="693">
        <v>2015</v>
      </c>
      <c r="F130" s="693">
        <v>2019</v>
      </c>
      <c r="G130" s="693">
        <v>2022</v>
      </c>
      <c r="H130" s="124" t="s">
        <v>770</v>
      </c>
      <c r="I130" s="124"/>
    </row>
    <row r="131" spans="2:9" x14ac:dyDescent="0.35">
      <c r="B131" t="s">
        <v>413</v>
      </c>
      <c r="C131" s="162"/>
      <c r="D131" s="162"/>
      <c r="E131" s="162">
        <v>32111</v>
      </c>
      <c r="F131" s="162">
        <v>32111</v>
      </c>
      <c r="G131" s="162">
        <v>33303</v>
      </c>
    </row>
    <row r="132" spans="2:9" x14ac:dyDescent="0.35">
      <c r="B132" t="s">
        <v>414</v>
      </c>
      <c r="C132" s="162"/>
      <c r="D132" s="162"/>
      <c r="E132" s="162">
        <f>327.3*1000</f>
        <v>327300</v>
      </c>
      <c r="F132" s="162">
        <f>334.65*1000</f>
        <v>334650</v>
      </c>
      <c r="G132" s="162">
        <f>340.46*1000</f>
        <v>340460</v>
      </c>
    </row>
    <row r="133" spans="2:9" x14ac:dyDescent="0.35">
      <c r="B133" t="s">
        <v>124</v>
      </c>
      <c r="C133" s="162"/>
      <c r="D133" s="162"/>
      <c r="E133" s="694">
        <f>E131/E132</f>
        <v>9.8108768713718306E-2</v>
      </c>
      <c r="F133" s="694">
        <f t="shared" ref="F133:G133" si="19">F131/F132</f>
        <v>9.5953981772000596E-2</v>
      </c>
      <c r="G133" s="694">
        <f t="shared" si="19"/>
        <v>9.7817658462080709E-2</v>
      </c>
    </row>
    <row r="134" spans="2:9" x14ac:dyDescent="0.35">
      <c r="B134" s="107" t="s">
        <v>417</v>
      </c>
      <c r="C134" s="178"/>
      <c r="D134" s="178"/>
      <c r="E134" s="178">
        <f>E133*1000*E105</f>
        <v>15884.79074243813</v>
      </c>
      <c r="F134" s="178">
        <f>F133*1000*F105</f>
        <v>14630.103600776933</v>
      </c>
      <c r="G134" s="178">
        <f>G133*1000*G105</f>
        <v>11053.395406215121</v>
      </c>
    </row>
    <row r="138" spans="2:9" s="333" customFormat="1" x14ac:dyDescent="0.35">
      <c r="B138" s="82" t="s">
        <v>780</v>
      </c>
    </row>
    <row r="140" spans="2:9" x14ac:dyDescent="0.35">
      <c r="B140" s="268"/>
      <c r="C140" s="268">
        <v>2015</v>
      </c>
      <c r="D140" s="268">
        <v>2019</v>
      </c>
      <c r="E140" s="268">
        <v>2023</v>
      </c>
    </row>
    <row r="141" spans="2:9" x14ac:dyDescent="0.35">
      <c r="B141" s="162" t="str">
        <f>'Forêt et sols - Emissions'!C10</f>
        <v xml:space="preserve">Surfaces forestières </v>
      </c>
      <c r="C141" s="162">
        <f>'Forêt et sols - Emissions'!I46</f>
        <v>-197538.46491091768</v>
      </c>
      <c r="D141" s="162">
        <f>'Forêt et sols - Emissions'!I29</f>
        <v>-90243.098718632202</v>
      </c>
      <c r="E141" s="162">
        <f>'Forêt et sols - Emissions'!I13</f>
        <v>65291.909429579813</v>
      </c>
    </row>
    <row r="142" spans="2:9" x14ac:dyDescent="0.35">
      <c r="B142" t="s">
        <v>771</v>
      </c>
      <c r="C142" s="162">
        <f>'Forêt et sols - Emissions'!I47</f>
        <v>208056.8363714306</v>
      </c>
      <c r="D142" s="162">
        <f>'Forêt et sols - Emissions'!E30</f>
        <v>-88666.764121721237</v>
      </c>
      <c r="E142" s="162">
        <f>'Forêt et sols - Emissions'!E14</f>
        <v>53427.585558957035</v>
      </c>
    </row>
    <row r="143" spans="2:9" s="684" customFormat="1" x14ac:dyDescent="0.35">
      <c r="B143" s="684" t="s">
        <v>772</v>
      </c>
      <c r="C143" s="162">
        <f>'Forêt et sols - Emissions'!E48</f>
        <v>107159.08470401802</v>
      </c>
      <c r="D143" s="162">
        <f>'Forêt et sols - Emissions'!E31</f>
        <v>317.12313728485105</v>
      </c>
      <c r="E143" s="162">
        <f>'Forêt et sols - Emissions'!E15</f>
        <v>40163.806554466217</v>
      </c>
    </row>
    <row r="144" spans="2:9" x14ac:dyDescent="0.35">
      <c r="B144" t="str">
        <f>'Forêt et sols - Emissions'!C17</f>
        <v>Autres</v>
      </c>
      <c r="C144" s="162">
        <f>'Forêt et sols - Emissions'!I52</f>
        <v>16771.71439560995</v>
      </c>
      <c r="D144" s="162">
        <f>'Forêt et sols - Emissions'!I35</f>
        <v>15542.930137890664</v>
      </c>
      <c r="E144" s="162">
        <f>'Forêt et sols - Emissions'!I19</f>
        <v>11855.674024269571</v>
      </c>
    </row>
    <row r="145" spans="2:5" x14ac:dyDescent="0.35">
      <c r="B145" t="s">
        <v>267</v>
      </c>
      <c r="C145" s="162">
        <f>SUM(C141:C144)</f>
        <v>134449.17056014089</v>
      </c>
      <c r="D145" s="162">
        <f t="shared" ref="D145:E145" si="20">SUM(D141:D144)</f>
        <v>-163049.80956517794</v>
      </c>
      <c r="E145" s="162">
        <f t="shared" si="20"/>
        <v>170738.97556727263</v>
      </c>
    </row>
    <row r="147" spans="2:5" x14ac:dyDescent="0.35">
      <c r="D147" s="162"/>
    </row>
  </sheetData>
  <mergeCells count="6">
    <mergeCell ref="W39:X39"/>
    <mergeCell ref="M39:N39"/>
    <mergeCell ref="O39:P39"/>
    <mergeCell ref="Q39:R39"/>
    <mergeCell ref="S39:T39"/>
    <mergeCell ref="U39:V39"/>
  </mergeCells>
  <phoneticPr fontId="16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70739-8E5A-43D2-81CC-2FB5D417BA31}">
  <dimension ref="B2:L35"/>
  <sheetViews>
    <sheetView workbookViewId="0">
      <selection activeCell="I29" sqref="I29"/>
    </sheetView>
  </sheetViews>
  <sheetFormatPr baseColWidth="10" defaultRowHeight="14.5" x14ac:dyDescent="0.35"/>
  <cols>
    <col min="2" max="2" width="32.7265625" customWidth="1"/>
    <col min="3" max="3" width="20.81640625" customWidth="1"/>
    <col min="4" max="4" width="17.81640625" customWidth="1"/>
    <col min="9" max="9" width="11.81640625" bestFit="1" customWidth="1"/>
  </cols>
  <sheetData>
    <row r="2" spans="2:12" s="133" customFormat="1" ht="31" x14ac:dyDescent="0.7">
      <c r="B2" s="134" t="s">
        <v>128</v>
      </c>
    </row>
    <row r="5" spans="2:12" x14ac:dyDescent="0.35">
      <c r="B5" s="124" t="s">
        <v>121</v>
      </c>
      <c r="H5" s="124" t="s">
        <v>494</v>
      </c>
    </row>
    <row r="6" spans="2:12" ht="15" thickBot="1" x14ac:dyDescent="0.4">
      <c r="B6" s="126"/>
      <c r="C6" s="291">
        <v>1990</v>
      </c>
      <c r="D6" s="292">
        <v>2015</v>
      </c>
      <c r="E6" s="292">
        <v>2019</v>
      </c>
      <c r="F6" s="292">
        <v>2023</v>
      </c>
      <c r="H6" s="126" t="s">
        <v>283</v>
      </c>
      <c r="I6" s="291">
        <v>2015</v>
      </c>
      <c r="J6" s="292">
        <v>2019</v>
      </c>
      <c r="K6" s="292">
        <v>2023</v>
      </c>
    </row>
    <row r="7" spans="2:12" ht="15" thickTop="1" x14ac:dyDescent="0.35">
      <c r="B7" s="127" t="s">
        <v>21</v>
      </c>
      <c r="C7" s="135">
        <v>583625</v>
      </c>
      <c r="D7" s="127">
        <v>773804</v>
      </c>
      <c r="E7" s="127">
        <v>806088</v>
      </c>
      <c r="F7" s="127">
        <v>846303</v>
      </c>
      <c r="H7" s="127" t="s">
        <v>21</v>
      </c>
      <c r="I7" s="419">
        <v>723747</v>
      </c>
      <c r="J7" s="420">
        <v>754120</v>
      </c>
      <c r="K7" s="420">
        <v>794456</v>
      </c>
    </row>
    <row r="8" spans="2:12" x14ac:dyDescent="0.35">
      <c r="B8" s="127" t="s">
        <v>123</v>
      </c>
      <c r="C8" s="135">
        <v>6750693</v>
      </c>
      <c r="D8" s="127">
        <v>8327126</v>
      </c>
      <c r="E8" s="127">
        <v>8606033</v>
      </c>
      <c r="F8" s="127">
        <v>8962258</v>
      </c>
      <c r="H8" s="127" t="s">
        <v>29</v>
      </c>
      <c r="I8" s="135">
        <v>7819119</v>
      </c>
      <c r="J8" s="127">
        <v>8080133</v>
      </c>
      <c r="K8" s="127">
        <v>8440930</v>
      </c>
    </row>
    <row r="9" spans="2:12" x14ac:dyDescent="0.35">
      <c r="B9" s="125" t="s">
        <v>124</v>
      </c>
      <c r="C9" s="128">
        <f>C7/C8</f>
        <v>8.6454087010029934E-2</v>
      </c>
      <c r="D9" s="128">
        <f t="shared" ref="D9:F9" si="0">D7/D8</f>
        <v>9.2925698494294426E-2</v>
      </c>
      <c r="E9" s="128">
        <f t="shared" si="0"/>
        <v>9.366545538461217E-2</v>
      </c>
      <c r="F9" s="957">
        <f t="shared" si="0"/>
        <v>9.4429662703305356E-2</v>
      </c>
      <c r="H9" s="128" t="s">
        <v>124</v>
      </c>
      <c r="I9" s="128">
        <f>I7/I8</f>
        <v>9.2561195193473847E-2</v>
      </c>
      <c r="J9" s="128">
        <f t="shared" ref="J9:K9" si="1">J7/J8</f>
        <v>9.3330146917136148E-2</v>
      </c>
      <c r="K9" s="128">
        <f t="shared" si="1"/>
        <v>9.4119486833796756E-2</v>
      </c>
    </row>
    <row r="11" spans="2:12" x14ac:dyDescent="0.35">
      <c r="B11" s="124" t="s">
        <v>252</v>
      </c>
    </row>
    <row r="12" spans="2:12" ht="15" thickBot="1" x14ac:dyDescent="0.4">
      <c r="B12" s="126"/>
      <c r="C12" s="291">
        <v>1990</v>
      </c>
      <c r="D12" s="292">
        <v>2015</v>
      </c>
      <c r="E12" s="292">
        <v>2019</v>
      </c>
      <c r="F12" s="292">
        <v>2023</v>
      </c>
    </row>
    <row r="13" spans="2:12" ht="15" thickTop="1" x14ac:dyDescent="0.35">
      <c r="B13" s="127" t="s">
        <v>21</v>
      </c>
      <c r="C13" s="135"/>
      <c r="D13" s="135">
        <v>53575</v>
      </c>
      <c r="E13" s="135">
        <v>58635</v>
      </c>
      <c r="F13" s="135">
        <v>64500</v>
      </c>
    </row>
    <row r="14" spans="2:12" x14ac:dyDescent="0.35">
      <c r="B14" s="127" t="s">
        <v>123</v>
      </c>
      <c r="C14" s="135"/>
      <c r="D14" s="127">
        <v>668006</v>
      </c>
      <c r="E14" s="127">
        <v>716879</v>
      </c>
      <c r="F14" s="127">
        <v>791087</v>
      </c>
    </row>
    <row r="15" spans="2:12" x14ac:dyDescent="0.35">
      <c r="B15" s="127" t="s">
        <v>124</v>
      </c>
      <c r="C15" s="125"/>
      <c r="D15" s="128">
        <f>D13/D14</f>
        <v>8.0201375436747574E-2</v>
      </c>
      <c r="E15" s="128">
        <f t="shared" ref="E15:F15" si="2">E13/E14</f>
        <v>8.179204579852388E-2</v>
      </c>
      <c r="F15" s="128">
        <f t="shared" si="2"/>
        <v>8.1533383812399898E-2</v>
      </c>
    </row>
    <row r="16" spans="2:12" x14ac:dyDescent="0.35">
      <c r="L16" s="177"/>
    </row>
    <row r="17" spans="2:12" s="684" customFormat="1" x14ac:dyDescent="0.35">
      <c r="B17" s="124" t="s">
        <v>830</v>
      </c>
      <c r="L17" s="177"/>
    </row>
    <row r="18" spans="2:12" s="684" customFormat="1" ht="15" thickBot="1" x14ac:dyDescent="0.4">
      <c r="B18" s="126"/>
      <c r="C18" s="291">
        <v>1990</v>
      </c>
      <c r="D18" s="292">
        <v>2015</v>
      </c>
      <c r="E18" s="292">
        <v>2019</v>
      </c>
      <c r="F18" s="292">
        <v>2023</v>
      </c>
      <c r="L18" s="177"/>
    </row>
    <row r="19" spans="2:12" s="684" customFormat="1" ht="15" thickTop="1" x14ac:dyDescent="0.35">
      <c r="B19" s="703" t="s">
        <v>21</v>
      </c>
      <c r="C19" s="713"/>
      <c r="D19" s="714">
        <f>6644/2.22</f>
        <v>2992.7927927927926</v>
      </c>
      <c r="E19" s="714">
        <f>6898/2.25</f>
        <v>3065.7777777777778</v>
      </c>
      <c r="F19" s="714">
        <f>6733/2.17</f>
        <v>3102.7649769585255</v>
      </c>
      <c r="L19" s="177"/>
    </row>
    <row r="20" spans="2:12" s="684" customFormat="1" x14ac:dyDescent="0.35">
      <c r="B20" s="703" t="s">
        <v>123</v>
      </c>
      <c r="C20" s="713"/>
      <c r="D20" s="714">
        <f>6595/2.14</f>
        <v>3081.7757009345792</v>
      </c>
      <c r="E20" s="714">
        <f>6630/2.11</f>
        <v>3142.18009478673</v>
      </c>
      <c r="F20" s="714">
        <f>6744/2.1</f>
        <v>3211.4285714285711</v>
      </c>
      <c r="L20" s="177"/>
    </row>
    <row r="21" spans="2:12" s="684" customFormat="1" x14ac:dyDescent="0.35">
      <c r="B21" s="703" t="s">
        <v>124</v>
      </c>
      <c r="C21" s="703"/>
      <c r="D21" s="704">
        <f>D19/D20</f>
        <v>0.97112609197522015</v>
      </c>
      <c r="E21" s="704">
        <f t="shared" ref="E21:F21" si="3">E19/E20</f>
        <v>0.97568493380258081</v>
      </c>
      <c r="F21" s="704">
        <f t="shared" si="3"/>
        <v>0.96616347147285053</v>
      </c>
      <c r="L21" s="177"/>
    </row>
    <row r="22" spans="2:12" s="684" customFormat="1" x14ac:dyDescent="0.35">
      <c r="L22" s="177"/>
    </row>
    <row r="23" spans="2:12" x14ac:dyDescent="0.35">
      <c r="B23" s="961" t="s">
        <v>882</v>
      </c>
    </row>
    <row r="24" spans="2:12" ht="15" thickBot="1" x14ac:dyDescent="0.4">
      <c r="B24" s="378" t="s">
        <v>400</v>
      </c>
      <c r="C24" s="379" t="s">
        <v>401</v>
      </c>
      <c r="D24" s="379" t="s">
        <v>795</v>
      </c>
    </row>
    <row r="25" spans="2:12" ht="15" thickTop="1" x14ac:dyDescent="0.35">
      <c r="B25" s="380" t="s">
        <v>171</v>
      </c>
      <c r="C25" s="381">
        <f>11.83+4.89</f>
        <v>16.72</v>
      </c>
      <c r="D25" s="381">
        <v>11.23</v>
      </c>
      <c r="E25" s="684"/>
      <c r="G25" s="684"/>
      <c r="H25" s="684"/>
      <c r="J25" s="684"/>
    </row>
    <row r="26" spans="2:12" x14ac:dyDescent="0.35">
      <c r="B26" s="380" t="s">
        <v>402</v>
      </c>
      <c r="C26" s="699">
        <f>C27+C28</f>
        <v>14.89</v>
      </c>
      <c r="D26" s="699">
        <v>15.47</v>
      </c>
      <c r="E26" s="684"/>
      <c r="G26" s="684"/>
      <c r="H26" s="684"/>
      <c r="J26" s="684"/>
      <c r="L26" s="177"/>
    </row>
    <row r="27" spans="2:12" s="413" customFormat="1" x14ac:dyDescent="0.35">
      <c r="B27" s="570" t="s">
        <v>691</v>
      </c>
      <c r="C27" s="571">
        <v>11.63</v>
      </c>
      <c r="D27" s="571">
        <v>11.87</v>
      </c>
      <c r="E27" s="684"/>
      <c r="G27" s="684"/>
      <c r="H27" s="684"/>
      <c r="J27" s="684"/>
    </row>
    <row r="28" spans="2:12" s="413" customFormat="1" x14ac:dyDescent="0.35">
      <c r="B28" s="570" t="s">
        <v>692</v>
      </c>
      <c r="C28" s="571">
        <f>2.41+0.6+0.25</f>
        <v>3.2600000000000002</v>
      </c>
      <c r="D28" s="571">
        <f>2.84+0.62+0.14</f>
        <v>3.6</v>
      </c>
      <c r="E28" s="684"/>
      <c r="J28" s="684"/>
    </row>
    <row r="29" spans="2:12" x14ac:dyDescent="0.35">
      <c r="B29" s="380" t="s">
        <v>135</v>
      </c>
      <c r="C29" s="381">
        <v>13.26</v>
      </c>
      <c r="D29" s="381">
        <v>11.02</v>
      </c>
      <c r="E29" s="684"/>
    </row>
    <row r="30" spans="2:12" x14ac:dyDescent="0.35">
      <c r="B30" s="380" t="s">
        <v>403</v>
      </c>
      <c r="C30" s="381">
        <v>7.87</v>
      </c>
      <c r="D30" s="381">
        <v>6.81</v>
      </c>
      <c r="E30" s="684"/>
    </row>
    <row r="31" spans="2:12" x14ac:dyDescent="0.35">
      <c r="B31" s="380" t="s">
        <v>166</v>
      </c>
      <c r="C31" s="381">
        <f>0.25+2.25</f>
        <v>2.5</v>
      </c>
      <c r="D31" s="381">
        <v>2.88</v>
      </c>
      <c r="E31" s="684"/>
    </row>
    <row r="32" spans="2:12" x14ac:dyDescent="0.35">
      <c r="B32" s="382"/>
      <c r="C32" s="383"/>
      <c r="D32" s="384"/>
    </row>
    <row r="33" spans="2:7" x14ac:dyDescent="0.35">
      <c r="G33" s="698"/>
    </row>
    <row r="35" spans="2:7" x14ac:dyDescent="0.35">
      <c r="B35" s="413"/>
      <c r="C35" s="413"/>
      <c r="D35" s="413"/>
    </row>
  </sheetData>
  <sheetProtection algorithmName="SHA-512" hashValue="osKZiJV6erN2rhcwn3Lecb9KwsHUV3PVmTICzUucanNmJEbIcFjw4Ikb0mfl/5/aj+6GCmH+MX1A/uCOcVNDDw==" saltValue="wjbEfPDqAhhxgc+kf92kTA==" spinCount="100000" sheet="1" objects="1" scenarios="1"/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28CC-4B56-4975-B579-21832009E9EE}">
  <dimension ref="B2:O37"/>
  <sheetViews>
    <sheetView topLeftCell="D1" workbookViewId="0">
      <selection activeCell="H21" sqref="H21"/>
    </sheetView>
  </sheetViews>
  <sheetFormatPr baseColWidth="10" defaultRowHeight="14.5" x14ac:dyDescent="0.35"/>
  <cols>
    <col min="1" max="1" width="4.26953125" customWidth="1"/>
    <col min="2" max="2" width="80.7265625" customWidth="1"/>
    <col min="3" max="3" width="18.7265625" customWidth="1"/>
    <col min="4" max="6" width="19.81640625" customWidth="1"/>
    <col min="7" max="7" width="21" style="107" customWidth="1"/>
    <col min="8" max="10" width="21" customWidth="1"/>
    <col min="11" max="11" width="23.7265625" style="107" customWidth="1"/>
    <col min="12" max="14" width="18.7265625" customWidth="1"/>
    <col min="15" max="15" width="19.81640625" style="107" customWidth="1"/>
  </cols>
  <sheetData>
    <row r="2" spans="2:15" s="118" customFormat="1" ht="36" x14ac:dyDescent="0.8">
      <c r="B2" s="120" t="s">
        <v>119</v>
      </c>
      <c r="G2" s="119"/>
      <c r="K2" s="119"/>
      <c r="O2" s="119"/>
    </row>
    <row r="3" spans="2:15" x14ac:dyDescent="0.35">
      <c r="B3" t="s">
        <v>117</v>
      </c>
    </row>
    <row r="5" spans="2:15" ht="15" thickBot="1" x14ac:dyDescent="0.4">
      <c r="B5" s="124" t="s">
        <v>171</v>
      </c>
      <c r="D5" s="1011" t="s">
        <v>114</v>
      </c>
      <c r="E5" s="1011"/>
      <c r="F5" s="1011"/>
      <c r="G5" s="1011"/>
      <c r="H5" s="1011" t="s">
        <v>116</v>
      </c>
      <c r="I5" s="1011"/>
      <c r="J5" s="1011"/>
      <c r="K5" s="1011"/>
      <c r="L5" s="1011" t="s">
        <v>115</v>
      </c>
      <c r="M5" s="1011"/>
      <c r="N5" s="1011"/>
      <c r="O5" s="1011"/>
    </row>
    <row r="6" spans="2:15" ht="15" thickBot="1" x14ac:dyDescent="0.4">
      <c r="B6" s="91" t="s">
        <v>97</v>
      </c>
      <c r="C6" s="92" t="s">
        <v>98</v>
      </c>
      <c r="D6" s="92" t="s">
        <v>48</v>
      </c>
      <c r="E6" s="92" t="s">
        <v>3</v>
      </c>
      <c r="F6" s="92" t="s">
        <v>50</v>
      </c>
      <c r="G6" s="108" t="s">
        <v>100</v>
      </c>
      <c r="H6" s="99" t="s">
        <v>48</v>
      </c>
      <c r="I6" s="99" t="s">
        <v>3</v>
      </c>
      <c r="J6" s="99" t="s">
        <v>50</v>
      </c>
      <c r="K6" s="114" t="s">
        <v>101</v>
      </c>
      <c r="L6" s="92" t="s">
        <v>48</v>
      </c>
      <c r="M6" s="92" t="s">
        <v>3</v>
      </c>
      <c r="N6" s="92" t="s">
        <v>50</v>
      </c>
      <c r="O6" s="108" t="s">
        <v>99</v>
      </c>
    </row>
    <row r="7" spans="2:15" ht="15" thickTop="1" x14ac:dyDescent="0.35">
      <c r="B7" s="102" t="s">
        <v>102</v>
      </c>
      <c r="C7" s="103" t="s">
        <v>103</v>
      </c>
      <c r="D7" s="93">
        <f>G7</f>
        <v>0.2651</v>
      </c>
      <c r="E7" s="93">
        <v>0</v>
      </c>
      <c r="F7" s="93">
        <v>0</v>
      </c>
      <c r="G7" s="109">
        <v>0.2651</v>
      </c>
      <c r="H7" s="100">
        <f>K7</f>
        <v>5.8900000000000008E-2</v>
      </c>
      <c r="I7" s="100">
        <v>0</v>
      </c>
      <c r="J7" s="100">
        <v>0</v>
      </c>
      <c r="K7" s="115">
        <f t="shared" ref="K7:K18" si="0">O7-G7</f>
        <v>5.8900000000000008E-2</v>
      </c>
      <c r="L7" s="93">
        <f>O7</f>
        <v>0.32400000000000001</v>
      </c>
      <c r="M7" s="93">
        <v>0</v>
      </c>
      <c r="N7" s="93">
        <v>0</v>
      </c>
      <c r="O7" s="109">
        <v>0.32400000000000001</v>
      </c>
    </row>
    <row r="8" spans="2:15" x14ac:dyDescent="0.35">
      <c r="B8" s="104" t="s">
        <v>104</v>
      </c>
      <c r="C8" s="103" t="s">
        <v>103</v>
      </c>
      <c r="D8" s="958">
        <f t="shared" ref="D8:D19" si="1">G8</f>
        <v>0.20119999999999999</v>
      </c>
      <c r="E8" s="93">
        <v>0</v>
      </c>
      <c r="F8" s="93">
        <v>0</v>
      </c>
      <c r="G8" s="110">
        <v>0.20119999999999999</v>
      </c>
      <c r="H8" s="100">
        <f t="shared" ref="H8:H18" si="2">K8</f>
        <v>2.880000000000002E-2</v>
      </c>
      <c r="I8" s="100">
        <v>0</v>
      </c>
      <c r="J8" s="100">
        <v>0</v>
      </c>
      <c r="K8" s="115">
        <f t="shared" si="0"/>
        <v>2.880000000000002E-2</v>
      </c>
      <c r="L8" s="93">
        <f t="shared" ref="L8:L18" si="3">O8</f>
        <v>0.23</v>
      </c>
      <c r="M8" s="93">
        <v>0</v>
      </c>
      <c r="N8" s="93">
        <v>0</v>
      </c>
      <c r="O8" s="110">
        <v>0.23</v>
      </c>
    </row>
    <row r="9" spans="2:15" s="684" customFormat="1" x14ac:dyDescent="0.35">
      <c r="B9" s="104" t="s">
        <v>821</v>
      </c>
      <c r="C9" s="103" t="s">
        <v>103</v>
      </c>
      <c r="D9" s="93">
        <f>G9</f>
        <v>0.20303983756812993</v>
      </c>
      <c r="E9" s="93">
        <v>0</v>
      </c>
      <c r="F9" s="93">
        <v>0</v>
      </c>
      <c r="G9" s="110">
        <f>56.4/277778 *1000</f>
        <v>0.20303983756812993</v>
      </c>
      <c r="H9" s="100">
        <f>H8</f>
        <v>2.880000000000002E-2</v>
      </c>
      <c r="I9" s="100">
        <v>0</v>
      </c>
      <c r="J9" s="100">
        <v>0</v>
      </c>
      <c r="K9" s="115">
        <f t="shared" si="0"/>
        <v>2.4839980128015859E-2</v>
      </c>
      <c r="L9" s="93">
        <f>O9</f>
        <v>0.22787981769614579</v>
      </c>
      <c r="M9" s="66">
        <v>0</v>
      </c>
      <c r="N9" s="66">
        <v>0</v>
      </c>
      <c r="O9" s="709">
        <f>0.0633/0.277778</f>
        <v>0.22787981769614579</v>
      </c>
    </row>
    <row r="10" spans="2:15" s="684" customFormat="1" x14ac:dyDescent="0.35">
      <c r="B10" s="104" t="s">
        <v>822</v>
      </c>
      <c r="C10" s="103" t="s">
        <v>103</v>
      </c>
      <c r="D10" s="93">
        <f>0.203</f>
        <v>0.20300000000000001</v>
      </c>
      <c r="E10" s="93">
        <v>0</v>
      </c>
      <c r="F10" s="93">
        <v>0</v>
      </c>
      <c r="G10" s="110">
        <f>56.4/277778 *1000</f>
        <v>0.20303983756812993</v>
      </c>
      <c r="H10" s="100">
        <f>H9</f>
        <v>2.880000000000002E-2</v>
      </c>
      <c r="I10" s="100">
        <v>0</v>
      </c>
      <c r="J10" s="100">
        <v>0</v>
      </c>
      <c r="K10" s="115">
        <f t="shared" si="0"/>
        <v>2.4839980128015859E-2</v>
      </c>
      <c r="L10" s="93">
        <f>O10</f>
        <v>0.22787981769614579</v>
      </c>
      <c r="M10" s="66">
        <v>0</v>
      </c>
      <c r="N10" s="66">
        <v>0</v>
      </c>
      <c r="O10" s="709">
        <f>O9</f>
        <v>0.22787981769614579</v>
      </c>
    </row>
    <row r="11" spans="2:15" x14ac:dyDescent="0.35">
      <c r="B11" s="104" t="s">
        <v>105</v>
      </c>
      <c r="C11" s="103" t="s">
        <v>103</v>
      </c>
      <c r="D11" s="93">
        <f t="shared" si="1"/>
        <v>0</v>
      </c>
      <c r="E11" s="93">
        <v>0</v>
      </c>
      <c r="F11" s="93">
        <v>0</v>
      </c>
      <c r="G11" s="110">
        <v>0</v>
      </c>
      <c r="H11" s="100">
        <f t="shared" si="2"/>
        <v>0.124</v>
      </c>
      <c r="I11" s="100">
        <v>0</v>
      </c>
      <c r="J11" s="100">
        <v>0</v>
      </c>
      <c r="K11" s="115">
        <f t="shared" si="0"/>
        <v>0.124</v>
      </c>
      <c r="L11" s="93">
        <f t="shared" si="3"/>
        <v>0.124</v>
      </c>
      <c r="M11" s="66">
        <v>0</v>
      </c>
      <c r="N11" s="66">
        <v>0</v>
      </c>
      <c r="O11" s="111">
        <v>0.124</v>
      </c>
    </row>
    <row r="12" spans="2:15" x14ac:dyDescent="0.35">
      <c r="B12" s="104" t="s">
        <v>106</v>
      </c>
      <c r="C12" s="103" t="s">
        <v>103</v>
      </c>
      <c r="D12" s="93">
        <f t="shared" si="1"/>
        <v>0</v>
      </c>
      <c r="E12" s="93">
        <v>0</v>
      </c>
      <c r="F12" s="93">
        <v>0</v>
      </c>
      <c r="G12" s="110">
        <v>0</v>
      </c>
      <c r="H12" s="100">
        <f t="shared" si="2"/>
        <v>2.3E-2</v>
      </c>
      <c r="I12" s="100">
        <v>0</v>
      </c>
      <c r="J12" s="100">
        <v>0</v>
      </c>
      <c r="K12" s="115">
        <f t="shared" si="0"/>
        <v>2.3E-2</v>
      </c>
      <c r="L12" s="93">
        <f t="shared" si="3"/>
        <v>2.3E-2</v>
      </c>
      <c r="M12" s="93">
        <v>0</v>
      </c>
      <c r="N12" s="93">
        <v>0</v>
      </c>
      <c r="O12" s="110">
        <v>2.3E-2</v>
      </c>
    </row>
    <row r="13" spans="2:15" x14ac:dyDescent="0.35">
      <c r="B13" s="104" t="s">
        <v>107</v>
      </c>
      <c r="C13" s="103" t="s">
        <v>103</v>
      </c>
      <c r="D13" s="93">
        <f t="shared" si="1"/>
        <v>0</v>
      </c>
      <c r="E13" s="93">
        <v>0</v>
      </c>
      <c r="F13" s="93">
        <v>0</v>
      </c>
      <c r="G13" s="110">
        <v>0</v>
      </c>
      <c r="H13" s="100">
        <f t="shared" si="2"/>
        <v>1.0999999999999999E-2</v>
      </c>
      <c r="I13" s="100">
        <v>0</v>
      </c>
      <c r="J13" s="100">
        <v>0</v>
      </c>
      <c r="K13" s="115">
        <f t="shared" si="0"/>
        <v>1.0999999999999999E-2</v>
      </c>
      <c r="L13" s="93">
        <f t="shared" si="3"/>
        <v>1.0999999999999999E-2</v>
      </c>
      <c r="M13" s="105">
        <v>0</v>
      </c>
      <c r="N13" s="106">
        <v>0</v>
      </c>
      <c r="O13" s="110">
        <v>1.0999999999999999E-2</v>
      </c>
    </row>
    <row r="14" spans="2:15" x14ac:dyDescent="0.35">
      <c r="B14" s="104" t="s">
        <v>108</v>
      </c>
      <c r="C14" s="103" t="s">
        <v>103</v>
      </c>
      <c r="D14" s="93">
        <f t="shared" si="1"/>
        <v>0</v>
      </c>
      <c r="E14" s="93">
        <v>0</v>
      </c>
      <c r="F14" s="93">
        <v>0</v>
      </c>
      <c r="G14" s="110">
        <v>0</v>
      </c>
      <c r="H14" s="100">
        <f t="shared" si="2"/>
        <v>2.8000000000000001E-2</v>
      </c>
      <c r="I14" s="100">
        <v>0</v>
      </c>
      <c r="J14" s="100">
        <v>0</v>
      </c>
      <c r="K14" s="115">
        <f t="shared" si="0"/>
        <v>2.8000000000000001E-2</v>
      </c>
      <c r="L14" s="93">
        <f t="shared" si="3"/>
        <v>2.8000000000000001E-2</v>
      </c>
      <c r="M14" s="93">
        <v>0</v>
      </c>
      <c r="N14" s="93">
        <v>0</v>
      </c>
      <c r="O14" s="110">
        <v>2.8000000000000001E-2</v>
      </c>
    </row>
    <row r="15" spans="2:15" x14ac:dyDescent="0.35">
      <c r="B15" s="104" t="s">
        <v>109</v>
      </c>
      <c r="C15" s="103" t="s">
        <v>110</v>
      </c>
      <c r="D15" s="93">
        <f t="shared" si="1"/>
        <v>0</v>
      </c>
      <c r="E15" s="93">
        <v>0</v>
      </c>
      <c r="F15" s="93">
        <v>0</v>
      </c>
      <c r="G15" s="110">
        <v>0</v>
      </c>
      <c r="H15" s="100">
        <f t="shared" si="2"/>
        <v>1.4999999999999999E-2</v>
      </c>
      <c r="I15" s="100">
        <v>0</v>
      </c>
      <c r="J15" s="100">
        <v>0</v>
      </c>
      <c r="K15" s="115">
        <f t="shared" si="0"/>
        <v>1.4999999999999999E-2</v>
      </c>
      <c r="L15" s="93">
        <f t="shared" si="3"/>
        <v>1.4999999999999999E-2</v>
      </c>
      <c r="M15" s="93">
        <v>0</v>
      </c>
      <c r="N15" s="93">
        <v>0</v>
      </c>
      <c r="O15" s="110">
        <v>1.4999999999999999E-2</v>
      </c>
    </row>
    <row r="16" spans="2:15" x14ac:dyDescent="0.35">
      <c r="B16" s="104" t="s">
        <v>111</v>
      </c>
      <c r="C16" s="103" t="s">
        <v>103</v>
      </c>
      <c r="D16" s="93">
        <f t="shared" si="1"/>
        <v>0</v>
      </c>
      <c r="E16" s="93">
        <v>0</v>
      </c>
      <c r="F16" s="93">
        <v>0</v>
      </c>
      <c r="G16" s="110">
        <v>0</v>
      </c>
      <c r="H16" s="100">
        <f t="shared" si="2"/>
        <v>4.2999999999999997E-2</v>
      </c>
      <c r="I16" s="100">
        <v>0</v>
      </c>
      <c r="J16" s="100">
        <v>0</v>
      </c>
      <c r="K16" s="115">
        <f t="shared" si="0"/>
        <v>4.2999999999999997E-2</v>
      </c>
      <c r="L16" s="93">
        <f t="shared" si="3"/>
        <v>4.2999999999999997E-2</v>
      </c>
      <c r="M16" s="105">
        <v>0</v>
      </c>
      <c r="N16" s="93">
        <v>0</v>
      </c>
      <c r="O16" s="110">
        <v>4.2999999999999997E-2</v>
      </c>
    </row>
    <row r="17" spans="2:15" x14ac:dyDescent="0.35">
      <c r="B17" s="104" t="s">
        <v>112</v>
      </c>
      <c r="C17" s="103" t="s">
        <v>103</v>
      </c>
      <c r="D17" s="93">
        <f t="shared" si="1"/>
        <v>0</v>
      </c>
      <c r="E17" s="93">
        <v>0</v>
      </c>
      <c r="F17" s="93">
        <v>0</v>
      </c>
      <c r="G17" s="110">
        <v>0</v>
      </c>
      <c r="H17" s="100">
        <f t="shared" si="2"/>
        <v>2.8000000000000001E-2</v>
      </c>
      <c r="I17" s="100">
        <v>0</v>
      </c>
      <c r="J17" s="100">
        <v>0</v>
      </c>
      <c r="K17" s="115">
        <f t="shared" si="0"/>
        <v>2.8000000000000001E-2</v>
      </c>
      <c r="L17" s="93">
        <f t="shared" si="3"/>
        <v>2.8000000000000001E-2</v>
      </c>
      <c r="M17" s="93">
        <v>0</v>
      </c>
      <c r="N17" s="93">
        <v>0</v>
      </c>
      <c r="O17" s="110">
        <v>2.8000000000000001E-2</v>
      </c>
    </row>
    <row r="18" spans="2:15" x14ac:dyDescent="0.35">
      <c r="B18" s="104" t="s">
        <v>159</v>
      </c>
      <c r="C18" s="103" t="s">
        <v>113</v>
      </c>
      <c r="D18" s="93">
        <f t="shared" si="1"/>
        <v>0</v>
      </c>
      <c r="E18" s="93">
        <v>0</v>
      </c>
      <c r="F18" s="93">
        <v>0</v>
      </c>
      <c r="G18" s="110">
        <v>0</v>
      </c>
      <c r="H18" s="100">
        <f t="shared" si="2"/>
        <v>0.125</v>
      </c>
      <c r="I18" s="100">
        <v>0</v>
      </c>
      <c r="J18" s="100">
        <v>0</v>
      </c>
      <c r="K18" s="115">
        <f t="shared" si="0"/>
        <v>0.125</v>
      </c>
      <c r="L18" s="93">
        <f t="shared" si="3"/>
        <v>0.125</v>
      </c>
      <c r="M18" s="93">
        <v>0</v>
      </c>
      <c r="N18" s="93">
        <v>0</v>
      </c>
      <c r="O18" s="110">
        <v>0.125</v>
      </c>
    </row>
    <row r="19" spans="2:15" s="684" customFormat="1" x14ac:dyDescent="0.35">
      <c r="B19" s="104" t="s">
        <v>810</v>
      </c>
      <c r="C19" s="103" t="s">
        <v>113</v>
      </c>
      <c r="D19" s="93">
        <f t="shared" si="1"/>
        <v>0</v>
      </c>
      <c r="E19" s="93">
        <v>0</v>
      </c>
      <c r="F19" s="93">
        <v>0</v>
      </c>
      <c r="G19" s="110">
        <v>0</v>
      </c>
      <c r="H19" s="100">
        <f>0.0385/0.277778</f>
        <v>0.13859988912008869</v>
      </c>
      <c r="I19" s="100">
        <v>0</v>
      </c>
      <c r="J19" s="100">
        <v>0</v>
      </c>
      <c r="K19" s="115">
        <f>H19</f>
        <v>0.13859988912008869</v>
      </c>
      <c r="L19" s="93">
        <f>H19</f>
        <v>0.13859988912008869</v>
      </c>
      <c r="M19" s="93">
        <v>0</v>
      </c>
      <c r="N19" s="93">
        <v>0</v>
      </c>
      <c r="O19" s="110">
        <f>L19</f>
        <v>0.13859988912008869</v>
      </c>
    </row>
    <row r="20" spans="2:15" x14ac:dyDescent="0.35">
      <c r="B20" s="94" t="s">
        <v>270</v>
      </c>
      <c r="C20" s="95" t="s">
        <v>887</v>
      </c>
      <c r="D20" s="96">
        <v>0</v>
      </c>
      <c r="E20" s="96">
        <v>0</v>
      </c>
      <c r="F20" s="96">
        <v>0</v>
      </c>
      <c r="G20" s="112">
        <v>0</v>
      </c>
      <c r="H20" s="424">
        <f>(0.1779/1.12)*1000</f>
        <v>158.83928571428572</v>
      </c>
      <c r="I20" s="425">
        <v>0</v>
      </c>
      <c r="J20" s="425">
        <v>0</v>
      </c>
      <c r="K20" s="426">
        <f>O20-G20</f>
        <v>158.83928571428572</v>
      </c>
      <c r="L20" s="427">
        <f>H20</f>
        <v>158.83928571428572</v>
      </c>
      <c r="M20" s="427">
        <v>0</v>
      </c>
      <c r="N20" s="428">
        <v>0</v>
      </c>
      <c r="O20" s="429">
        <f>SUM(L20:N20)</f>
        <v>158.83928571428572</v>
      </c>
    </row>
    <row r="21" spans="2:15" ht="15" thickBot="1" x14ac:dyDescent="0.4">
      <c r="B21" s="364" t="s">
        <v>377</v>
      </c>
      <c r="C21" s="97" t="s">
        <v>378</v>
      </c>
      <c r="D21" s="98">
        <v>2.9</v>
      </c>
      <c r="E21" s="98">
        <v>0</v>
      </c>
      <c r="F21" s="98">
        <v>0</v>
      </c>
      <c r="G21" s="113">
        <v>2.9</v>
      </c>
      <c r="H21" s="101">
        <v>0.63300000000000001</v>
      </c>
      <c r="I21" s="101">
        <v>0</v>
      </c>
      <c r="J21" s="101">
        <v>0</v>
      </c>
      <c r="K21" s="116">
        <f>SUM(H21:J21)</f>
        <v>0.63300000000000001</v>
      </c>
      <c r="L21" s="98">
        <f>D21+H21</f>
        <v>3.5329999999999999</v>
      </c>
      <c r="M21" s="98">
        <f t="shared" ref="M21:O21" si="4">E21+I21</f>
        <v>0</v>
      </c>
      <c r="N21" s="98">
        <f t="shared" si="4"/>
        <v>0</v>
      </c>
      <c r="O21" s="113">
        <f t="shared" si="4"/>
        <v>3.5329999999999999</v>
      </c>
    </row>
    <row r="25" spans="2:15" ht="15" thickBot="1" x14ac:dyDescent="0.4">
      <c r="B25" s="124" t="s">
        <v>172</v>
      </c>
      <c r="D25" s="1011" t="s">
        <v>114</v>
      </c>
      <c r="E25" s="1011"/>
      <c r="F25" s="1011"/>
      <c r="G25" s="1011"/>
      <c r="H25" s="1011" t="s">
        <v>116</v>
      </c>
      <c r="I25" s="1011"/>
      <c r="J25" s="1011"/>
      <c r="K25" s="1011"/>
      <c r="L25" s="1011" t="s">
        <v>115</v>
      </c>
      <c r="M25" s="1011"/>
      <c r="N25" s="1011"/>
      <c r="O25" s="1011"/>
    </row>
    <row r="26" spans="2:15" ht="15" thickBot="1" x14ac:dyDescent="0.4">
      <c r="B26" s="91" t="s">
        <v>97</v>
      </c>
      <c r="C26" s="92" t="s">
        <v>98</v>
      </c>
      <c r="D26" s="92" t="s">
        <v>48</v>
      </c>
      <c r="E26" s="92" t="s">
        <v>3</v>
      </c>
      <c r="F26" s="92" t="s">
        <v>50</v>
      </c>
      <c r="G26" s="108" t="s">
        <v>100</v>
      </c>
      <c r="H26" s="99" t="s">
        <v>48</v>
      </c>
      <c r="I26" s="99" t="s">
        <v>3</v>
      </c>
      <c r="J26" s="99" t="s">
        <v>50</v>
      </c>
      <c r="K26" s="114" t="s">
        <v>101</v>
      </c>
      <c r="L26" s="92" t="s">
        <v>48</v>
      </c>
      <c r="M26" s="92" t="s">
        <v>3</v>
      </c>
      <c r="N26" s="92" t="s">
        <v>50</v>
      </c>
      <c r="O26" s="108" t="s">
        <v>99</v>
      </c>
    </row>
    <row r="27" spans="2:15" ht="15" thickTop="1" x14ac:dyDescent="0.35">
      <c r="B27" s="102" t="s">
        <v>173</v>
      </c>
      <c r="C27" s="103" t="s">
        <v>113</v>
      </c>
      <c r="D27" s="93">
        <f>73.8/TJ_to_kWh*1000</f>
        <v>0.26568000000000075</v>
      </c>
      <c r="E27" s="93">
        <v>0</v>
      </c>
      <c r="F27" s="93">
        <v>0</v>
      </c>
      <c r="G27" s="109">
        <f>SUM(D27:F27)</f>
        <v>0.26568000000000075</v>
      </c>
      <c r="H27" s="100">
        <v>8.4558139771646515E-2</v>
      </c>
      <c r="I27" s="100">
        <v>0</v>
      </c>
      <c r="J27" s="100">
        <v>0</v>
      </c>
      <c r="K27" s="115">
        <f>SUM(H27:J27)</f>
        <v>8.4558139771646515E-2</v>
      </c>
      <c r="L27" s="93">
        <f>D27+H27</f>
        <v>0.35023813977164725</v>
      </c>
      <c r="M27" s="93">
        <f t="shared" ref="M27:N27" si="5">E27+I27</f>
        <v>0</v>
      </c>
      <c r="N27" s="93">
        <f t="shared" si="5"/>
        <v>0</v>
      </c>
      <c r="O27" s="109">
        <f>G27+K27</f>
        <v>0.35023813977164725</v>
      </c>
    </row>
    <row r="28" spans="2:15" x14ac:dyDescent="0.35">
      <c r="B28" s="104" t="s">
        <v>170</v>
      </c>
      <c r="C28" s="103" t="s">
        <v>113</v>
      </c>
      <c r="D28" s="958">
        <f>73.3/TJ_to_kWh*1000</f>
        <v>0.26388000000000073</v>
      </c>
      <c r="E28" s="93">
        <v>0</v>
      </c>
      <c r="F28" s="93">
        <v>0</v>
      </c>
      <c r="G28" s="110">
        <f>SUM(D28:F28)</f>
        <v>0.26388000000000073</v>
      </c>
      <c r="H28" s="100">
        <v>8.3830986150219722E-2</v>
      </c>
      <c r="I28" s="100">
        <v>0</v>
      </c>
      <c r="J28" s="100">
        <v>0</v>
      </c>
      <c r="K28" s="115">
        <f>SUM(H28:J28)</f>
        <v>8.3830986150219722E-2</v>
      </c>
      <c r="L28" s="93">
        <f>D28+H28</f>
        <v>0.34771098615022045</v>
      </c>
      <c r="M28" s="93">
        <v>0</v>
      </c>
      <c r="N28" s="93">
        <v>0</v>
      </c>
      <c r="O28" s="110">
        <f>SUM(L28:N28)</f>
        <v>0.34771098615022045</v>
      </c>
    </row>
    <row r="29" spans="2:15" x14ac:dyDescent="0.35">
      <c r="B29" s="104" t="s">
        <v>870</v>
      </c>
      <c r="C29" s="103" t="s">
        <v>113</v>
      </c>
      <c r="D29" s="93">
        <f>72.8/TJ_to_kWh*1000</f>
        <v>0.26208000000000076</v>
      </c>
      <c r="E29" s="93">
        <v>0</v>
      </c>
      <c r="F29" s="93">
        <v>0</v>
      </c>
      <c r="G29" s="110">
        <f>SUM(D29:F29)</f>
        <v>0.26208000000000076</v>
      </c>
      <c r="H29" s="100">
        <v>8.9166666916333334E-2</v>
      </c>
      <c r="I29" s="100">
        <v>0</v>
      </c>
      <c r="J29" s="100">
        <v>0</v>
      </c>
      <c r="K29" s="115">
        <f>SUM(H29:J29)</f>
        <v>8.9166666916333334E-2</v>
      </c>
      <c r="L29" s="93">
        <f>D29+H29</f>
        <v>0.3512466669163341</v>
      </c>
      <c r="M29" s="66">
        <v>0</v>
      </c>
      <c r="N29" s="66">
        <v>0</v>
      </c>
      <c r="O29" s="709">
        <f>SUM(L29:N29)</f>
        <v>0.3512466669163341</v>
      </c>
    </row>
    <row r="32" spans="2:15" ht="15" thickBot="1" x14ac:dyDescent="0.4">
      <c r="B32" s="124" t="s">
        <v>201</v>
      </c>
      <c r="D32" s="1011" t="s">
        <v>114</v>
      </c>
      <c r="E32" s="1011"/>
      <c r="F32" s="1011"/>
      <c r="G32" s="1011"/>
      <c r="H32" s="1011" t="s">
        <v>116</v>
      </c>
      <c r="I32" s="1011"/>
      <c r="J32" s="1011"/>
      <c r="K32" s="1011"/>
      <c r="L32" s="1011" t="s">
        <v>115</v>
      </c>
      <c r="M32" s="1011"/>
      <c r="N32" s="1011"/>
      <c r="O32" s="1011"/>
    </row>
    <row r="33" spans="2:15" ht="15" thickBot="1" x14ac:dyDescent="0.4">
      <c r="B33" s="91" t="s">
        <v>97</v>
      </c>
      <c r="C33" s="92" t="s">
        <v>98</v>
      </c>
      <c r="D33" s="92" t="s">
        <v>48</v>
      </c>
      <c r="E33" s="92" t="s">
        <v>3</v>
      </c>
      <c r="F33" s="92" t="s">
        <v>50</v>
      </c>
      <c r="G33" s="108" t="s">
        <v>100</v>
      </c>
      <c r="H33" s="99" t="s">
        <v>48</v>
      </c>
      <c r="I33" s="99" t="s">
        <v>3</v>
      </c>
      <c r="J33" s="99" t="s">
        <v>50</v>
      </c>
      <c r="K33" s="114" t="s">
        <v>101</v>
      </c>
      <c r="L33" s="92" t="s">
        <v>48</v>
      </c>
      <c r="M33" s="92" t="s">
        <v>3</v>
      </c>
      <c r="N33" s="92" t="s">
        <v>50</v>
      </c>
      <c r="O33" s="108" t="s">
        <v>99</v>
      </c>
    </row>
    <row r="34" spans="2:15" ht="15" thickTop="1" x14ac:dyDescent="0.35">
      <c r="B34" s="102" t="s">
        <v>202</v>
      </c>
      <c r="C34" s="103" t="s">
        <v>378</v>
      </c>
      <c r="D34" s="93">
        <f>1.09*0.478</f>
        <v>0.52102000000000004</v>
      </c>
      <c r="E34" s="93">
        <v>0</v>
      </c>
      <c r="F34" s="93">
        <v>0</v>
      </c>
      <c r="G34" s="109">
        <f>SUM(D34:F34)</f>
        <v>0.52102000000000004</v>
      </c>
      <c r="H34" s="100">
        <v>0</v>
      </c>
      <c r="I34" s="100">
        <v>0</v>
      </c>
      <c r="J34" s="100">
        <v>0</v>
      </c>
      <c r="K34" s="115">
        <f>SUM(H34:J34)</f>
        <v>0</v>
      </c>
      <c r="L34" s="93">
        <f>D34+H34</f>
        <v>0.52102000000000004</v>
      </c>
      <c r="M34" s="93">
        <f t="shared" ref="M34:O36" si="6">E34+I34</f>
        <v>0</v>
      </c>
      <c r="N34" s="93">
        <f t="shared" si="6"/>
        <v>0</v>
      </c>
      <c r="O34" s="109">
        <f t="shared" si="6"/>
        <v>0.52102000000000004</v>
      </c>
    </row>
    <row r="35" spans="2:15" x14ac:dyDescent="0.35">
      <c r="B35" s="104" t="s">
        <v>236</v>
      </c>
      <c r="C35" s="103" t="s">
        <v>203</v>
      </c>
      <c r="D35" s="958">
        <v>0</v>
      </c>
      <c r="E35" s="93">
        <f>2.5*CH4_PRG</f>
        <v>70</v>
      </c>
      <c r="F35" s="93">
        <f>0.13*N2O_PRG</f>
        <v>34.450000000000003</v>
      </c>
      <c r="G35" s="110">
        <f t="shared" ref="G35:G36" si="7">SUM(D35:F35)</f>
        <v>104.45</v>
      </c>
      <c r="H35" s="100">
        <v>0</v>
      </c>
      <c r="I35" s="100">
        <v>0</v>
      </c>
      <c r="J35" s="100">
        <v>0</v>
      </c>
      <c r="K35" s="115">
        <v>0</v>
      </c>
      <c r="L35" s="93">
        <f>D35+H35</f>
        <v>0</v>
      </c>
      <c r="M35" s="93">
        <f t="shared" si="6"/>
        <v>70</v>
      </c>
      <c r="N35" s="93">
        <f t="shared" si="6"/>
        <v>34.450000000000003</v>
      </c>
      <c r="O35" s="110">
        <f t="shared" si="6"/>
        <v>104.45</v>
      </c>
    </row>
    <row r="36" spans="2:15" x14ac:dyDescent="0.35">
      <c r="B36" s="104" t="s">
        <v>237</v>
      </c>
      <c r="C36" s="103" t="s">
        <v>203</v>
      </c>
      <c r="D36" s="93">
        <v>0</v>
      </c>
      <c r="E36" s="93">
        <f>0.17*CH4_PRG</f>
        <v>4.7600000000000007</v>
      </c>
      <c r="F36" s="93">
        <v>0</v>
      </c>
      <c r="G36" s="110">
        <f t="shared" si="7"/>
        <v>4.7600000000000007</v>
      </c>
      <c r="H36" s="100">
        <v>0</v>
      </c>
      <c r="I36" s="100">
        <v>0</v>
      </c>
      <c r="J36" s="100">
        <v>0</v>
      </c>
      <c r="K36" s="115">
        <v>0</v>
      </c>
      <c r="L36" s="93">
        <f>D36+H36</f>
        <v>0</v>
      </c>
      <c r="M36" s="66">
        <f t="shared" si="6"/>
        <v>4.7600000000000007</v>
      </c>
      <c r="N36" s="66">
        <f t="shared" si="6"/>
        <v>0</v>
      </c>
      <c r="O36" s="709">
        <f t="shared" si="6"/>
        <v>4.7600000000000007</v>
      </c>
    </row>
    <row r="37" spans="2:15" x14ac:dyDescent="0.35">
      <c r="K37"/>
    </row>
  </sheetData>
  <sheetProtection algorithmName="SHA-512" hashValue="/RTfz08kq0cuGqSfCuAAdICyffrfK7QwS+zk3lit+9sGRhKG4B/9BU3eZfDIxQhWh/3+1y2gWP3j1sSrCoTwtQ==" saltValue="mm6WIwdZr8/OJ80Df8PXYA==" spinCount="100000" sheet="1" objects="1" scenarios="1"/>
  <mergeCells count="9">
    <mergeCell ref="D32:G32"/>
    <mergeCell ref="H32:K32"/>
    <mergeCell ref="L32:O32"/>
    <mergeCell ref="L5:O5"/>
    <mergeCell ref="D5:G5"/>
    <mergeCell ref="H5:K5"/>
    <mergeCell ref="D25:G25"/>
    <mergeCell ref="H25:K25"/>
    <mergeCell ref="L25:O2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F103C-6CE5-4D71-B663-A3BE2DB8EE65}">
  <dimension ref="B2:D12"/>
  <sheetViews>
    <sheetView workbookViewId="0">
      <selection activeCell="G15" sqref="G15"/>
    </sheetView>
  </sheetViews>
  <sheetFormatPr baseColWidth="10" defaultRowHeight="14.5" x14ac:dyDescent="0.35"/>
  <cols>
    <col min="1" max="1" width="5.26953125" customWidth="1"/>
    <col min="2" max="2" width="33.1796875" customWidth="1"/>
    <col min="3" max="3" width="23.453125" customWidth="1"/>
    <col min="4" max="4" width="18.453125" customWidth="1"/>
  </cols>
  <sheetData>
    <row r="2" spans="2:4" s="73" customFormat="1" ht="31" x14ac:dyDescent="0.7">
      <c r="B2" s="72" t="s">
        <v>43</v>
      </c>
    </row>
    <row r="4" spans="2:4" x14ac:dyDescent="0.35">
      <c r="B4" s="677" t="s">
        <v>44</v>
      </c>
      <c r="C4" s="678" t="s">
        <v>45</v>
      </c>
      <c r="D4" s="679" t="s">
        <v>46</v>
      </c>
    </row>
    <row r="5" spans="2:4" x14ac:dyDescent="0.35">
      <c r="B5" s="10" t="s">
        <v>47</v>
      </c>
      <c r="C5" s="11" t="s">
        <v>48</v>
      </c>
      <c r="D5" s="70">
        <v>1</v>
      </c>
    </row>
    <row r="6" spans="2:4" x14ac:dyDescent="0.35">
      <c r="B6" s="10" t="s">
        <v>49</v>
      </c>
      <c r="C6" s="11" t="s">
        <v>48</v>
      </c>
      <c r="D6" s="70">
        <v>0</v>
      </c>
    </row>
    <row r="7" spans="2:4" x14ac:dyDescent="0.35">
      <c r="B7" s="10" t="s">
        <v>55</v>
      </c>
      <c r="C7" s="11" t="s">
        <v>3</v>
      </c>
      <c r="D7" s="70">
        <v>28</v>
      </c>
    </row>
    <row r="8" spans="2:4" x14ac:dyDescent="0.35">
      <c r="B8" s="10" t="s">
        <v>883</v>
      </c>
      <c r="C8" s="11" t="s">
        <v>50</v>
      </c>
      <c r="D8" s="70">
        <v>265</v>
      </c>
    </row>
    <row r="9" spans="2:4" x14ac:dyDescent="0.35">
      <c r="B9" s="10" t="s">
        <v>51</v>
      </c>
      <c r="C9" s="11" t="s">
        <v>52</v>
      </c>
      <c r="D9" s="70">
        <v>23500</v>
      </c>
    </row>
    <row r="10" spans="2:4" x14ac:dyDescent="0.35">
      <c r="B10" s="13" t="s">
        <v>53</v>
      </c>
      <c r="C10" s="5" t="s">
        <v>54</v>
      </c>
      <c r="D10" s="71">
        <v>16100</v>
      </c>
    </row>
    <row r="12" spans="2:4" x14ac:dyDescent="0.35">
      <c r="B12" t="s">
        <v>56</v>
      </c>
    </row>
  </sheetData>
  <sheetProtection algorithmName="SHA-512" hashValue="B9u7lF4U2o7OrodCxhFwCuD6qgTZpZUrs6b063sTOx2iNa83PGqjuIaAlktN7rvUEs1MoBpTDQU1IxXRWVMD3w==" saltValue="SmMX5rYPYkKp3JKQUhKdc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D846C-BC82-4EED-A169-A14B877724D3}">
  <dimension ref="A1"/>
  <sheetViews>
    <sheetView workbookViewId="0">
      <selection activeCell="D40" sqref="D40"/>
    </sheetView>
  </sheetViews>
  <sheetFormatPr baseColWidth="10"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316FA-5335-4C20-87FD-0035651E8863}">
  <sheetPr>
    <tabColor theme="4" tint="-0.249977111117893"/>
  </sheetPr>
  <dimension ref="A2:X86"/>
  <sheetViews>
    <sheetView zoomScale="82" zoomScaleNormal="82" workbookViewId="0">
      <selection activeCell="E12" sqref="E12"/>
    </sheetView>
  </sheetViews>
  <sheetFormatPr baseColWidth="10" defaultRowHeight="14.5" x14ac:dyDescent="0.35"/>
  <cols>
    <col min="3" max="3" width="33.1796875" customWidth="1"/>
    <col min="4" max="4" width="24.1796875" customWidth="1"/>
    <col min="5" max="5" width="15.81640625" style="162" customWidth="1"/>
    <col min="7" max="7" width="13" bestFit="1" customWidth="1"/>
    <col min="8" max="9" width="11.1796875" bestFit="1" customWidth="1"/>
    <col min="10" max="10" width="12.26953125" bestFit="1" customWidth="1"/>
    <col min="11" max="11" width="27" customWidth="1"/>
    <col min="12" max="12" width="27.26953125" customWidth="1"/>
    <col min="13" max="13" width="0" hidden="1" customWidth="1"/>
  </cols>
  <sheetData>
    <row r="2" spans="1:14" s="73" customFormat="1" ht="28.5" x14ac:dyDescent="0.65">
      <c r="B2" s="193" t="s">
        <v>162</v>
      </c>
      <c r="E2" s="565"/>
    </row>
    <row r="4" spans="1:14" x14ac:dyDescent="0.35">
      <c r="G4" s="139"/>
      <c r="H4" s="139"/>
      <c r="I4" s="139"/>
      <c r="J4" s="139"/>
      <c r="K4" s="139"/>
      <c r="L4" s="139"/>
      <c r="M4" s="117"/>
    </row>
    <row r="5" spans="1:14" x14ac:dyDescent="0.35">
      <c r="G5" s="139"/>
      <c r="H5" s="139"/>
      <c r="I5" s="139"/>
      <c r="J5" s="139"/>
      <c r="K5" s="139"/>
      <c r="L5" s="139"/>
      <c r="M5" s="117"/>
    </row>
    <row r="6" spans="1:14" s="195" customFormat="1" x14ac:dyDescent="0.35">
      <c r="A6" s="194">
        <v>2023</v>
      </c>
      <c r="E6" s="314"/>
      <c r="G6" s="196"/>
      <c r="H6" s="196"/>
      <c r="I6" s="196"/>
      <c r="J6" s="196"/>
      <c r="K6" s="196"/>
      <c r="L6" s="196"/>
      <c r="M6" s="197"/>
    </row>
    <row r="7" spans="1:14" x14ac:dyDescent="0.35">
      <c r="G7" s="139"/>
      <c r="H7" s="139"/>
      <c r="I7" s="139"/>
      <c r="J7" s="139"/>
      <c r="K7" s="139"/>
      <c r="L7" s="139"/>
      <c r="M7" s="117"/>
    </row>
    <row r="8" spans="1:14" ht="29" x14ac:dyDescent="0.35">
      <c r="D8" s="5"/>
      <c r="E8" s="151"/>
      <c r="F8" s="14"/>
      <c r="G8" s="970" t="s">
        <v>734</v>
      </c>
      <c r="H8" s="971"/>
      <c r="I8" s="971"/>
      <c r="J8" s="972"/>
      <c r="K8" s="667" t="s">
        <v>728</v>
      </c>
      <c r="L8" s="668" t="s">
        <v>735</v>
      </c>
      <c r="M8" s="117" t="s">
        <v>118</v>
      </c>
      <c r="N8" s="10"/>
    </row>
    <row r="9" spans="1:14" ht="15" thickBot="1" x14ac:dyDescent="0.4">
      <c r="B9" s="15" t="s">
        <v>5</v>
      </c>
      <c r="C9" s="17" t="s">
        <v>340</v>
      </c>
      <c r="D9" s="9" t="s">
        <v>1</v>
      </c>
      <c r="E9" s="240" t="s">
        <v>129</v>
      </c>
      <c r="F9" s="4" t="s">
        <v>95</v>
      </c>
      <c r="G9" s="159" t="s">
        <v>48</v>
      </c>
      <c r="H9" s="160" t="s">
        <v>3</v>
      </c>
      <c r="I9" s="160" t="s">
        <v>50</v>
      </c>
      <c r="J9" s="161" t="s">
        <v>4</v>
      </c>
      <c r="K9" s="159" t="s">
        <v>4</v>
      </c>
      <c r="L9" s="159" t="s">
        <v>4</v>
      </c>
      <c r="M9" s="207"/>
      <c r="N9" s="10"/>
    </row>
    <row r="10" spans="1:14" ht="15" thickTop="1" x14ac:dyDescent="0.35">
      <c r="B10" s="10">
        <f>$A$6</f>
        <v>2023</v>
      </c>
      <c r="C10" s="18" t="s">
        <v>163</v>
      </c>
      <c r="D10" s="12" t="s">
        <v>684</v>
      </c>
      <c r="E10" s="951">
        <f>'Transports - Calcul'!M131*10^6</f>
        <v>792611976.05397332</v>
      </c>
      <c r="F10" s="11" t="s">
        <v>396</v>
      </c>
      <c r="G10" s="918">
        <f>'Transports - Calcul'!AB131*10^6</f>
        <v>0</v>
      </c>
      <c r="H10" s="919">
        <v>0</v>
      </c>
      <c r="I10" s="919">
        <v>0</v>
      </c>
      <c r="J10" s="919">
        <f>SUM(G10:I10)</f>
        <v>0</v>
      </c>
      <c r="K10" s="918">
        <f>'Transports - Calcul'!AB152*10^6</f>
        <v>2039.5920039461687</v>
      </c>
      <c r="L10" s="920">
        <f t="shared" ref="L10:L15" si="0">G10+K10</f>
        <v>2039.5920039461687</v>
      </c>
      <c r="M10" s="207"/>
      <c r="N10" s="10"/>
    </row>
    <row r="11" spans="1:14" x14ac:dyDescent="0.35">
      <c r="B11" s="10">
        <f t="shared" ref="B11:B22" si="1">$A$6</f>
        <v>2023</v>
      </c>
      <c r="C11" s="18"/>
      <c r="D11" s="12" t="s">
        <v>558</v>
      </c>
      <c r="E11" s="951">
        <f>'Transports - Calcul'!M134*10^6</f>
        <v>200279485.84800935</v>
      </c>
      <c r="F11" s="11" t="s">
        <v>396</v>
      </c>
      <c r="G11" s="918">
        <f>'Transports - Calcul'!AB134*10^6</f>
        <v>19624.452076279413</v>
      </c>
      <c r="H11" s="919">
        <v>0</v>
      </c>
      <c r="I11" s="919">
        <v>0</v>
      </c>
      <c r="J11" s="919">
        <f t="shared" ref="J11:J15" si="2">SUM(G11:I11)</f>
        <v>19624.452076279413</v>
      </c>
      <c r="K11" s="918">
        <f>'Transports - Calcul'!AB155*10^6</f>
        <v>20462.604590979096</v>
      </c>
      <c r="L11" s="918">
        <f t="shared" si="0"/>
        <v>40087.056667258512</v>
      </c>
      <c r="M11" s="207"/>
      <c r="N11" s="10"/>
    </row>
    <row r="12" spans="1:14" x14ac:dyDescent="0.35">
      <c r="B12" s="10">
        <f t="shared" si="1"/>
        <v>2023</v>
      </c>
      <c r="C12" s="18"/>
      <c r="D12" s="12" t="s">
        <v>548</v>
      </c>
      <c r="E12" s="952">
        <f>'Transports - Calcul'!M140*10^6</f>
        <v>7882892588.0698147</v>
      </c>
      <c r="F12" s="334" t="s">
        <v>396</v>
      </c>
      <c r="G12" s="918">
        <f>'Transports - Calcul'!AB140*10^6</f>
        <v>927136.89217170316</v>
      </c>
      <c r="H12" s="919">
        <v>0</v>
      </c>
      <c r="I12" s="919">
        <v>0</v>
      </c>
      <c r="J12" s="919">
        <f t="shared" si="2"/>
        <v>927136.89217170316</v>
      </c>
      <c r="K12" s="918">
        <f>'Transports - Calcul'!AB161*10^6</f>
        <v>1002937.5172187196</v>
      </c>
      <c r="L12" s="918">
        <f t="shared" si="0"/>
        <v>1930074.4093904227</v>
      </c>
      <c r="M12" s="207"/>
      <c r="N12" s="10"/>
    </row>
    <row r="13" spans="1:14" x14ac:dyDescent="0.35">
      <c r="B13" s="10">
        <f t="shared" si="1"/>
        <v>2023</v>
      </c>
      <c r="C13" s="18"/>
      <c r="D13" s="12" t="s">
        <v>591</v>
      </c>
      <c r="E13" s="952">
        <f>'Transports - Calcul'!M141*10^6</f>
        <v>2159166027.1824894</v>
      </c>
      <c r="F13" s="334" t="s">
        <v>396</v>
      </c>
      <c r="G13" s="918">
        <f>'Transports - Calcul'!AB141*10^6</f>
        <v>111.96141628066123</v>
      </c>
      <c r="H13" s="919">
        <v>0</v>
      </c>
      <c r="I13" s="919">
        <v>0</v>
      </c>
      <c r="J13" s="919">
        <f t="shared" si="2"/>
        <v>111.96141628066123</v>
      </c>
      <c r="K13" s="918">
        <f>'Transports - Calcul'!AB162*10^6</f>
        <v>20236.161410419551</v>
      </c>
      <c r="L13" s="918">
        <f t="shared" si="0"/>
        <v>20348.122826700212</v>
      </c>
      <c r="M13" s="207"/>
      <c r="N13" s="10"/>
    </row>
    <row r="14" spans="1:14" x14ac:dyDescent="0.35">
      <c r="B14" s="10">
        <f t="shared" si="1"/>
        <v>2023</v>
      </c>
      <c r="C14" s="18"/>
      <c r="D14" s="12" t="s">
        <v>685</v>
      </c>
      <c r="E14" s="952">
        <f>'Transports - Calcul'!M142*10^6</f>
        <v>711096209.78917372</v>
      </c>
      <c r="F14" s="334" t="s">
        <v>396</v>
      </c>
      <c r="G14" s="918">
        <f>'Transports - Calcul'!AB142*10^6</f>
        <v>40989.293945584497</v>
      </c>
      <c r="H14" s="919">
        <v>0</v>
      </c>
      <c r="I14" s="919">
        <v>0</v>
      </c>
      <c r="J14" s="919">
        <f t="shared" si="2"/>
        <v>40989.293945584497</v>
      </c>
      <c r="K14" s="918">
        <f>'Transports - Calcul'!AB163*10^6</f>
        <v>22966.612667283713</v>
      </c>
      <c r="L14" s="918">
        <f t="shared" si="0"/>
        <v>63955.90661286821</v>
      </c>
      <c r="M14" s="207"/>
      <c r="N14" s="10"/>
    </row>
    <row r="15" spans="1:14" x14ac:dyDescent="0.35">
      <c r="B15" s="10">
        <f t="shared" si="1"/>
        <v>2023</v>
      </c>
      <c r="C15" s="18"/>
      <c r="D15" s="12" t="s">
        <v>492</v>
      </c>
      <c r="E15" s="953">
        <f>'Transports - Calcul'!M143*10^6</f>
        <v>107182323.57862142</v>
      </c>
      <c r="F15" s="334" t="s">
        <v>396</v>
      </c>
      <c r="G15" s="921">
        <f>'Transports - Calcul'!AB143*10^6</f>
        <v>20.088306979941219</v>
      </c>
      <c r="H15" s="922">
        <v>0</v>
      </c>
      <c r="I15" s="922">
        <v>0</v>
      </c>
      <c r="J15" s="923">
        <f t="shared" si="2"/>
        <v>20.088306979941219</v>
      </c>
      <c r="K15" s="921">
        <f>'Transports - Calcul'!AB164*10^6</f>
        <v>4368.849117873011</v>
      </c>
      <c r="L15" s="934">
        <f t="shared" si="0"/>
        <v>4388.9374248529521</v>
      </c>
      <c r="M15" s="207"/>
      <c r="N15" s="10"/>
    </row>
    <row r="16" spans="1:14" x14ac:dyDescent="0.35">
      <c r="B16" s="20" t="s">
        <v>6</v>
      </c>
      <c r="C16" s="21"/>
      <c r="D16" s="22"/>
      <c r="E16" s="211"/>
      <c r="F16" s="23"/>
      <c r="G16" s="924">
        <f>SUM(G10:G15)</f>
        <v>987882.68791682774</v>
      </c>
      <c r="H16" s="930">
        <f t="shared" ref="H16:L16" si="3">SUM(H10:H15)</f>
        <v>0</v>
      </c>
      <c r="I16" s="930">
        <f t="shared" si="3"/>
        <v>0</v>
      </c>
      <c r="J16" s="944">
        <f t="shared" si="3"/>
        <v>987882.68791682774</v>
      </c>
      <c r="K16" s="924">
        <f t="shared" si="3"/>
        <v>1073011.3370092211</v>
      </c>
      <c r="L16" s="924">
        <f t="shared" si="3"/>
        <v>2060894.0249260487</v>
      </c>
      <c r="M16" s="207"/>
      <c r="N16" s="10"/>
    </row>
    <row r="17" spans="1:15" ht="15.65" customHeight="1" x14ac:dyDescent="0.35">
      <c r="B17" s="10">
        <f t="shared" si="1"/>
        <v>2023</v>
      </c>
      <c r="C17" s="18" t="s">
        <v>165</v>
      </c>
      <c r="D17" s="70"/>
      <c r="E17" s="148"/>
      <c r="F17" s="12"/>
      <c r="G17" s="927">
        <f>'Transports - Calcul'!M183*10^6</f>
        <v>230929</v>
      </c>
      <c r="H17" s="928">
        <v>0</v>
      </c>
      <c r="I17" s="928">
        <v>0</v>
      </c>
      <c r="J17" s="928">
        <f>SUM(G17:I17)</f>
        <v>230929</v>
      </c>
      <c r="K17" s="927">
        <f>'Transports - Calcul'!U183*10^6</f>
        <v>353700</v>
      </c>
      <c r="L17" s="928">
        <f>G17+K17</f>
        <v>584629</v>
      </c>
      <c r="M17" s="207"/>
      <c r="N17" s="10"/>
    </row>
    <row r="18" spans="1:15" x14ac:dyDescent="0.35">
      <c r="B18" s="20" t="s">
        <v>6</v>
      </c>
      <c r="C18" s="21"/>
      <c r="D18" s="22"/>
      <c r="E18" s="211"/>
      <c r="F18" s="23"/>
      <c r="G18" s="929">
        <f>G17</f>
        <v>230929</v>
      </c>
      <c r="H18" s="930">
        <f t="shared" ref="H18:L18" si="4">H17</f>
        <v>0</v>
      </c>
      <c r="I18" s="925">
        <f t="shared" si="4"/>
        <v>0</v>
      </c>
      <c r="J18" s="926">
        <f t="shared" si="4"/>
        <v>230929</v>
      </c>
      <c r="K18" s="924">
        <f t="shared" si="4"/>
        <v>353700</v>
      </c>
      <c r="L18" s="924">
        <f t="shared" si="4"/>
        <v>584629</v>
      </c>
      <c r="M18" s="207"/>
      <c r="N18" s="10"/>
    </row>
    <row r="19" spans="1:15" x14ac:dyDescent="0.35">
      <c r="B19" s="10">
        <f t="shared" si="1"/>
        <v>2023</v>
      </c>
      <c r="C19" s="18" t="s">
        <v>890</v>
      </c>
      <c r="D19" s="70" t="s">
        <v>167</v>
      </c>
      <c r="E19" s="148">
        <f>'Transports - Calcul'!M123*'Transports - Calcul'!F20</f>
        <v>8046467049.8848772</v>
      </c>
      <c r="F19" s="12" t="s">
        <v>396</v>
      </c>
      <c r="G19" s="927">
        <f>'Transports - Calcul'!M182*10^6</f>
        <v>0</v>
      </c>
      <c r="H19" s="950">
        <v>0</v>
      </c>
      <c r="I19" s="950">
        <v>0</v>
      </c>
      <c r="J19" s="931">
        <f>SUM(G19:I19)</f>
        <v>0</v>
      </c>
      <c r="K19" s="927">
        <f>'Transports - Calcul'!AB182*10^6</f>
        <v>2115993.3183925636</v>
      </c>
      <c r="L19" s="927">
        <f>G19+K19</f>
        <v>2115993.3183925636</v>
      </c>
      <c r="M19" s="207" t="s">
        <v>170</v>
      </c>
      <c r="N19" s="10"/>
    </row>
    <row r="20" spans="1:15" x14ac:dyDescent="0.35">
      <c r="B20" s="20" t="s">
        <v>6</v>
      </c>
      <c r="C20" s="21"/>
      <c r="D20" s="22"/>
      <c r="E20" s="211"/>
      <c r="F20" s="23"/>
      <c r="G20" s="924">
        <f>SUM(G19)</f>
        <v>0</v>
      </c>
      <c r="H20" s="925">
        <f t="shared" ref="H20:L20" si="5">SUM(H19)</f>
        <v>0</v>
      </c>
      <c r="I20" s="925">
        <f t="shared" si="5"/>
        <v>0</v>
      </c>
      <c r="J20" s="926">
        <f t="shared" si="5"/>
        <v>0</v>
      </c>
      <c r="K20" s="924">
        <f t="shared" si="5"/>
        <v>2115993.3183925636</v>
      </c>
      <c r="L20" s="924">
        <f t="shared" si="5"/>
        <v>2115993.3183925636</v>
      </c>
      <c r="M20" s="207"/>
      <c r="N20" s="10"/>
    </row>
    <row r="21" spans="1:15" x14ac:dyDescent="0.35">
      <c r="B21" s="10">
        <f t="shared" si="1"/>
        <v>2023</v>
      </c>
      <c r="C21" s="18" t="s">
        <v>837</v>
      </c>
      <c r="D21" s="70" t="s">
        <v>168</v>
      </c>
      <c r="E21" s="148">
        <f>'Transports - Calcul 2'!D25</f>
        <v>20174.704139750404</v>
      </c>
      <c r="F21" s="12" t="s">
        <v>96</v>
      </c>
      <c r="G21" s="918">
        <f>_xlfn.XLOOKUP($M21,'Facteurs d''émissions'!$B:$B,'Facteurs d''émissions'!D:D)*$E21</f>
        <v>5323.7009283973512</v>
      </c>
      <c r="H21" s="919">
        <f>_xlfn.XLOOKUP($M21,'Facteurs d''émissions'!$B:$B,'Facteurs d''émissions'!E:E)*$E21</f>
        <v>0</v>
      </c>
      <c r="I21" s="919">
        <f>_xlfn.XLOOKUP($M21,'Facteurs d''émissions'!$B:$B,'Facteurs d''émissions'!F:F)*$E21</f>
        <v>0</v>
      </c>
      <c r="J21" s="919">
        <f>_xlfn.XLOOKUP($M21,'Facteurs d''émissions'!$B:$B,'Facteurs d''émissions'!G:G)*$E21</f>
        <v>5323.7009283973512</v>
      </c>
      <c r="K21" s="918">
        <f>_xlfn.XLOOKUP($M21,'Facteurs d''émissions'!$B:$B,'Facteurs d''émissions'!H:H)*$E21</f>
        <v>1691.2653433241965</v>
      </c>
      <c r="L21" s="918">
        <f>G21+K21</f>
        <v>7014.9662717215479</v>
      </c>
      <c r="M21" s="207" t="s">
        <v>170</v>
      </c>
      <c r="N21" s="10"/>
    </row>
    <row r="22" spans="1:15" x14ac:dyDescent="0.35">
      <c r="B22" s="10">
        <f t="shared" si="1"/>
        <v>2023</v>
      </c>
      <c r="C22" s="18"/>
      <c r="D22" s="70" t="s">
        <v>175</v>
      </c>
      <c r="E22" s="148">
        <f>'Transports - Calcul 2'!C17+'Transports - Calcul 2'!E17</f>
        <v>25488.366816666588</v>
      </c>
      <c r="F22" s="11" t="s">
        <v>96</v>
      </c>
      <c r="G22" s="918">
        <f>_xlfn.XLOOKUP($M22,'Facteurs d''émissions'!$B:$B,'Facteurs d''émissions'!D:D)*$E22</f>
        <v>6725.8702355819978</v>
      </c>
      <c r="H22" s="919">
        <f>_xlfn.XLOOKUP($M22,'Facteurs d''émissions'!$B:$B,'Facteurs d''émissions'!E:E)*$E22</f>
        <v>0</v>
      </c>
      <c r="I22" s="919">
        <f>_xlfn.XLOOKUP($M22,'Facteurs d''émissions'!$B:$B,'Facteurs d''émissions'!F:F)*$E22</f>
        <v>0</v>
      </c>
      <c r="J22" s="919">
        <f>_xlfn.XLOOKUP($M22,'Facteurs d''émissions'!$B:$B,'Facteurs d''émissions'!G:G)*$E22</f>
        <v>6725.8702355819978</v>
      </c>
      <c r="K22" s="918">
        <f>_xlfn.XLOOKUP($M22,'Facteurs d''émissions'!$B:$B,'Facteurs d''émissions'!H:H)*$E22</f>
        <v>2136.7149255996969</v>
      </c>
      <c r="L22" s="918">
        <f>G22+K22</f>
        <v>8862.5851611816943</v>
      </c>
      <c r="M22" s="207" t="s">
        <v>170</v>
      </c>
      <c r="N22" s="10"/>
    </row>
    <row r="23" spans="1:15" x14ac:dyDescent="0.35">
      <c r="B23" s="10">
        <v>2023</v>
      </c>
      <c r="C23" s="18"/>
      <c r="D23" s="70" t="s">
        <v>176</v>
      </c>
      <c r="E23" s="148">
        <f>'Transports - Calcul 2'!D17</f>
        <v>17430.356991666617</v>
      </c>
      <c r="F23" s="11" t="s">
        <v>96</v>
      </c>
      <c r="G23" s="918">
        <f>_xlfn.XLOOKUP($M23,'Facteurs d''émissions'!$B:$B,'Facteurs d''émissions'!D:D)*$E23</f>
        <v>4620.7876384908204</v>
      </c>
      <c r="H23" s="919">
        <f>_xlfn.XLOOKUP($M23,'Facteurs d''émissions'!$B:$B,'Facteurs d''émissions'!E:E)*$E23</f>
        <v>0</v>
      </c>
      <c r="I23" s="919">
        <f>_xlfn.XLOOKUP($M23,'Facteurs d''émissions'!$B:$B,'Facteurs d''émissions'!F:F)*$E23</f>
        <v>0</v>
      </c>
      <c r="J23" s="932">
        <f>_xlfn.XLOOKUP($M23,'Facteurs d''émissions'!$B:$B,'Facteurs d''émissions'!G:G)*$E23</f>
        <v>4620.7876384908204</v>
      </c>
      <c r="K23" s="933">
        <f>_xlfn.XLOOKUP($M23,'Facteurs d''émissions'!$B:$B,'Facteurs d''émissions'!H:H)*$E23</f>
        <v>1026.6480268091639</v>
      </c>
      <c r="L23" s="918">
        <f>G23+K23</f>
        <v>5647.4356652999841</v>
      </c>
      <c r="M23" s="207" t="s">
        <v>102</v>
      </c>
      <c r="N23" s="10"/>
    </row>
    <row r="24" spans="1:15" s="684" customFormat="1" x14ac:dyDescent="0.35">
      <c r="B24" s="10">
        <v>2023</v>
      </c>
      <c r="C24" s="18"/>
      <c r="D24" s="14" t="s">
        <v>807</v>
      </c>
      <c r="E24" s="702" t="s">
        <v>364</v>
      </c>
      <c r="F24" s="11"/>
      <c r="G24" s="921">
        <f>'Transports - Calcul 2'!D52</f>
        <v>11631.845851793154</v>
      </c>
      <c r="H24" s="922">
        <v>0</v>
      </c>
      <c r="I24" s="922">
        <v>0</v>
      </c>
      <c r="J24" s="923">
        <f>SUM(G24:I24)</f>
        <v>11631.845851793154</v>
      </c>
      <c r="K24" s="921">
        <f>'Transports - Calcul 2'!C59</f>
        <v>3957.4668982332523</v>
      </c>
      <c r="L24" s="934">
        <f>J24+K24</f>
        <v>15589.312750026405</v>
      </c>
      <c r="M24" s="207"/>
      <c r="N24" s="10"/>
    </row>
    <row r="25" spans="1:15" x14ac:dyDescent="0.35">
      <c r="B25" s="20" t="s">
        <v>6</v>
      </c>
      <c r="C25" s="21"/>
      <c r="D25" s="22"/>
      <c r="E25" s="211"/>
      <c r="F25" s="23"/>
      <c r="G25" s="924">
        <f>SUM(G21:G24)</f>
        <v>28302.204654263322</v>
      </c>
      <c r="H25" s="925">
        <f t="shared" ref="H25:I25" si="6">SUM(H21:H23)</f>
        <v>0</v>
      </c>
      <c r="I25" s="925">
        <f t="shared" si="6"/>
        <v>0</v>
      </c>
      <c r="J25" s="926">
        <f>SUM(J21:J24)</f>
        <v>28302.204654263322</v>
      </c>
      <c r="K25" s="929">
        <f>SUM(K21:K24)</f>
        <v>8812.09519396631</v>
      </c>
      <c r="L25" s="924">
        <f>SUM(L21:L24)</f>
        <v>37114.299848229632</v>
      </c>
      <c r="M25" s="207"/>
      <c r="N25" s="10"/>
    </row>
    <row r="26" spans="1:15" x14ac:dyDescent="0.35">
      <c r="B26" s="198" t="s">
        <v>7</v>
      </c>
      <c r="C26" s="199"/>
      <c r="D26" s="200"/>
      <c r="E26" s="566"/>
      <c r="F26" s="201"/>
      <c r="G26" s="935">
        <f>G16+G18+G20+G25</f>
        <v>1247113.8925710912</v>
      </c>
      <c r="H26" s="936">
        <f t="shared" ref="H26:L26" si="7">H16+H18+H20+H25</f>
        <v>0</v>
      </c>
      <c r="I26" s="936">
        <f t="shared" si="7"/>
        <v>0</v>
      </c>
      <c r="J26" s="936">
        <f t="shared" si="7"/>
        <v>1247113.8925710912</v>
      </c>
      <c r="K26" s="935">
        <f t="shared" si="7"/>
        <v>3551516.7505957512</v>
      </c>
      <c r="L26" s="935">
        <f t="shared" si="7"/>
        <v>4798630.6431668419</v>
      </c>
      <c r="M26" s="207"/>
      <c r="N26" s="10"/>
    </row>
    <row r="27" spans="1:15" x14ac:dyDescent="0.35">
      <c r="G27" s="139"/>
      <c r="H27" s="139"/>
      <c r="I27" s="139"/>
      <c r="J27" s="139"/>
      <c r="K27" s="139"/>
      <c r="L27" s="139"/>
      <c r="M27" s="117"/>
    </row>
    <row r="28" spans="1:15" s="195" customFormat="1" x14ac:dyDescent="0.35">
      <c r="A28" s="194">
        <v>2019</v>
      </c>
      <c r="E28" s="314"/>
      <c r="G28" s="196"/>
      <c r="H28" s="196"/>
      <c r="I28" s="196"/>
      <c r="J28" s="196"/>
      <c r="K28" s="683"/>
      <c r="L28" s="683"/>
      <c r="M28" s="197"/>
    </row>
    <row r="29" spans="1:15" x14ac:dyDescent="0.35">
      <c r="G29" s="139"/>
      <c r="H29" s="139"/>
      <c r="I29" s="139"/>
      <c r="J29" s="139"/>
      <c r="K29" s="139"/>
      <c r="L29" s="139"/>
      <c r="M29" s="117"/>
    </row>
    <row r="30" spans="1:15" ht="29" x14ac:dyDescent="0.35">
      <c r="D30" s="5"/>
      <c r="E30" s="151"/>
      <c r="F30" s="14"/>
      <c r="G30" s="970" t="s">
        <v>734</v>
      </c>
      <c r="H30" s="971"/>
      <c r="I30" s="971"/>
      <c r="J30" s="972"/>
      <c r="K30" s="667" t="s">
        <v>728</v>
      </c>
      <c r="L30" s="668" t="s">
        <v>735</v>
      </c>
      <c r="M30" s="117"/>
      <c r="N30" s="10"/>
    </row>
    <row r="31" spans="1:15" ht="15" thickBot="1" x14ac:dyDescent="0.4">
      <c r="B31" s="15" t="s">
        <v>5</v>
      </c>
      <c r="C31" s="17" t="s">
        <v>340</v>
      </c>
      <c r="D31" s="9" t="s">
        <v>1</v>
      </c>
      <c r="E31" s="240" t="s">
        <v>129</v>
      </c>
      <c r="F31" s="4" t="s">
        <v>95</v>
      </c>
      <c r="G31" s="159" t="s">
        <v>48</v>
      </c>
      <c r="H31" s="160" t="s">
        <v>3</v>
      </c>
      <c r="I31" s="160" t="s">
        <v>50</v>
      </c>
      <c r="J31" s="161" t="s">
        <v>4</v>
      </c>
      <c r="K31" s="159" t="s">
        <v>4</v>
      </c>
      <c r="L31" s="159" t="s">
        <v>4</v>
      </c>
      <c r="N31" s="10"/>
    </row>
    <row r="32" spans="1:15" ht="15" thickTop="1" x14ac:dyDescent="0.35">
      <c r="B32" s="10">
        <f t="shared" ref="B32:B37" si="8">$A$28</f>
        <v>2019</v>
      </c>
      <c r="C32" s="18" t="s">
        <v>163</v>
      </c>
      <c r="D32" s="12" t="s">
        <v>684</v>
      </c>
      <c r="E32" s="946">
        <f>'Transports - Calcul'!K131*10^6</f>
        <v>644467854.5519942</v>
      </c>
      <c r="F32" s="11" t="s">
        <v>396</v>
      </c>
      <c r="G32" s="939">
        <f>'Transports - Calcul'!Z131*10^6</f>
        <v>0</v>
      </c>
      <c r="H32" s="940">
        <v>0</v>
      </c>
      <c r="I32" s="940">
        <v>0</v>
      </c>
      <c r="J32" s="940">
        <f>SUM(G32:I32)</f>
        <v>0</v>
      </c>
      <c r="K32" s="939">
        <f>'Transports - Calcul'!Z152*10^6</f>
        <v>1208.8984129486323</v>
      </c>
      <c r="L32" s="941">
        <f t="shared" ref="L32:L37" si="9">G32+K32</f>
        <v>1208.8984129486323</v>
      </c>
      <c r="M32" s="684"/>
      <c r="N32" s="10"/>
      <c r="O32" s="684"/>
    </row>
    <row r="33" spans="2:15" x14ac:dyDescent="0.35">
      <c r="B33" s="10">
        <f t="shared" si="8"/>
        <v>2019</v>
      </c>
      <c r="C33" s="18"/>
      <c r="D33" s="12" t="s">
        <v>558</v>
      </c>
      <c r="E33" s="946">
        <f>'Transports - Calcul'!K134*10^6</f>
        <v>195193489.92784917</v>
      </c>
      <c r="F33" s="11" t="s">
        <v>396</v>
      </c>
      <c r="G33" s="918">
        <f>'Transports - Calcul'!Z134*10^6</f>
        <v>19316.623664701299</v>
      </c>
      <c r="H33" s="919">
        <v>0</v>
      </c>
      <c r="I33" s="919">
        <v>0</v>
      </c>
      <c r="J33" s="919">
        <f t="shared" ref="J33:J37" si="10">SUM(G33:I33)</f>
        <v>19316.623664701299</v>
      </c>
      <c r="K33" s="918">
        <f>'Transports - Calcul'!Z155*10^6</f>
        <v>19732.398882714937</v>
      </c>
      <c r="L33" s="933">
        <f t="shared" si="9"/>
        <v>39049.022547416236</v>
      </c>
      <c r="M33" s="684"/>
      <c r="N33" s="10"/>
      <c r="O33" s="684"/>
    </row>
    <row r="34" spans="2:15" x14ac:dyDescent="0.35">
      <c r="B34" s="10">
        <f t="shared" si="8"/>
        <v>2019</v>
      </c>
      <c r="C34" s="18"/>
      <c r="D34" s="12" t="s">
        <v>548</v>
      </c>
      <c r="E34" s="947">
        <f>'Transports - Calcul'!K140*10^6</f>
        <v>7935672584.6268444</v>
      </c>
      <c r="F34" s="334" t="s">
        <v>396</v>
      </c>
      <c r="G34" s="918">
        <f>'Transports - Calcul'!Z140*10^6</f>
        <v>991955.2447652733</v>
      </c>
      <c r="H34" s="919">
        <v>0</v>
      </c>
      <c r="I34" s="919">
        <v>0</v>
      </c>
      <c r="J34" s="919">
        <f t="shared" si="10"/>
        <v>991955.2447652733</v>
      </c>
      <c r="K34" s="918">
        <f>'Transports - Calcul'!Z161*10^6</f>
        <v>1019753.4957847905</v>
      </c>
      <c r="L34" s="933">
        <f t="shared" si="9"/>
        <v>2011708.7405500638</v>
      </c>
      <c r="M34" s="684"/>
      <c r="N34" s="10"/>
      <c r="O34" s="684"/>
    </row>
    <row r="35" spans="2:15" x14ac:dyDescent="0.35">
      <c r="B35" s="10">
        <f t="shared" si="8"/>
        <v>2019</v>
      </c>
      <c r="C35" s="18"/>
      <c r="D35" s="12" t="s">
        <v>591</v>
      </c>
      <c r="E35" s="947">
        <f>'Transports - Calcul'!K141*10^6</f>
        <v>1748469970.7336783</v>
      </c>
      <c r="F35" s="334" t="s">
        <v>396</v>
      </c>
      <c r="G35" s="918">
        <f>'Transports - Calcul'!Z141*10^6</f>
        <v>90.665246830551212</v>
      </c>
      <c r="H35" s="919">
        <v>0</v>
      </c>
      <c r="I35" s="919">
        <v>0</v>
      </c>
      <c r="J35" s="919">
        <f t="shared" si="10"/>
        <v>90.665246830551212</v>
      </c>
      <c r="K35" s="918">
        <f>'Transports - Calcul'!Z162*10^6</f>
        <v>17042.175128907475</v>
      </c>
      <c r="L35" s="933">
        <f t="shared" si="9"/>
        <v>17132.840375738026</v>
      </c>
      <c r="M35" s="684"/>
      <c r="N35" s="10"/>
      <c r="O35" s="684"/>
    </row>
    <row r="36" spans="2:15" x14ac:dyDescent="0.35">
      <c r="B36" s="10">
        <f t="shared" si="8"/>
        <v>2019</v>
      </c>
      <c r="C36" s="18"/>
      <c r="D36" s="12" t="s">
        <v>685</v>
      </c>
      <c r="E36" s="947">
        <f>'Transports - Calcul'!K142*10^6</f>
        <v>333162085.68702519</v>
      </c>
      <c r="F36" s="334" t="s">
        <v>396</v>
      </c>
      <c r="G36" s="918">
        <f>'Transports - Calcul'!Z142*10^6</f>
        <v>19196.775442522023</v>
      </c>
      <c r="H36" s="919">
        <v>0</v>
      </c>
      <c r="I36" s="919">
        <v>0</v>
      </c>
      <c r="J36" s="919">
        <f t="shared" si="10"/>
        <v>19196.775442522023</v>
      </c>
      <c r="K36" s="918">
        <f>'Transports - Calcul'!Z163*10^6</f>
        <v>13954.645148605277</v>
      </c>
      <c r="L36" s="933">
        <f t="shared" si="9"/>
        <v>33151.420591127302</v>
      </c>
      <c r="M36" s="684"/>
      <c r="N36" s="10"/>
      <c r="O36" s="684"/>
    </row>
    <row r="37" spans="2:15" x14ac:dyDescent="0.35">
      <c r="B37" s="10">
        <f t="shared" si="8"/>
        <v>2019</v>
      </c>
      <c r="C37" s="18"/>
      <c r="D37" s="11" t="s">
        <v>492</v>
      </c>
      <c r="E37" s="948">
        <f>'Transports - Calcul'!K143*10^6</f>
        <v>99106997.618185133</v>
      </c>
      <c r="F37" s="334" t="s">
        <v>396</v>
      </c>
      <c r="G37" s="921">
        <f>'Transports - Calcul'!Z143*10^6</f>
        <v>18.574814629336039</v>
      </c>
      <c r="H37" s="922">
        <v>0</v>
      </c>
      <c r="I37" s="922">
        <v>0</v>
      </c>
      <c r="J37" s="923">
        <f t="shared" si="10"/>
        <v>18.574814629336039</v>
      </c>
      <c r="K37" s="921">
        <f>'Transports - Calcul'!Z164*10^6</f>
        <v>4113.1182768462795</v>
      </c>
      <c r="L37" s="934">
        <f t="shared" si="9"/>
        <v>4131.6930914756158</v>
      </c>
      <c r="M37" s="684"/>
      <c r="N37" s="10"/>
      <c r="O37" s="684"/>
    </row>
    <row r="38" spans="2:15" x14ac:dyDescent="0.35">
      <c r="B38" s="20" t="s">
        <v>6</v>
      </c>
      <c r="C38" s="21"/>
      <c r="D38" s="23"/>
      <c r="E38" s="213"/>
      <c r="F38" s="23"/>
      <c r="G38" s="924">
        <f>SUM(G32:G37)</f>
        <v>1030577.8839339566</v>
      </c>
      <c r="H38" s="925">
        <f t="shared" ref="H38" si="11">SUM(H32:H37)</f>
        <v>0</v>
      </c>
      <c r="I38" s="925">
        <f t="shared" ref="I38" si="12">SUM(I32:I37)</f>
        <v>0</v>
      </c>
      <c r="J38" s="926">
        <f t="shared" ref="J38:J48" si="13">SUM(G38:I38)</f>
        <v>1030577.8839339566</v>
      </c>
      <c r="K38" s="924">
        <f t="shared" ref="K38" si="14">SUM(K32:K37)</f>
        <v>1075804.7316348134</v>
      </c>
      <c r="L38" s="924">
        <f t="shared" ref="L38" si="15">SUM(L32:L37)</f>
        <v>2106382.6155687692</v>
      </c>
      <c r="M38" s="684"/>
      <c r="N38" s="10"/>
      <c r="O38" s="684"/>
    </row>
    <row r="39" spans="2:15" x14ac:dyDescent="0.35">
      <c r="B39" s="10">
        <f>$A$28</f>
        <v>2019</v>
      </c>
      <c r="C39" s="18" t="s">
        <v>165</v>
      </c>
      <c r="D39" s="10"/>
      <c r="E39" s="149"/>
      <c r="F39" s="12"/>
      <c r="G39" s="927">
        <f>'Transports - Calcul'!K183*10^6</f>
        <v>234045</v>
      </c>
      <c r="H39" s="928">
        <v>0</v>
      </c>
      <c r="I39" s="928">
        <v>0</v>
      </c>
      <c r="J39" s="928">
        <f>SUM(G39:I39)</f>
        <v>234045</v>
      </c>
      <c r="K39" s="927">
        <f>'Transports - Calcul'!S183*10^6</f>
        <v>366697</v>
      </c>
      <c r="L39" s="928">
        <f>G39+K39</f>
        <v>600742</v>
      </c>
      <c r="M39" s="362"/>
      <c r="N39" s="10"/>
    </row>
    <row r="40" spans="2:15" x14ac:dyDescent="0.35">
      <c r="B40" s="20" t="s">
        <v>6</v>
      </c>
      <c r="C40" s="21"/>
      <c r="D40" s="23"/>
      <c r="E40" s="213"/>
      <c r="F40" s="23"/>
      <c r="G40" s="929">
        <f>G39</f>
        <v>234045</v>
      </c>
      <c r="H40" s="930">
        <f t="shared" ref="H40" si="16">H39</f>
        <v>0</v>
      </c>
      <c r="I40" s="925">
        <f t="shared" ref="I40" si="17">I39</f>
        <v>0</v>
      </c>
      <c r="J40" s="926">
        <f t="shared" si="13"/>
        <v>234045</v>
      </c>
      <c r="K40" s="924">
        <f t="shared" ref="K40" si="18">K39</f>
        <v>366697</v>
      </c>
      <c r="L40" s="937">
        <f t="shared" ref="L40" si="19">L39</f>
        <v>600742</v>
      </c>
      <c r="M40" s="362"/>
      <c r="N40" s="10"/>
    </row>
    <row r="41" spans="2:15" x14ac:dyDescent="0.35">
      <c r="B41" s="10">
        <f t="shared" ref="B41:B44" si="20">$A$28</f>
        <v>2019</v>
      </c>
      <c r="C41" s="18" t="str">
        <f>C19</f>
        <v>Aviation de tourisme et d'affaire</v>
      </c>
      <c r="D41" s="10" t="s">
        <v>167</v>
      </c>
      <c r="E41" s="148">
        <f>'Transports - Calcul'!K123*'Transports - Calcul'!D20</f>
        <v>8792330240.2647724</v>
      </c>
      <c r="F41" s="12" t="s">
        <v>396</v>
      </c>
      <c r="G41" s="927">
        <f>'Transports - Calcul'!K182*10^6</f>
        <v>0</v>
      </c>
      <c r="H41" s="950">
        <v>0</v>
      </c>
      <c r="I41" s="950">
        <v>0</v>
      </c>
      <c r="J41" s="931">
        <f>SUM(G41:I41)</f>
        <v>0</v>
      </c>
      <c r="K41" s="927">
        <f>'Transports - Calcul'!Z182*10^6</f>
        <v>2312134.2480073068</v>
      </c>
      <c r="L41" s="927">
        <f>G41+K41</f>
        <v>2312134.2480073068</v>
      </c>
      <c r="M41" s="362" t="s">
        <v>493</v>
      </c>
      <c r="N41" s="10"/>
    </row>
    <row r="42" spans="2:15" x14ac:dyDescent="0.35">
      <c r="B42" s="20" t="s">
        <v>6</v>
      </c>
      <c r="C42" s="21"/>
      <c r="D42" s="23"/>
      <c r="E42" s="213"/>
      <c r="F42" s="23"/>
      <c r="G42" s="924">
        <f>SUM(G41)</f>
        <v>0</v>
      </c>
      <c r="H42" s="925">
        <f t="shared" ref="H42" si="21">SUM(H41)</f>
        <v>0</v>
      </c>
      <c r="I42" s="925">
        <f t="shared" ref="I42" si="22">SUM(I41)</f>
        <v>0</v>
      </c>
      <c r="J42" s="926">
        <f t="shared" si="13"/>
        <v>0</v>
      </c>
      <c r="K42" s="924">
        <f t="shared" ref="K42" si="23">SUM(K41)</f>
        <v>2312134.2480073068</v>
      </c>
      <c r="L42" s="937">
        <f t="shared" ref="L42" si="24">SUM(L41)</f>
        <v>2312134.2480073068</v>
      </c>
      <c r="M42" s="362"/>
      <c r="N42" s="10"/>
    </row>
    <row r="43" spans="2:15" x14ac:dyDescent="0.35">
      <c r="B43" s="10">
        <f t="shared" si="20"/>
        <v>2019</v>
      </c>
      <c r="C43" s="202" t="s">
        <v>837</v>
      </c>
      <c r="D43" s="10" t="s">
        <v>168</v>
      </c>
      <c r="E43" s="149">
        <f>'Transports - Calcul 2'!D24</f>
        <v>12422.925938332799</v>
      </c>
      <c r="F43" s="12" t="s">
        <v>96</v>
      </c>
      <c r="G43" s="918">
        <f>_xlfn.XLOOKUP($M43,'Facteurs d''émissions'!$B:$B,'Facteurs d''émissions'!D:D)*$E43</f>
        <v>3278.1616966072679</v>
      </c>
      <c r="H43" s="919">
        <f>_xlfn.XLOOKUP($M43,'Facteurs d''émissions'!$B:$B,'Facteurs d''émissions'!E:E)*$E43</f>
        <v>0</v>
      </c>
      <c r="I43" s="919">
        <f>_xlfn.XLOOKUP($M43,'Facteurs d''émissions'!$B:$B,'Facteurs d''émissions'!F:F)*$E43</f>
        <v>0</v>
      </c>
      <c r="J43" s="919">
        <f t="shared" si="13"/>
        <v>3278.1616966072679</v>
      </c>
      <c r="K43" s="918">
        <f>_xlfn.XLOOKUP($M43,'Facteurs d''émissions'!$B:$B,'Facteurs d''émissions'!H:H)*$E43</f>
        <v>1041.4261322815821</v>
      </c>
      <c r="L43" s="933">
        <f>G43+K43</f>
        <v>4319.5878288888498</v>
      </c>
      <c r="M43" s="362" t="s">
        <v>170</v>
      </c>
      <c r="N43" s="10"/>
    </row>
    <row r="44" spans="2:15" x14ac:dyDescent="0.35">
      <c r="B44" s="10">
        <f t="shared" si="20"/>
        <v>2019</v>
      </c>
      <c r="C44" s="202"/>
      <c r="D44" s="10" t="s">
        <v>175</v>
      </c>
      <c r="E44" s="149">
        <f>'Transports - Calcul 2'!C16+'Transports - Calcul 2'!E16</f>
        <v>27623.173722222142</v>
      </c>
      <c r="F44" s="11" t="s">
        <v>96</v>
      </c>
      <c r="G44" s="918">
        <f>_xlfn.XLOOKUP($M44,'Facteurs d''émissions'!$B:$B,'Facteurs d''émissions'!D:D)*$E44</f>
        <v>7289.2030818199992</v>
      </c>
      <c r="H44" s="919">
        <f>_xlfn.XLOOKUP($M44,'Facteurs d''émissions'!$B:$B,'Facteurs d''émissions'!E:E)*$E44</f>
        <v>0</v>
      </c>
      <c r="I44" s="919">
        <f>_xlfn.XLOOKUP($M44,'Facteurs d''émissions'!$B:$B,'Facteurs d''émissions'!F:F)*$E44</f>
        <v>0</v>
      </c>
      <c r="J44" s="919">
        <f t="shared" si="13"/>
        <v>7289.2030818199992</v>
      </c>
      <c r="K44" s="918">
        <f>_xlfn.XLOOKUP($M44,'Facteurs d''émissions'!$B:$B,'Facteurs d''émissions'!H:H)*$E44</f>
        <v>2315.6778937327176</v>
      </c>
      <c r="L44" s="933">
        <f>G44+K44</f>
        <v>9604.8809755527163</v>
      </c>
      <c r="M44" s="362" t="s">
        <v>170</v>
      </c>
      <c r="N44" s="10"/>
    </row>
    <row r="45" spans="2:15" x14ac:dyDescent="0.35">
      <c r="B45" s="10">
        <v>2019</v>
      </c>
      <c r="C45" s="18"/>
      <c r="D45" s="70" t="s">
        <v>176</v>
      </c>
      <c r="E45" s="149">
        <f>'Transports - Calcul 2'!D16</f>
        <v>15916.960344999956</v>
      </c>
      <c r="F45" s="11" t="s">
        <v>96</v>
      </c>
      <c r="G45" s="918">
        <f>_xlfn.XLOOKUP($M45,'Facteurs d''émissions'!$B:$B,'Facteurs d''émissions'!D:D)*$E45</f>
        <v>4219.5861874594884</v>
      </c>
      <c r="H45" s="919">
        <f>_xlfn.XLOOKUP($M45,'Facteurs d''émissions'!$B:$B,'Facteurs d''émissions'!E:E)*$E45</f>
        <v>0</v>
      </c>
      <c r="I45" s="919">
        <f>_xlfn.XLOOKUP($M45,'Facteurs d''émissions'!$B:$B,'Facteurs d''émissions'!F:F)*$E45</f>
        <v>0</v>
      </c>
      <c r="J45" s="932">
        <f t="shared" si="13"/>
        <v>4219.5861874594884</v>
      </c>
      <c r="K45" s="933">
        <f>_xlfn.XLOOKUP($M45,'Facteurs d''émissions'!$B:$B,'Facteurs d''émissions'!H:H)*$E45</f>
        <v>937.50896432049751</v>
      </c>
      <c r="L45" s="933">
        <f>G45+K45</f>
        <v>5157.0951517799858</v>
      </c>
      <c r="M45" s="362" t="s">
        <v>102</v>
      </c>
      <c r="N45" s="10"/>
    </row>
    <row r="46" spans="2:15" s="684" customFormat="1" x14ac:dyDescent="0.35">
      <c r="B46" s="10">
        <v>2019</v>
      </c>
      <c r="C46" s="18"/>
      <c r="D46" s="14" t="s">
        <v>836</v>
      </c>
      <c r="E46" s="702" t="s">
        <v>364</v>
      </c>
      <c r="F46" s="11"/>
      <c r="G46" s="921">
        <f>'Transports - Calcul 2'!D51</f>
        <v>10669.43202286117</v>
      </c>
      <c r="H46" s="922">
        <v>0</v>
      </c>
      <c r="I46" s="922">
        <v>0</v>
      </c>
      <c r="J46" s="923">
        <f>SUM(G46:I46)</f>
        <v>10669.43202286117</v>
      </c>
      <c r="K46" s="921">
        <f>'Transports - Calcul 2'!C58</f>
        <v>3630.0278211573559</v>
      </c>
      <c r="L46" s="934">
        <f>J46+K46</f>
        <v>14299.459844018525</v>
      </c>
      <c r="M46" s="362"/>
      <c r="N46" s="10"/>
    </row>
    <row r="47" spans="2:15" x14ac:dyDescent="0.35">
      <c r="B47" s="20" t="s">
        <v>6</v>
      </c>
      <c r="C47" s="21"/>
      <c r="D47" s="23"/>
      <c r="E47" s="213"/>
      <c r="F47" s="23"/>
      <c r="G47" s="924">
        <f>SUM(G43:G46)</f>
        <v>25456.382988747926</v>
      </c>
      <c r="H47" s="925">
        <f t="shared" ref="H47:I47" si="25">SUM(H43:H45)</f>
        <v>0</v>
      </c>
      <c r="I47" s="925">
        <f t="shared" si="25"/>
        <v>0</v>
      </c>
      <c r="J47" s="926">
        <f>SUM(G47:I47)</f>
        <v>25456.382988747926</v>
      </c>
      <c r="K47" s="929">
        <f>SUM(K43:K46)</f>
        <v>7924.6408114921533</v>
      </c>
      <c r="L47" s="937">
        <f>SUM(L43:L46)</f>
        <v>33381.023800240073</v>
      </c>
      <c r="M47" s="117"/>
      <c r="N47" s="10"/>
    </row>
    <row r="48" spans="2:15" x14ac:dyDescent="0.35">
      <c r="B48" s="198" t="s">
        <v>7</v>
      </c>
      <c r="C48" s="199"/>
      <c r="D48" s="200"/>
      <c r="E48" s="566"/>
      <c r="F48" s="201"/>
      <c r="G48" s="935">
        <f>G38+G40+G42+G47</f>
        <v>1290079.2669227046</v>
      </c>
      <c r="H48" s="936">
        <f t="shared" ref="H48" si="26">H38+H40+H42+H47</f>
        <v>0</v>
      </c>
      <c r="I48" s="936">
        <f t="shared" ref="I48" si="27">I38+I40+I42+I47</f>
        <v>0</v>
      </c>
      <c r="J48" s="936">
        <f t="shared" si="13"/>
        <v>1290079.2669227046</v>
      </c>
      <c r="K48" s="935">
        <f t="shared" ref="K48" si="28">K38+K40+K42+K47</f>
        <v>3762560.6204536124</v>
      </c>
      <c r="L48" s="938">
        <f t="shared" ref="L48" si="29">L38+L40+L42+L47</f>
        <v>5052639.8873763159</v>
      </c>
      <c r="M48" s="117"/>
      <c r="N48" s="10"/>
    </row>
    <row r="49" spans="1:24" x14ac:dyDescent="0.35">
      <c r="D49" s="206"/>
      <c r="G49" s="139"/>
      <c r="H49" s="139"/>
      <c r="I49" s="139"/>
      <c r="J49" s="139"/>
      <c r="K49" s="139"/>
      <c r="L49" s="139"/>
      <c r="M49" s="117"/>
      <c r="P49" s="162"/>
      <c r="Q49" s="684"/>
      <c r="R49" s="139"/>
      <c r="S49" s="139"/>
      <c r="T49" s="139"/>
      <c r="U49" s="139"/>
      <c r="V49" s="139"/>
      <c r="W49" s="139"/>
    </row>
    <row r="50" spans="1:24" s="195" customFormat="1" x14ac:dyDescent="0.35">
      <c r="A50" s="194">
        <v>2015</v>
      </c>
      <c r="E50" s="314"/>
      <c r="G50" s="196"/>
      <c r="H50" s="196"/>
      <c r="I50" s="196"/>
      <c r="J50" s="196"/>
      <c r="K50" s="196"/>
      <c r="L50" s="196"/>
      <c r="M50" s="197"/>
    </row>
    <row r="51" spans="1:24" x14ac:dyDescent="0.35">
      <c r="G51" s="139"/>
      <c r="H51" s="139"/>
      <c r="I51" s="139"/>
      <c r="J51" s="139"/>
      <c r="K51" s="139"/>
      <c r="L51" s="139"/>
      <c r="M51" s="117"/>
    </row>
    <row r="52" spans="1:24" ht="29" x14ac:dyDescent="0.35">
      <c r="D52" s="5"/>
      <c r="E52" s="151"/>
      <c r="F52" s="14"/>
      <c r="G52" s="970" t="s">
        <v>734</v>
      </c>
      <c r="H52" s="971"/>
      <c r="I52" s="971"/>
      <c r="J52" s="972"/>
      <c r="K52" s="667" t="s">
        <v>728</v>
      </c>
      <c r="L52" s="668" t="s">
        <v>735</v>
      </c>
      <c r="M52" s="117"/>
      <c r="N52" s="10"/>
    </row>
    <row r="53" spans="1:24" ht="15" thickBot="1" x14ac:dyDescent="0.4">
      <c r="B53" s="15" t="s">
        <v>5</v>
      </c>
      <c r="C53" s="17" t="s">
        <v>340</v>
      </c>
      <c r="D53" s="9" t="s">
        <v>1</v>
      </c>
      <c r="E53" s="240" t="s">
        <v>129</v>
      </c>
      <c r="F53" s="4" t="s">
        <v>95</v>
      </c>
      <c r="G53" s="159" t="s">
        <v>48</v>
      </c>
      <c r="H53" s="160" t="s">
        <v>3</v>
      </c>
      <c r="I53" s="160" t="s">
        <v>50</v>
      </c>
      <c r="J53" s="161" t="s">
        <v>4</v>
      </c>
      <c r="K53" s="159" t="s">
        <v>4</v>
      </c>
      <c r="L53" s="159" t="s">
        <v>4</v>
      </c>
      <c r="M53" s="207"/>
      <c r="N53" s="10"/>
    </row>
    <row r="54" spans="1:24" ht="15" thickTop="1" x14ac:dyDescent="0.35">
      <c r="B54" s="10">
        <f t="shared" ref="B54:B59" si="30">$A$50</f>
        <v>2015</v>
      </c>
      <c r="C54" s="18" t="s">
        <v>163</v>
      </c>
      <c r="D54" s="12" t="s">
        <v>684</v>
      </c>
      <c r="E54" s="946">
        <f>'Transports - Calcul'!J131*10^6</f>
        <v>618047166.26411641</v>
      </c>
      <c r="F54" s="11" t="s">
        <v>396</v>
      </c>
      <c r="G54" s="939">
        <f>'Transports - Calcul'!Y131*10^6</f>
        <v>0</v>
      </c>
      <c r="H54" s="940">
        <v>0</v>
      </c>
      <c r="I54" s="940">
        <v>0</v>
      </c>
      <c r="J54" s="940">
        <f>SUM(G54:I54)</f>
        <v>0</v>
      </c>
      <c r="K54" s="939">
        <f>'Transports - Calcul'!Y152*10^6</f>
        <v>1106.8670162525571</v>
      </c>
      <c r="L54" s="941">
        <f t="shared" ref="L54:L59" si="31">G54+K54</f>
        <v>1106.8670162525571</v>
      </c>
      <c r="M54" s="207"/>
      <c r="N54" s="10"/>
      <c r="Q54" s="684"/>
      <c r="R54" s="684"/>
      <c r="S54" s="684"/>
      <c r="T54" s="684"/>
      <c r="U54" s="684"/>
      <c r="V54" s="684"/>
      <c r="W54" s="684"/>
      <c r="X54" s="684"/>
    </row>
    <row r="55" spans="1:24" x14ac:dyDescent="0.35">
      <c r="B55" s="10">
        <f t="shared" si="30"/>
        <v>2015</v>
      </c>
      <c r="C55" s="18"/>
      <c r="D55" s="12" t="s">
        <v>558</v>
      </c>
      <c r="E55" s="946">
        <f>'Transports - Calcul'!J134*10^6</f>
        <v>188461386.6589407</v>
      </c>
      <c r="F55" s="11" t="s">
        <v>396</v>
      </c>
      <c r="G55" s="918">
        <f>'Transports - Calcul'!Y134*10^6</f>
        <v>18228.422859518105</v>
      </c>
      <c r="H55" s="919">
        <v>0</v>
      </c>
      <c r="I55" s="919">
        <v>0</v>
      </c>
      <c r="J55" s="919">
        <f t="shared" ref="J55:J59" si="32">SUM(G55:I55)</f>
        <v>18228.422859518105</v>
      </c>
      <c r="K55" s="918">
        <f>'Transports - Calcul'!Y155*10^6</f>
        <v>18833.82635872822</v>
      </c>
      <c r="L55" s="933">
        <f t="shared" si="31"/>
        <v>37062.249218246325</v>
      </c>
      <c r="M55" s="207"/>
      <c r="N55" s="10"/>
      <c r="Q55" s="684"/>
      <c r="R55" s="684"/>
      <c r="S55" s="684"/>
      <c r="T55" s="684"/>
      <c r="U55" s="684"/>
      <c r="V55" s="684"/>
      <c r="W55" s="684"/>
      <c r="X55" s="684"/>
    </row>
    <row r="56" spans="1:24" x14ac:dyDescent="0.35">
      <c r="B56" s="10">
        <f t="shared" si="30"/>
        <v>2015</v>
      </c>
      <c r="C56" s="18"/>
      <c r="D56" s="12" t="s">
        <v>548</v>
      </c>
      <c r="E56" s="947">
        <f>'Transports - Calcul'!J140*10^6</f>
        <v>7421944370.8286676</v>
      </c>
      <c r="F56" s="334" t="s">
        <v>396</v>
      </c>
      <c r="G56" s="918">
        <f>'Transports - Calcul'!Y140*10^6</f>
        <v>985132.05254731502</v>
      </c>
      <c r="H56" s="919">
        <v>0</v>
      </c>
      <c r="I56" s="919">
        <v>0</v>
      </c>
      <c r="J56" s="919">
        <f t="shared" si="32"/>
        <v>985132.05254731502</v>
      </c>
      <c r="K56" s="918">
        <f>'Transports - Calcul'!Y161*10^6</f>
        <v>1006891.057039212</v>
      </c>
      <c r="L56" s="933">
        <f t="shared" si="31"/>
        <v>1992023.1095865271</v>
      </c>
      <c r="M56" s="207"/>
      <c r="N56" s="10"/>
      <c r="Q56" s="684"/>
      <c r="R56" s="684"/>
      <c r="S56" s="684"/>
      <c r="T56" s="684"/>
      <c r="U56" s="684"/>
      <c r="V56" s="684"/>
      <c r="W56" s="684"/>
      <c r="X56" s="684"/>
    </row>
    <row r="57" spans="1:24" x14ac:dyDescent="0.35">
      <c r="B57" s="10">
        <f t="shared" si="30"/>
        <v>2015</v>
      </c>
      <c r="C57" s="18"/>
      <c r="D57" s="12" t="s">
        <v>591</v>
      </c>
      <c r="E57" s="947">
        <f>'Transports - Calcul'!J141*10^6</f>
        <v>1668581639.853663</v>
      </c>
      <c r="F57" s="334" t="s">
        <v>396</v>
      </c>
      <c r="G57" s="918">
        <f>'Transports - Calcul'!Y141*10^6</f>
        <v>86.522694402016313</v>
      </c>
      <c r="H57" s="919">
        <v>0</v>
      </c>
      <c r="I57" s="919">
        <v>0</v>
      </c>
      <c r="J57" s="919">
        <f t="shared" si="32"/>
        <v>86.522694402016313</v>
      </c>
      <c r="K57" s="918">
        <f>'Transports - Calcul'!Y162*10^6</f>
        <v>16249.764113635712</v>
      </c>
      <c r="L57" s="933">
        <f t="shared" si="31"/>
        <v>16336.286808037728</v>
      </c>
      <c r="M57" s="207"/>
      <c r="N57" s="10"/>
      <c r="Q57" s="684"/>
      <c r="R57" s="684"/>
      <c r="S57" s="684"/>
      <c r="T57" s="684"/>
      <c r="U57" s="684"/>
      <c r="V57" s="684"/>
      <c r="W57" s="684"/>
      <c r="X57" s="684"/>
    </row>
    <row r="58" spans="1:24" x14ac:dyDescent="0.35">
      <c r="B58" s="10">
        <f t="shared" si="30"/>
        <v>2015</v>
      </c>
      <c r="C58" s="18"/>
      <c r="D58" s="12" t="s">
        <v>685</v>
      </c>
      <c r="E58" s="947">
        <f>'Transports - Calcul'!J142*10^6</f>
        <v>292197661.27290487</v>
      </c>
      <c r="F58" s="334" t="s">
        <v>396</v>
      </c>
      <c r="G58" s="918">
        <f>'Transports - Calcul'!Y142*10^6</f>
        <v>16830.313750609512</v>
      </c>
      <c r="H58" s="919">
        <v>0</v>
      </c>
      <c r="I58" s="919">
        <v>0</v>
      </c>
      <c r="J58" s="919">
        <f t="shared" si="32"/>
        <v>16830.313750609512</v>
      </c>
      <c r="K58" s="918">
        <f>'Transports - Calcul'!Y163*10^6</f>
        <v>12229.137609534921</v>
      </c>
      <c r="L58" s="933">
        <f t="shared" si="31"/>
        <v>29059.451360144434</v>
      </c>
      <c r="M58" s="207"/>
      <c r="N58" s="10"/>
      <c r="Q58" s="684"/>
      <c r="R58" s="684"/>
      <c r="S58" s="684"/>
      <c r="T58" s="684"/>
      <c r="U58" s="684"/>
      <c r="V58" s="684"/>
      <c r="W58" s="684"/>
      <c r="X58" s="684"/>
    </row>
    <row r="59" spans="1:24" x14ac:dyDescent="0.35">
      <c r="B59" s="10">
        <f t="shared" si="30"/>
        <v>2015</v>
      </c>
      <c r="C59" s="18"/>
      <c r="D59" s="12" t="s">
        <v>492</v>
      </c>
      <c r="E59" s="948">
        <f>'Transports - Calcul'!J143*10^6</f>
        <v>82675194.056763485</v>
      </c>
      <c r="F59" s="334" t="s">
        <v>396</v>
      </c>
      <c r="G59" s="921">
        <f>'Transports - Calcul'!Y143*10^6</f>
        <v>15.495135973799142</v>
      </c>
      <c r="H59" s="922">
        <v>0</v>
      </c>
      <c r="I59" s="922">
        <v>0</v>
      </c>
      <c r="J59" s="923">
        <f t="shared" si="32"/>
        <v>15.495135973799142</v>
      </c>
      <c r="K59" s="921">
        <f>'Transports - Calcul'!Y164*10^6</f>
        <v>3430.6969524713313</v>
      </c>
      <c r="L59" s="934">
        <f t="shared" si="31"/>
        <v>3446.1920884451306</v>
      </c>
      <c r="M59" s="207"/>
      <c r="N59" s="10"/>
      <c r="Q59" s="684"/>
      <c r="R59" s="684"/>
      <c r="S59" s="684"/>
      <c r="T59" s="684"/>
      <c r="U59" s="684"/>
      <c r="V59" s="684"/>
      <c r="W59" s="684"/>
      <c r="X59" s="684"/>
    </row>
    <row r="60" spans="1:24" x14ac:dyDescent="0.35">
      <c r="B60" s="20" t="s">
        <v>6</v>
      </c>
      <c r="C60" s="21"/>
      <c r="D60" s="22"/>
      <c r="E60" s="211"/>
      <c r="F60" s="23"/>
      <c r="G60" s="924">
        <f>SUM(G54:G59)</f>
        <v>1020292.8069878184</v>
      </c>
      <c r="H60" s="925">
        <f t="shared" ref="H60" si="33">SUM(H54:H59)</f>
        <v>0</v>
      </c>
      <c r="I60" s="925">
        <f t="shared" ref="I60" si="34">SUM(I54:I59)</f>
        <v>0</v>
      </c>
      <c r="J60" s="926">
        <f t="shared" ref="J60:J70" si="35">SUM(G60:I60)</f>
        <v>1020292.8069878184</v>
      </c>
      <c r="K60" s="924">
        <f t="shared" ref="K60" si="36">SUM(K54:K59)</f>
        <v>1058741.3490898348</v>
      </c>
      <c r="L60" s="924">
        <f t="shared" ref="L60" si="37">SUM(L54:L59)</f>
        <v>2079034.1560776532</v>
      </c>
      <c r="M60" s="207"/>
      <c r="N60" s="10"/>
      <c r="Q60" s="684"/>
      <c r="R60" s="684"/>
      <c r="S60" s="684"/>
      <c r="T60" s="684"/>
      <c r="U60" s="684"/>
      <c r="V60" s="684"/>
      <c r="W60" s="684"/>
      <c r="X60" s="684"/>
    </row>
    <row r="61" spans="1:24" x14ac:dyDescent="0.35">
      <c r="B61" s="10">
        <f>$A$50</f>
        <v>2015</v>
      </c>
      <c r="C61" s="18" t="s">
        <v>165</v>
      </c>
      <c r="D61" s="70"/>
      <c r="E61" s="149"/>
      <c r="F61" s="12"/>
      <c r="G61" s="927">
        <f>'Transports - Calcul'!J183*10^6</f>
        <v>238987</v>
      </c>
      <c r="H61" s="928">
        <v>0</v>
      </c>
      <c r="I61" s="928">
        <v>0</v>
      </c>
      <c r="J61" s="928">
        <f>SUM(G61:I61)</f>
        <v>238987</v>
      </c>
      <c r="K61" s="927">
        <f>'Transports - Calcul'!R183*10^6</f>
        <v>368624</v>
      </c>
      <c r="L61" s="928">
        <f>G61+K61</f>
        <v>607611</v>
      </c>
      <c r="M61" s="207"/>
      <c r="N61" s="10"/>
      <c r="Q61" s="684"/>
      <c r="R61" s="684"/>
      <c r="S61" s="684"/>
      <c r="T61" s="684"/>
      <c r="U61" s="684"/>
      <c r="V61" s="684"/>
      <c r="W61" s="684"/>
      <c r="X61" s="684"/>
    </row>
    <row r="62" spans="1:24" x14ac:dyDescent="0.35">
      <c r="B62" s="20" t="s">
        <v>6</v>
      </c>
      <c r="C62" s="21"/>
      <c r="D62" s="22"/>
      <c r="E62" s="211"/>
      <c r="F62" s="23"/>
      <c r="G62" s="929">
        <f>G61</f>
        <v>238987</v>
      </c>
      <c r="H62" s="930">
        <f t="shared" ref="H62" si="38">H61</f>
        <v>0</v>
      </c>
      <c r="I62" s="925">
        <f t="shared" ref="I62" si="39">I61</f>
        <v>0</v>
      </c>
      <c r="J62" s="926">
        <f t="shared" si="35"/>
        <v>238987</v>
      </c>
      <c r="K62" s="924">
        <f t="shared" ref="K62" si="40">K61</f>
        <v>368624</v>
      </c>
      <c r="L62" s="924">
        <f t="shared" ref="L62" si="41">L61</f>
        <v>607611</v>
      </c>
      <c r="M62" s="207"/>
      <c r="N62" s="10"/>
      <c r="Q62" s="684"/>
      <c r="R62" s="684"/>
      <c r="S62" s="684"/>
      <c r="T62" s="684"/>
      <c r="U62" s="684"/>
      <c r="V62" s="684"/>
      <c r="W62" s="684"/>
      <c r="X62" s="684"/>
    </row>
    <row r="63" spans="1:24" x14ac:dyDescent="0.35">
      <c r="B63" s="10">
        <f t="shared" ref="B63:B67" si="42">$A$50</f>
        <v>2015</v>
      </c>
      <c r="C63" s="202" t="str">
        <f>C41</f>
        <v>Aviation de tourisme et d'affaire</v>
      </c>
      <c r="D63" s="568" t="s">
        <v>167</v>
      </c>
      <c r="E63" s="148">
        <f>'Transports - Calcul'!J123*'Transports - Calcul'!C20</f>
        <v>7734684189</v>
      </c>
      <c r="F63" s="12" t="s">
        <v>396</v>
      </c>
      <c r="G63" s="927">
        <f>'Transports - Calcul'!J182*10^6</f>
        <v>0</v>
      </c>
      <c r="H63" s="950">
        <v>0</v>
      </c>
      <c r="I63" s="950">
        <v>0</v>
      </c>
      <c r="J63" s="931">
        <f>SUM(G63:I63)</f>
        <v>0</v>
      </c>
      <c r="K63" s="927">
        <f>'Transports - Calcul'!Y182*10^6</f>
        <v>2034003.241712742</v>
      </c>
      <c r="L63" s="927">
        <f>G63+K63</f>
        <v>2034003.241712742</v>
      </c>
      <c r="M63" s="207" t="s">
        <v>493</v>
      </c>
      <c r="N63" s="10"/>
      <c r="Q63" s="684"/>
      <c r="R63" s="684"/>
      <c r="S63" s="684"/>
      <c r="T63" s="684"/>
      <c r="U63" s="684"/>
      <c r="V63" s="684"/>
      <c r="W63" s="684"/>
      <c r="X63" s="684"/>
    </row>
    <row r="64" spans="1:24" x14ac:dyDescent="0.35">
      <c r="B64" s="20" t="s">
        <v>6</v>
      </c>
      <c r="C64" s="21"/>
      <c r="D64" s="22"/>
      <c r="E64" s="211"/>
      <c r="F64" s="23"/>
      <c r="G64" s="924">
        <f>SUM(G63)</f>
        <v>0</v>
      </c>
      <c r="H64" s="925">
        <f t="shared" ref="H64" si="43">SUM(H63)</f>
        <v>0</v>
      </c>
      <c r="I64" s="925">
        <f t="shared" ref="I64" si="44">SUM(I63)</f>
        <v>0</v>
      </c>
      <c r="J64" s="926">
        <f t="shared" si="35"/>
        <v>0</v>
      </c>
      <c r="K64" s="924">
        <f t="shared" ref="K64" si="45">SUM(K63)</f>
        <v>2034003.241712742</v>
      </c>
      <c r="L64" s="924">
        <f t="shared" ref="L64" si="46">SUM(L63)</f>
        <v>2034003.241712742</v>
      </c>
      <c r="M64" s="207"/>
      <c r="N64" s="10"/>
      <c r="Q64" s="684"/>
      <c r="R64" s="684"/>
      <c r="S64" s="684"/>
      <c r="T64" s="684"/>
      <c r="U64" s="684"/>
      <c r="V64" s="684"/>
      <c r="W64" s="684"/>
      <c r="X64" s="684"/>
    </row>
    <row r="65" spans="1:24" x14ac:dyDescent="0.35">
      <c r="B65" s="10">
        <f t="shared" si="42"/>
        <v>2015</v>
      </c>
      <c r="C65" s="202" t="str">
        <f>C43</f>
        <v>Autres transports</v>
      </c>
      <c r="D65" s="567" t="s">
        <v>168</v>
      </c>
      <c r="E65" s="148">
        <f>'Transports - Calcul 2'!D23</f>
        <v>12186.2677490064</v>
      </c>
      <c r="F65" s="12" t="s">
        <v>96</v>
      </c>
      <c r="G65" s="918">
        <f>_xlfn.XLOOKUP($M65,'Facteurs d''émissions'!$B:$B,'Facteurs d''émissions'!D:D)*$E65</f>
        <v>3215.7123336078175</v>
      </c>
      <c r="H65" s="919">
        <f>_xlfn.XLOOKUP($M65,'Facteurs d''émissions'!$B:$B,'Facteurs d''émissions'!E:E)*$E65</f>
        <v>0</v>
      </c>
      <c r="I65" s="919">
        <f>_xlfn.XLOOKUP($M65,'Facteurs d''émissions'!$B:$B,'Facteurs d''émissions'!F:F)*$E65</f>
        <v>0</v>
      </c>
      <c r="J65" s="919">
        <f t="shared" si="35"/>
        <v>3215.7123336078175</v>
      </c>
      <c r="K65" s="918">
        <f>_xlfn.XLOOKUP($M65,'Facteurs d''émissions'!$B:$B,'Facteurs d''émissions'!H:H)*$E65</f>
        <v>1021.5868428898248</v>
      </c>
      <c r="L65" s="918">
        <f>G65+K65</f>
        <v>4237.2991764976423</v>
      </c>
      <c r="M65" s="207" t="s">
        <v>170</v>
      </c>
      <c r="N65" s="10"/>
      <c r="Q65" s="684"/>
      <c r="R65" s="684"/>
      <c r="S65" s="684"/>
      <c r="T65" s="684"/>
      <c r="U65" s="684"/>
      <c r="V65" s="684"/>
      <c r="W65" s="684"/>
      <c r="X65" s="684"/>
    </row>
    <row r="66" spans="1:24" x14ac:dyDescent="0.35">
      <c r="B66" s="10">
        <f t="shared" si="42"/>
        <v>2015</v>
      </c>
      <c r="C66" s="202"/>
      <c r="D66" s="70" t="s">
        <v>175</v>
      </c>
      <c r="E66" s="318">
        <f>'Transports - Calcul 2'!C15+'Transports - Calcul 2'!E15</f>
        <v>26472.150199999927</v>
      </c>
      <c r="F66" s="11" t="s">
        <v>96</v>
      </c>
      <c r="G66" s="918">
        <f>_xlfn.XLOOKUP($M66,'Facteurs d''émissions'!$B:$B,'Facteurs d''émissions'!D:D)*$E66</f>
        <v>6985.4709947760002</v>
      </c>
      <c r="H66" s="919">
        <f>_xlfn.XLOOKUP($M66,'Facteurs d''émissions'!$B:$B,'Facteurs d''émissions'!E:E)*$E66</f>
        <v>0</v>
      </c>
      <c r="I66" s="919">
        <f>_xlfn.XLOOKUP($M66,'Facteurs d''émissions'!$B:$B,'Facteurs d''émissions'!F:F)*$E66</f>
        <v>0</v>
      </c>
      <c r="J66" s="919">
        <f>SUM(G66:I66)</f>
        <v>6985.4709947760002</v>
      </c>
      <c r="K66" s="918">
        <f>_xlfn.XLOOKUP($M66,'Facteurs d''émissions'!$B:$B,'Facteurs d''émissions'!H:H)*$E66</f>
        <v>2219.1864567827301</v>
      </c>
      <c r="L66" s="918">
        <f>G66+K66</f>
        <v>9204.6574515587308</v>
      </c>
      <c r="M66" s="207" t="s">
        <v>170</v>
      </c>
      <c r="N66" s="10"/>
      <c r="Q66" s="684"/>
      <c r="R66" s="684"/>
      <c r="S66" s="684"/>
      <c r="T66" s="684"/>
      <c r="U66" s="684"/>
      <c r="V66" s="684"/>
      <c r="W66" s="684"/>
      <c r="X66" s="684"/>
    </row>
    <row r="67" spans="1:24" x14ac:dyDescent="0.35">
      <c r="B67" s="10">
        <f t="shared" si="42"/>
        <v>2015</v>
      </c>
      <c r="C67" s="18"/>
      <c r="D67" s="70" t="s">
        <v>176</v>
      </c>
      <c r="E67" s="149">
        <f>'Transports - Calcul 2'!D15</f>
        <v>15902.087868333287</v>
      </c>
      <c r="F67" s="11" t="s">
        <v>96</v>
      </c>
      <c r="G67" s="918">
        <f>_xlfn.XLOOKUP($M67,'Facteurs d''émissions'!$B:$B,'Facteurs d''émissions'!D:D)*$E67</f>
        <v>4215.6434938951543</v>
      </c>
      <c r="H67" s="919">
        <f>_xlfn.XLOOKUP($M67,'Facteurs d''émissions'!$B:$B,'Facteurs d''émissions'!E:E)*$E67</f>
        <v>0</v>
      </c>
      <c r="I67" s="919">
        <f>_xlfn.XLOOKUP($M67,'Facteurs d''émissions'!$B:$B,'Facteurs d''émissions'!F:F)*$E67</f>
        <v>0</v>
      </c>
      <c r="J67" s="932">
        <f t="shared" si="35"/>
        <v>4215.6434938951543</v>
      </c>
      <c r="K67" s="918">
        <f>_xlfn.XLOOKUP($M67,'Facteurs d''émissions'!$B:$B,'Facteurs d''émissions'!H:H)*$E67</f>
        <v>936.63297544483066</v>
      </c>
      <c r="L67" s="933">
        <f>G67+K67</f>
        <v>5152.2764693399849</v>
      </c>
      <c r="M67" s="207" t="s">
        <v>102</v>
      </c>
      <c r="N67" s="10"/>
      <c r="Q67" s="684"/>
      <c r="R67" s="684"/>
      <c r="S67" s="684"/>
      <c r="T67" s="684"/>
      <c r="U67" s="684"/>
      <c r="V67" s="684"/>
      <c r="W67" s="684"/>
      <c r="X67" s="684"/>
    </row>
    <row r="68" spans="1:24" s="684" customFormat="1" x14ac:dyDescent="0.35">
      <c r="B68" s="10">
        <v>2015</v>
      </c>
      <c r="C68" s="18"/>
      <c r="D68" s="14" t="s">
        <v>836</v>
      </c>
      <c r="E68" s="702" t="s">
        <v>364</v>
      </c>
      <c r="F68" s="11"/>
      <c r="G68" s="921">
        <f>'Transports - Calcul 2'!D50</f>
        <v>12452.972855220394</v>
      </c>
      <c r="H68" s="922">
        <v>0</v>
      </c>
      <c r="I68" s="922">
        <v>0</v>
      </c>
      <c r="J68" s="923">
        <f>SUM(G68:I68)</f>
        <v>12452.972855220394</v>
      </c>
      <c r="K68" s="921">
        <f>'Transports - Calcul 2'!C57</f>
        <v>4236.8363961369587</v>
      </c>
      <c r="L68" s="934">
        <f>J68+K68</f>
        <v>16689.809251357354</v>
      </c>
      <c r="M68" s="207"/>
      <c r="N68" s="10"/>
    </row>
    <row r="69" spans="1:24" x14ac:dyDescent="0.35">
      <c r="B69" s="20" t="s">
        <v>6</v>
      </c>
      <c r="C69" s="21"/>
      <c r="D69" s="22"/>
      <c r="E69" s="211"/>
      <c r="F69" s="23"/>
      <c r="G69" s="924">
        <f>SUM(G65:G68)</f>
        <v>26869.799677499366</v>
      </c>
      <c r="H69" s="925">
        <f t="shared" ref="H69:I69" si="47">SUM(H65:H67)</f>
        <v>0</v>
      </c>
      <c r="I69" s="925">
        <f t="shared" si="47"/>
        <v>0</v>
      </c>
      <c r="J69" s="926">
        <f>SUM(G69:I69)</f>
        <v>26869.799677499366</v>
      </c>
      <c r="K69" s="929">
        <f>SUM(K65:K68)</f>
        <v>8414.2426712543456</v>
      </c>
      <c r="L69" s="924">
        <f>SUM(L65:L68)</f>
        <v>35284.042348753712</v>
      </c>
      <c r="M69" s="207"/>
      <c r="N69" s="10"/>
      <c r="Q69" s="684"/>
      <c r="R69" s="684"/>
      <c r="S69" s="684"/>
      <c r="T69" s="684"/>
      <c r="U69" s="684"/>
      <c r="V69" s="684"/>
      <c r="W69" s="684"/>
      <c r="X69" s="684"/>
    </row>
    <row r="70" spans="1:24" x14ac:dyDescent="0.35">
      <c r="B70" s="198" t="s">
        <v>7</v>
      </c>
      <c r="C70" s="199"/>
      <c r="D70" s="200"/>
      <c r="E70" s="566"/>
      <c r="F70" s="201"/>
      <c r="G70" s="935">
        <f>G60+G62+G64+G69</f>
        <v>1286149.6066653177</v>
      </c>
      <c r="H70" s="936">
        <f t="shared" ref="H70" si="48">H60+H62+H64+H69</f>
        <v>0</v>
      </c>
      <c r="I70" s="936">
        <f t="shared" ref="I70" si="49">I60+I62+I64+I69</f>
        <v>0</v>
      </c>
      <c r="J70" s="936">
        <f t="shared" si="35"/>
        <v>1286149.6066653177</v>
      </c>
      <c r="K70" s="935">
        <f t="shared" ref="K70" si="50">K60+K62+K64+K69</f>
        <v>3469782.8334738314</v>
      </c>
      <c r="L70" s="935">
        <f t="shared" ref="L70" si="51">L60+L62+L64+L69</f>
        <v>4755932.4401391484</v>
      </c>
      <c r="M70" s="207"/>
      <c r="N70" s="10"/>
      <c r="Q70" s="684"/>
      <c r="R70" s="684"/>
      <c r="S70" s="684"/>
      <c r="T70" s="684"/>
      <c r="U70" s="684"/>
      <c r="V70" s="684"/>
      <c r="W70" s="684"/>
      <c r="X70" s="684"/>
    </row>
    <row r="71" spans="1:24" x14ac:dyDescent="0.35">
      <c r="G71" s="139"/>
      <c r="H71" s="139"/>
      <c r="I71" s="139"/>
      <c r="J71" s="139"/>
      <c r="K71" s="139"/>
      <c r="L71" s="139"/>
      <c r="M71" s="117"/>
    </row>
    <row r="72" spans="1:24" x14ac:dyDescent="0.35">
      <c r="G72" s="139"/>
      <c r="H72" s="139"/>
      <c r="I72" s="139"/>
      <c r="J72" s="139"/>
      <c r="K72" s="139"/>
      <c r="L72" s="139"/>
      <c r="M72" s="117"/>
    </row>
    <row r="73" spans="1:24" s="195" customFormat="1" ht="13.5" customHeight="1" x14ac:dyDescent="0.35">
      <c r="A73" s="194">
        <v>1990</v>
      </c>
      <c r="E73" s="314"/>
      <c r="G73" s="196"/>
      <c r="H73" s="196"/>
      <c r="I73" s="196"/>
      <c r="J73" s="196"/>
      <c r="K73" s="196"/>
      <c r="L73" s="196"/>
      <c r="M73" s="197"/>
    </row>
    <row r="74" spans="1:24" x14ac:dyDescent="0.35">
      <c r="G74" s="139"/>
      <c r="H74" s="139"/>
      <c r="I74" s="139"/>
      <c r="J74" s="139"/>
      <c r="K74" s="139"/>
      <c r="L74" s="139"/>
      <c r="M74" s="117"/>
    </row>
    <row r="75" spans="1:24" ht="29" x14ac:dyDescent="0.35">
      <c r="D75" s="5"/>
      <c r="E75" s="151"/>
      <c r="F75" s="14"/>
      <c r="G75" s="970" t="s">
        <v>722</v>
      </c>
      <c r="H75" s="971"/>
      <c r="I75" s="971"/>
      <c r="J75" s="972"/>
      <c r="K75" s="667" t="s">
        <v>731</v>
      </c>
      <c r="L75" s="668" t="s">
        <v>723</v>
      </c>
      <c r="M75" s="117"/>
      <c r="N75" s="10"/>
    </row>
    <row r="76" spans="1:24" ht="15" thickBot="1" x14ac:dyDescent="0.4">
      <c r="B76" s="15" t="s">
        <v>5</v>
      </c>
      <c r="C76" s="17" t="s">
        <v>340</v>
      </c>
      <c r="D76" s="9" t="s">
        <v>1</v>
      </c>
      <c r="E76" s="240" t="s">
        <v>129</v>
      </c>
      <c r="F76" s="4" t="s">
        <v>95</v>
      </c>
      <c r="G76" s="159" t="s">
        <v>48</v>
      </c>
      <c r="H76" s="160" t="s">
        <v>3</v>
      </c>
      <c r="I76" s="160" t="s">
        <v>50</v>
      </c>
      <c r="J76" s="161" t="s">
        <v>4</v>
      </c>
      <c r="K76" s="159" t="s">
        <v>4</v>
      </c>
      <c r="L76" s="159" t="s">
        <v>4</v>
      </c>
      <c r="M76" s="117"/>
      <c r="N76" s="10"/>
    </row>
    <row r="77" spans="1:24" ht="15" thickTop="1" x14ac:dyDescent="0.35">
      <c r="B77" s="10">
        <f>$A$73</f>
        <v>1990</v>
      </c>
      <c r="C77" s="18"/>
      <c r="D77" s="12" t="s">
        <v>163</v>
      </c>
      <c r="E77" s="148"/>
      <c r="F77" s="11"/>
      <c r="G77" s="939"/>
      <c r="H77" s="940"/>
      <c r="I77" s="940"/>
      <c r="J77" s="940">
        <f>Constantes!C27*POP_VD_1990/Pop_CH_1990*(J60/POP_VD_2015)/(Constantes!D27*10^6/POP_CH_2015)*10^6</f>
        <v>930044.04269985098</v>
      </c>
      <c r="K77" s="939"/>
      <c r="L77" s="941"/>
      <c r="M77" s="117"/>
      <c r="N77" s="10"/>
    </row>
    <row r="78" spans="1:24" x14ac:dyDescent="0.35">
      <c r="B78" s="10">
        <f t="shared" ref="B78" si="52">$A$73</f>
        <v>1990</v>
      </c>
      <c r="C78" s="18"/>
      <c r="D78" s="14" t="s">
        <v>693</v>
      </c>
      <c r="E78" s="151"/>
      <c r="F78" s="11"/>
      <c r="G78" s="921"/>
      <c r="H78" s="922"/>
      <c r="I78" s="922"/>
      <c r="J78" s="922">
        <f>Constantes!C28*(POP_VD_1990/Pop_CH_1990)*(('Transports - Emissions'!J62+'Transports - Emissions'!J69)/POP_VD_2015)/(Constantes!D28/POP_CH_2015)</f>
        <v>223981.71538144836</v>
      </c>
      <c r="K78" s="921"/>
      <c r="L78" s="934"/>
      <c r="M78" s="117"/>
      <c r="N78" s="10"/>
    </row>
    <row r="79" spans="1:24" x14ac:dyDescent="0.35">
      <c r="B79" s="20" t="s">
        <v>6</v>
      </c>
      <c r="C79" s="21"/>
      <c r="D79" s="22"/>
      <c r="E79" s="211"/>
      <c r="F79" s="23"/>
      <c r="G79" s="929"/>
      <c r="H79" s="925"/>
      <c r="I79" s="925"/>
      <c r="J79" s="926">
        <f>SUM(J77:J78)</f>
        <v>1154025.7580812993</v>
      </c>
      <c r="K79" s="929"/>
      <c r="L79" s="942"/>
      <c r="M79" s="117"/>
      <c r="N79" s="10"/>
    </row>
    <row r="80" spans="1:24" x14ac:dyDescent="0.35">
      <c r="B80" s="198" t="s">
        <v>7</v>
      </c>
      <c r="C80" s="199"/>
      <c r="D80" s="200"/>
      <c r="E80" s="566"/>
      <c r="F80" s="201"/>
      <c r="G80" s="935"/>
      <c r="H80" s="936"/>
      <c r="I80" s="936"/>
      <c r="J80" s="943">
        <f>J79</f>
        <v>1154025.7580812993</v>
      </c>
      <c r="K80" s="935"/>
      <c r="L80" s="938"/>
      <c r="M80" s="117"/>
      <c r="N80" s="10"/>
    </row>
    <row r="81" spans="4:13" x14ac:dyDescent="0.35">
      <c r="G81" s="139"/>
      <c r="H81" s="139"/>
      <c r="I81" s="139"/>
      <c r="J81" s="139"/>
      <c r="K81" s="139"/>
      <c r="L81" s="139"/>
      <c r="M81" s="117"/>
    </row>
    <row r="82" spans="4:13" x14ac:dyDescent="0.35">
      <c r="G82" s="139"/>
      <c r="H82" s="139"/>
      <c r="I82" s="139"/>
      <c r="J82" s="139"/>
      <c r="K82" s="139"/>
      <c r="L82" s="139"/>
      <c r="M82" s="117"/>
    </row>
    <row r="84" spans="4:13" x14ac:dyDescent="0.35">
      <c r="D84" s="422"/>
    </row>
    <row r="85" spans="4:13" x14ac:dyDescent="0.35">
      <c r="D85" s="177"/>
    </row>
    <row r="86" spans="4:13" x14ac:dyDescent="0.35">
      <c r="D86" s="177"/>
    </row>
  </sheetData>
  <sheetProtection algorithmName="SHA-512" hashValue="2fDhjav3KBFJDjC+j5PA+zFGgKu+gQ/e0iViWCUas860Ku/GSBxBG7HxkwBonv7bHqmurygH8AcauMlQTAo4XA==" saltValue="iEhZCP3/5ffDsW3OHkotmg==" spinCount="100000" sheet="1" objects="1" scenarios="1"/>
  <mergeCells count="4">
    <mergeCell ref="G52:J52"/>
    <mergeCell ref="G75:J75"/>
    <mergeCell ref="G8:J8"/>
    <mergeCell ref="G30:J30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ECC4E-E7D2-4AB4-AC15-8F450A77AD88}">
  <sheetPr>
    <tabColor rgb="FF0070C0"/>
  </sheetPr>
  <dimension ref="B2:J59"/>
  <sheetViews>
    <sheetView topLeftCell="A23" workbookViewId="0">
      <selection activeCell="D30" sqref="D30"/>
    </sheetView>
  </sheetViews>
  <sheetFormatPr baseColWidth="10" defaultRowHeight="14.5" x14ac:dyDescent="0.35"/>
  <cols>
    <col min="2" max="2" width="27.54296875" customWidth="1"/>
    <col min="3" max="3" width="20.453125" customWidth="1"/>
    <col min="4" max="4" width="21.453125" customWidth="1"/>
    <col min="5" max="5" width="18.81640625" customWidth="1"/>
    <col min="6" max="6" width="16.26953125" customWidth="1"/>
  </cols>
  <sheetData>
    <row r="2" spans="2:8" s="73" customFormat="1" ht="33.5" x14ac:dyDescent="0.75">
      <c r="B2" s="204" t="s">
        <v>721</v>
      </c>
    </row>
    <row r="5" spans="2:8" s="195" customFormat="1" x14ac:dyDescent="0.35">
      <c r="B5" s="195" t="s">
        <v>733</v>
      </c>
    </row>
    <row r="7" spans="2:8" x14ac:dyDescent="0.35">
      <c r="B7" s="183" t="s">
        <v>169</v>
      </c>
      <c r="C7" s="5"/>
      <c r="D7" s="5"/>
      <c r="E7" s="5"/>
    </row>
    <row r="9" spans="2:8" x14ac:dyDescent="0.35">
      <c r="B9" s="205"/>
      <c r="C9" s="205" t="s">
        <v>178</v>
      </c>
      <c r="D9" s="205" t="s">
        <v>179</v>
      </c>
      <c r="E9" s="205" t="s">
        <v>180</v>
      </c>
      <c r="G9" s="205" t="s">
        <v>174</v>
      </c>
      <c r="H9">
        <v>277777.777777777</v>
      </c>
    </row>
    <row r="10" spans="2:8" x14ac:dyDescent="0.35">
      <c r="B10">
        <v>2015</v>
      </c>
      <c r="C10" s="949">
        <v>93.948295439999995</v>
      </c>
      <c r="D10" s="215">
        <v>57.247516325999996</v>
      </c>
      <c r="E10" s="215">
        <v>1.3514452799999999</v>
      </c>
    </row>
    <row r="11" spans="2:8" x14ac:dyDescent="0.35">
      <c r="B11">
        <v>2019</v>
      </c>
      <c r="C11" s="215">
        <v>98.381182639999992</v>
      </c>
      <c r="D11" s="215">
        <v>57.301057242000006</v>
      </c>
      <c r="E11" s="215">
        <v>1.06224276</v>
      </c>
    </row>
    <row r="12" spans="2:8" x14ac:dyDescent="0.35">
      <c r="B12">
        <v>2023</v>
      </c>
      <c r="C12" s="215">
        <v>90.629306899999975</v>
      </c>
      <c r="D12" s="215">
        <v>62.749285169999993</v>
      </c>
      <c r="E12" s="215">
        <v>1.12881364</v>
      </c>
      <c r="G12" s="124" t="s">
        <v>184</v>
      </c>
    </row>
    <row r="14" spans="2:8" x14ac:dyDescent="0.35">
      <c r="B14" s="205"/>
      <c r="C14" s="205" t="s">
        <v>183</v>
      </c>
      <c r="D14" s="205" t="s">
        <v>182</v>
      </c>
      <c r="E14" s="205" t="s">
        <v>181</v>
      </c>
      <c r="F14" s="684"/>
    </row>
    <row r="15" spans="2:8" x14ac:dyDescent="0.35">
      <c r="B15">
        <v>2015</v>
      </c>
      <c r="C15" s="39">
        <f>C10*$H$9/1000</f>
        <v>26096.748733333261</v>
      </c>
      <c r="D15" s="39">
        <f>D10*$H$9/1000</f>
        <v>15902.087868333287</v>
      </c>
      <c r="E15" s="39">
        <f>E10*$H$9/1000</f>
        <v>375.40146666666556</v>
      </c>
      <c r="F15" s="684"/>
    </row>
    <row r="16" spans="2:8" x14ac:dyDescent="0.35">
      <c r="B16">
        <v>2019</v>
      </c>
      <c r="C16" s="39">
        <f>C11*$H$9/1000</f>
        <v>27328.106288888808</v>
      </c>
      <c r="D16" s="39">
        <f t="shared" ref="D16:E16" si="0">D11*$H$9/1000</f>
        <v>15916.960344999956</v>
      </c>
      <c r="E16" s="39">
        <f t="shared" si="0"/>
        <v>295.06743333333247</v>
      </c>
      <c r="F16" s="684"/>
    </row>
    <row r="17" spans="2:6" x14ac:dyDescent="0.35">
      <c r="B17">
        <v>2023</v>
      </c>
      <c r="C17" s="39">
        <f t="shared" ref="C17:E17" si="1">C12*$H$9/1000</f>
        <v>25174.807472222146</v>
      </c>
      <c r="D17" s="39">
        <f t="shared" si="1"/>
        <v>17430.356991666617</v>
      </c>
      <c r="E17" s="39">
        <f t="shared" si="1"/>
        <v>313.55934444444352</v>
      </c>
      <c r="F17" s="684"/>
    </row>
    <row r="20" spans="2:6" x14ac:dyDescent="0.35">
      <c r="B20" s="183" t="s">
        <v>177</v>
      </c>
      <c r="C20" s="5"/>
      <c r="D20" s="5"/>
      <c r="E20" s="5"/>
    </row>
    <row r="22" spans="2:6" x14ac:dyDescent="0.35">
      <c r="B22" s="205"/>
      <c r="C22" s="205" t="s">
        <v>185</v>
      </c>
      <c r="D22" s="205" t="s">
        <v>186</v>
      </c>
    </row>
    <row r="23" spans="2:6" x14ac:dyDescent="0.35">
      <c r="B23">
        <v>2015</v>
      </c>
      <c r="C23">
        <v>43.870528800000002</v>
      </c>
      <c r="D23" s="39">
        <v>12186.2677490064</v>
      </c>
    </row>
    <row r="24" spans="2:6" x14ac:dyDescent="0.35">
      <c r="B24">
        <v>2019</v>
      </c>
      <c r="C24">
        <v>44.722497599999997</v>
      </c>
      <c r="D24" s="39">
        <v>12422.925938332799</v>
      </c>
    </row>
    <row r="25" spans="2:6" x14ac:dyDescent="0.35">
      <c r="B25">
        <v>2023</v>
      </c>
      <c r="C25">
        <v>72.628876800000015</v>
      </c>
      <c r="D25" s="39">
        <v>20174.704139750404</v>
      </c>
    </row>
    <row r="27" spans="2:6" s="195" customFormat="1" x14ac:dyDescent="0.35">
      <c r="B27" s="195" t="s">
        <v>481</v>
      </c>
    </row>
    <row r="29" spans="2:6" s="413" customFormat="1" x14ac:dyDescent="0.35">
      <c r="B29" s="401" t="s">
        <v>487</v>
      </c>
      <c r="C29" s="402"/>
    </row>
    <row r="30" spans="2:6" x14ac:dyDescent="0.35">
      <c r="B30" t="s">
        <v>486</v>
      </c>
      <c r="C30" s="162">
        <v>10687</v>
      </c>
    </row>
    <row r="31" spans="2:6" s="413" customFormat="1" x14ac:dyDescent="0.35">
      <c r="B31" s="413" t="s">
        <v>488</v>
      </c>
      <c r="C31" s="162">
        <f>C30*Constantes!I7</f>
        <v>7734684189</v>
      </c>
    </row>
    <row r="33" spans="2:6" s="413" customFormat="1" x14ac:dyDescent="0.35"/>
    <row r="34" spans="2:6" x14ac:dyDescent="0.35">
      <c r="B34" s="180" t="s">
        <v>485</v>
      </c>
      <c r="C34" s="180"/>
    </row>
    <row r="35" spans="2:6" x14ac:dyDescent="0.35">
      <c r="B35" s="217" t="s">
        <v>491</v>
      </c>
      <c r="C35" s="217">
        <v>2015</v>
      </c>
      <c r="D35" s="217">
        <v>2019</v>
      </c>
      <c r="E35" s="217">
        <v>2023</v>
      </c>
    </row>
    <row r="36" spans="2:6" hidden="1" x14ac:dyDescent="0.35">
      <c r="B36" s="162" t="s">
        <v>483</v>
      </c>
      <c r="C36" s="162">
        <v>15682128</v>
      </c>
      <c r="D36" s="162">
        <v>17826513</v>
      </c>
      <c r="E36" s="162">
        <v>16314270</v>
      </c>
      <c r="F36" s="587" t="s">
        <v>719</v>
      </c>
    </row>
    <row r="37" spans="2:6" hidden="1" x14ac:dyDescent="0.35">
      <c r="B37" s="162" t="s">
        <v>482</v>
      </c>
      <c r="C37" s="177">
        <v>0.13</v>
      </c>
      <c r="D37" s="177">
        <v>0.09</v>
      </c>
      <c r="E37" s="177">
        <v>0.13</v>
      </c>
    </row>
    <row r="38" spans="2:6" hidden="1" x14ac:dyDescent="0.35">
      <c r="B38" s="162" t="s">
        <v>484</v>
      </c>
      <c r="C38" s="162">
        <f>C37*C36</f>
        <v>2038676.6400000001</v>
      </c>
      <c r="D38" s="162">
        <f t="shared" ref="D38:E38" si="2">D37*D36</f>
        <v>1604386.17</v>
      </c>
      <c r="E38" s="162">
        <f t="shared" si="2"/>
        <v>2120855.1</v>
      </c>
    </row>
    <row r="39" spans="2:6" hidden="1" x14ac:dyDescent="0.35">
      <c r="B39" s="162" t="s">
        <v>489</v>
      </c>
      <c r="C39" s="177">
        <f>C38/$C$38</f>
        <v>1</v>
      </c>
      <c r="D39" s="177">
        <f t="shared" ref="D39:E39" si="3">D38/$C$38</f>
        <v>0.78697432369657205</v>
      </c>
      <c r="E39" s="177">
        <f t="shared" si="3"/>
        <v>1.0403097079682042</v>
      </c>
    </row>
    <row r="41" spans="2:6" x14ac:dyDescent="0.35">
      <c r="B41" s="400"/>
      <c r="C41" s="404">
        <v>2015</v>
      </c>
      <c r="D41" s="404">
        <v>2019</v>
      </c>
      <c r="E41" s="404">
        <v>2023</v>
      </c>
    </row>
    <row r="42" spans="2:6" x14ac:dyDescent="0.35">
      <c r="B42" s="162" t="s">
        <v>490</v>
      </c>
      <c r="C42" s="162">
        <f>$C$31*C39</f>
        <v>7734684189</v>
      </c>
      <c r="D42" s="162">
        <f t="shared" ref="D42:E42" si="4">$C$31*D39</f>
        <v>6086997858.6448441</v>
      </c>
      <c r="E42" s="162">
        <f t="shared" si="4"/>
        <v>8046467049.8848763</v>
      </c>
    </row>
    <row r="46" spans="2:6" s="195" customFormat="1" x14ac:dyDescent="0.35">
      <c r="B46" s="195" t="s">
        <v>808</v>
      </c>
    </row>
    <row r="48" spans="2:6" s="684" customFormat="1" x14ac:dyDescent="0.35">
      <c r="B48" s="124" t="s">
        <v>831</v>
      </c>
    </row>
    <row r="49" spans="2:10" ht="15" thickBot="1" x14ac:dyDescent="0.4">
      <c r="B49" s="181"/>
      <c r="C49" s="181" t="s">
        <v>805</v>
      </c>
      <c r="D49" s="181" t="s">
        <v>806</v>
      </c>
      <c r="H49" s="973" t="s">
        <v>840</v>
      </c>
      <c r="I49" s="974"/>
      <c r="J49" s="974"/>
    </row>
    <row r="50" spans="2:10" ht="15" thickBot="1" x14ac:dyDescent="0.4">
      <c r="B50">
        <v>2015</v>
      </c>
      <c r="C50">
        <v>134.01</v>
      </c>
      <c r="D50" s="162">
        <f>C50*Constantes!D9*1000</f>
        <v>12452.972855220394</v>
      </c>
      <c r="F50" s="91" t="s">
        <v>97</v>
      </c>
      <c r="G50" s="92" t="s">
        <v>98</v>
      </c>
      <c r="H50" s="92" t="s">
        <v>838</v>
      </c>
      <c r="I50" s="99" t="s">
        <v>839</v>
      </c>
      <c r="J50" s="92" t="s">
        <v>726</v>
      </c>
    </row>
    <row r="51" spans="2:10" ht="15" thickTop="1" x14ac:dyDescent="0.35">
      <c r="B51">
        <v>2019</v>
      </c>
      <c r="C51">
        <v>113.91</v>
      </c>
      <c r="D51" s="162">
        <f>C51*Constantes!E9*1000</f>
        <v>10669.43202286117</v>
      </c>
      <c r="F51" s="684" t="str">
        <f>'Facteurs d''émissions'!B29</f>
        <v>Kerosène</v>
      </c>
      <c r="G51" s="684" t="s">
        <v>113</v>
      </c>
      <c r="H51" s="47">
        <f>'Facteurs d''émissions'!G29</f>
        <v>0.26208000000000076</v>
      </c>
      <c r="I51" s="47">
        <f>'Facteurs d''émissions'!K29</f>
        <v>8.9166666916333334E-2</v>
      </c>
      <c r="J51" s="47">
        <f>H51+I51</f>
        <v>0.3512466669163341</v>
      </c>
    </row>
    <row r="52" spans="2:10" x14ac:dyDescent="0.35">
      <c r="B52">
        <v>2023</v>
      </c>
      <c r="C52">
        <v>123.18</v>
      </c>
      <c r="D52" s="162">
        <f>C52*Constantes!F9*1000</f>
        <v>11631.845851793154</v>
      </c>
    </row>
    <row r="55" spans="2:10" x14ac:dyDescent="0.35">
      <c r="B55" s="684"/>
      <c r="C55" s="684"/>
      <c r="D55" s="684"/>
    </row>
    <row r="56" spans="2:10" x14ac:dyDescent="0.35">
      <c r="B56" s="181"/>
      <c r="C56" s="181" t="s">
        <v>832</v>
      </c>
    </row>
    <row r="57" spans="2:10" x14ac:dyDescent="0.35">
      <c r="B57">
        <v>2015</v>
      </c>
      <c r="C57" s="954">
        <f xml:space="preserve"> $I$51/$H$51 *D50</f>
        <v>4236.8363961369587</v>
      </c>
      <c r="D57" s="684"/>
    </row>
    <row r="58" spans="2:10" x14ac:dyDescent="0.35">
      <c r="B58">
        <v>2019</v>
      </c>
      <c r="C58" s="954">
        <f xml:space="preserve"> $I$51/$H$51 *D51</f>
        <v>3630.0278211573559</v>
      </c>
      <c r="D58" s="684"/>
    </row>
    <row r="59" spans="2:10" x14ac:dyDescent="0.35">
      <c r="B59">
        <v>2023</v>
      </c>
      <c r="C59" s="954">
        <f xml:space="preserve"> $I$51/$H$51 *D52</f>
        <v>3957.4668982332523</v>
      </c>
      <c r="D59" s="684"/>
    </row>
  </sheetData>
  <mergeCells count="1">
    <mergeCell ref="H49:J49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DFEDC-46B7-4CBA-8ABB-F4C5B27263A9}">
  <sheetPr>
    <tabColor rgb="FF0070C0"/>
    <pageSetUpPr fitToPage="1"/>
  </sheetPr>
  <dimension ref="A1:BW230"/>
  <sheetViews>
    <sheetView topLeftCell="A186" workbookViewId="0">
      <selection activeCell="H214" sqref="H214"/>
    </sheetView>
  </sheetViews>
  <sheetFormatPr baseColWidth="10" defaultColWidth="12.54296875" defaultRowHeight="15.5" outlineLevelRow="1" outlineLevelCol="1" x14ac:dyDescent="0.35"/>
  <cols>
    <col min="1" max="1" width="4.54296875" style="722" customWidth="1"/>
    <col min="2" max="2" width="28.7265625" style="722" customWidth="1"/>
    <col min="3" max="4" width="12.1796875" style="722" bestFit="1" customWidth="1"/>
    <col min="5" max="5" width="12.81640625" style="722" bestFit="1" customWidth="1"/>
    <col min="6" max="6" width="15" style="722" bestFit="1" customWidth="1"/>
    <col min="7" max="7" width="3.453125" style="722" customWidth="1"/>
    <col min="8" max="8" width="16.453125" style="722" customWidth="1"/>
    <col min="9" max="9" width="19" style="722" bestFit="1" customWidth="1"/>
    <col min="10" max="10" width="12.54296875" style="722" bestFit="1" customWidth="1"/>
    <col min="11" max="11" width="13.1796875" style="722" bestFit="1" customWidth="1"/>
    <col min="12" max="13" width="12.54296875" style="722" bestFit="1" customWidth="1"/>
    <col min="14" max="14" width="3.1796875" style="722" customWidth="1"/>
    <col min="15" max="15" width="16.26953125" style="722" customWidth="1"/>
    <col min="16" max="16" width="19" style="722" bestFit="1" customWidth="1"/>
    <col min="17" max="17" width="16.26953125" style="775" customWidth="1"/>
    <col min="18" max="18" width="8.1796875" style="722" customWidth="1"/>
    <col min="19" max="21" width="8.1796875" style="722" bestFit="1" customWidth="1"/>
    <col min="22" max="22" width="3.1796875" style="722" customWidth="1"/>
    <col min="23" max="23" width="15.26953125" style="722" customWidth="1"/>
    <col min="24" max="24" width="19" style="722" bestFit="1" customWidth="1"/>
    <col min="25" max="26" width="12.1796875" style="722" customWidth="1"/>
    <col min="27" max="27" width="12" style="722" bestFit="1" customWidth="1"/>
    <col min="28" max="28" width="12.1796875" style="722" bestFit="1" customWidth="1"/>
    <col min="29" max="29" width="3.453125" style="722" customWidth="1"/>
    <col min="30" max="30" width="16.26953125" style="722" hidden="1" customWidth="1" outlineLevel="1"/>
    <col min="31" max="31" width="19" style="722" hidden="1" customWidth="1" outlineLevel="1"/>
    <col min="32" max="32" width="16.26953125" style="775" hidden="1" customWidth="1" outlineLevel="1"/>
    <col min="33" max="36" width="6.453125" style="722" hidden="1" customWidth="1" outlineLevel="1"/>
    <col min="37" max="37" width="3.1796875" style="722" hidden="1" customWidth="1" outlineLevel="1"/>
    <col min="38" max="38" width="15.26953125" style="722" hidden="1" customWidth="1" outlineLevel="1"/>
    <col min="39" max="39" width="19" style="722" hidden="1" customWidth="1" outlineLevel="1"/>
    <col min="40" max="43" width="10.453125" style="722" hidden="1" customWidth="1" outlineLevel="1"/>
    <col min="44" max="44" width="3.453125" style="722" hidden="1" customWidth="1" outlineLevel="1"/>
    <col min="45" max="45" width="16.26953125" style="722" customWidth="1" collapsed="1"/>
    <col min="46" max="46" width="19" style="722" bestFit="1" customWidth="1"/>
    <col min="47" max="47" width="16.26953125" style="775" customWidth="1"/>
    <col min="48" max="51" width="6.453125" style="722" bestFit="1" customWidth="1"/>
    <col min="52" max="52" width="3.1796875" style="722" customWidth="1"/>
    <col min="53" max="53" width="15.26953125" style="722" customWidth="1"/>
    <col min="54" max="54" width="19" style="722" bestFit="1" customWidth="1"/>
    <col min="55" max="58" width="12.1796875" style="722" bestFit="1" customWidth="1"/>
    <col min="59" max="59" width="3.453125" style="896" customWidth="1"/>
    <col min="60" max="60" width="18.26953125" style="897" hidden="1" customWidth="1" outlineLevel="1"/>
    <col min="61" max="61" width="12.54296875" style="722" collapsed="1"/>
    <col min="62" max="62" width="22.453125" style="722" bestFit="1" customWidth="1"/>
    <col min="63" max="65" width="6.81640625" style="722" bestFit="1" customWidth="1"/>
    <col min="66" max="66" width="6.7265625" style="722" customWidth="1"/>
    <col min="67" max="67" width="3.453125" style="722" customWidth="1"/>
    <col min="68" max="68" width="0" style="722" hidden="1" customWidth="1" outlineLevel="1"/>
    <col min="69" max="69" width="22.453125" style="722" hidden="1" customWidth="1" outlineLevel="1"/>
    <col min="70" max="73" width="9" style="722" hidden="1" customWidth="1" outlineLevel="1"/>
    <col min="74" max="74" width="3.453125" style="722" hidden="1" customWidth="1" outlineLevel="1"/>
    <col min="75" max="75" width="12.54296875" style="722" collapsed="1"/>
    <col min="76" max="16384" width="12.54296875" style="722"/>
  </cols>
  <sheetData>
    <row r="1" spans="1:74" ht="21" x14ac:dyDescent="0.35">
      <c r="A1" s="715" t="s">
        <v>683</v>
      </c>
      <c r="B1" s="715"/>
      <c r="C1" s="716"/>
      <c r="D1" s="717"/>
      <c r="E1" s="717"/>
      <c r="F1" s="717"/>
      <c r="G1" s="716"/>
      <c r="H1" s="717"/>
      <c r="I1" s="717"/>
      <c r="J1" s="717"/>
      <c r="K1" s="717"/>
      <c r="L1" s="717"/>
      <c r="M1" s="717"/>
      <c r="N1" s="716"/>
      <c r="O1" s="717"/>
      <c r="P1" s="717"/>
      <c r="Q1" s="718"/>
      <c r="R1" s="717"/>
      <c r="S1" s="717"/>
      <c r="T1" s="717"/>
      <c r="U1" s="717"/>
      <c r="V1" s="716"/>
      <c r="W1" s="717"/>
      <c r="X1" s="717"/>
      <c r="Y1" s="717"/>
      <c r="Z1" s="717"/>
      <c r="AA1" s="717"/>
      <c r="AB1" s="717"/>
      <c r="AC1" s="716"/>
      <c r="AD1" s="717"/>
      <c r="AE1" s="717"/>
      <c r="AF1" s="718"/>
      <c r="AG1" s="717"/>
      <c r="AH1" s="717"/>
      <c r="AI1" s="717"/>
      <c r="AJ1" s="717"/>
      <c r="AK1" s="716"/>
      <c r="AL1" s="717"/>
      <c r="AM1" s="717"/>
      <c r="AN1" s="717"/>
      <c r="AO1" s="717"/>
      <c r="AP1" s="717"/>
      <c r="AQ1" s="717"/>
      <c r="AR1" s="716"/>
      <c r="AS1" s="717"/>
      <c r="AT1" s="717"/>
      <c r="AU1" s="718"/>
      <c r="AV1" s="717"/>
      <c r="AW1" s="717"/>
      <c r="AX1" s="717"/>
      <c r="AY1" s="717"/>
      <c r="AZ1" s="716"/>
      <c r="BA1" s="717"/>
      <c r="BB1" s="717"/>
      <c r="BC1" s="717"/>
      <c r="BD1" s="717"/>
      <c r="BE1" s="717"/>
      <c r="BF1" s="717"/>
      <c r="BG1" s="719"/>
      <c r="BH1" s="720"/>
      <c r="BI1" s="721"/>
      <c r="BJ1" s="721"/>
      <c r="BK1" s="721"/>
      <c r="BL1" s="721"/>
      <c r="BM1" s="721"/>
      <c r="BN1" s="721"/>
      <c r="BO1" s="721"/>
      <c r="BP1" s="721"/>
      <c r="BQ1" s="721"/>
      <c r="BR1" s="721"/>
      <c r="BS1" s="721"/>
      <c r="BT1" s="721"/>
      <c r="BU1" s="721"/>
      <c r="BV1" s="721"/>
    </row>
    <row r="2" spans="1:74" ht="15.75" customHeight="1" x14ac:dyDescent="0.35">
      <c r="A2" s="715"/>
      <c r="B2" s="715"/>
      <c r="C2" s="716"/>
      <c r="D2" s="717"/>
      <c r="E2" s="717"/>
      <c r="F2" s="717"/>
      <c r="G2" s="716"/>
      <c r="H2" s="717"/>
      <c r="I2" s="717"/>
      <c r="J2" s="717"/>
      <c r="K2" s="717"/>
      <c r="L2" s="717"/>
      <c r="M2" s="717"/>
      <c r="N2" s="716"/>
      <c r="O2" s="717"/>
      <c r="P2" s="717"/>
      <c r="Q2" s="718"/>
      <c r="R2" s="717"/>
      <c r="S2" s="717"/>
      <c r="T2" s="717"/>
      <c r="U2" s="717"/>
      <c r="V2" s="716"/>
      <c r="W2" s="717"/>
      <c r="X2" s="717"/>
      <c r="Y2" s="717"/>
      <c r="Z2" s="717"/>
      <c r="AA2" s="717"/>
      <c r="AB2" s="717"/>
      <c r="AC2" s="716"/>
      <c r="AD2" s="717"/>
      <c r="AE2" s="717"/>
      <c r="AF2" s="718"/>
      <c r="AG2" s="717"/>
      <c r="AH2" s="717"/>
      <c r="AI2" s="717"/>
      <c r="AJ2" s="717"/>
      <c r="AK2" s="716"/>
      <c r="AL2" s="717"/>
      <c r="AM2" s="717"/>
      <c r="AN2" s="717"/>
      <c r="AO2" s="717"/>
      <c r="AP2" s="717"/>
      <c r="AQ2" s="717"/>
      <c r="AR2" s="716"/>
      <c r="AS2" s="717"/>
      <c r="AT2" s="717"/>
      <c r="AU2" s="718"/>
      <c r="AV2" s="717"/>
      <c r="AW2" s="717"/>
      <c r="AX2" s="717"/>
      <c r="AY2" s="717"/>
      <c r="AZ2" s="716"/>
      <c r="BA2" s="717"/>
      <c r="BB2" s="717"/>
      <c r="BC2" s="717"/>
      <c r="BD2" s="717"/>
      <c r="BE2" s="717"/>
      <c r="BF2" s="717"/>
      <c r="BG2" s="719"/>
      <c r="BH2" s="720"/>
      <c r="BI2" s="721"/>
      <c r="BJ2" s="721"/>
      <c r="BK2" s="721"/>
      <c r="BL2" s="721"/>
      <c r="BM2" s="721"/>
      <c r="BN2" s="721"/>
      <c r="BO2" s="721"/>
      <c r="BP2" s="721"/>
      <c r="BQ2" s="721"/>
      <c r="BR2" s="721"/>
      <c r="BS2" s="721"/>
      <c r="BT2" s="721"/>
      <c r="BU2" s="721"/>
      <c r="BV2" s="721"/>
    </row>
    <row r="3" spans="1:74" ht="15.75" customHeight="1" x14ac:dyDescent="0.35">
      <c r="A3" s="715"/>
      <c r="B3" s="716" t="s">
        <v>682</v>
      </c>
      <c r="C3" s="717"/>
      <c r="D3" s="717"/>
      <c r="E3" s="717"/>
      <c r="F3" s="717"/>
      <c r="G3" s="716"/>
      <c r="H3" s="723" t="s">
        <v>681</v>
      </c>
      <c r="I3" s="717"/>
      <c r="J3" s="717"/>
      <c r="K3" s="717"/>
      <c r="L3" s="717"/>
      <c r="M3" s="717"/>
      <c r="N3" s="716"/>
      <c r="O3" s="723" t="s">
        <v>680</v>
      </c>
      <c r="P3" s="717"/>
      <c r="Q3" s="718"/>
      <c r="R3" s="717"/>
      <c r="S3" s="717"/>
      <c r="T3" s="717"/>
      <c r="U3" s="717"/>
      <c r="V3" s="716"/>
      <c r="W3" s="717"/>
      <c r="X3" s="717"/>
      <c r="Y3" s="717"/>
      <c r="Z3" s="717"/>
      <c r="AA3" s="717"/>
      <c r="AB3" s="717"/>
      <c r="AC3" s="716"/>
      <c r="AD3" s="717"/>
      <c r="AE3" s="717"/>
      <c r="AF3" s="718"/>
      <c r="AG3" s="717"/>
      <c r="AH3" s="717"/>
      <c r="AI3" s="717"/>
      <c r="AJ3" s="717"/>
      <c r="AK3" s="716"/>
      <c r="AL3" s="717"/>
      <c r="AM3" s="717"/>
      <c r="AN3" s="717"/>
      <c r="AO3" s="717"/>
      <c r="AP3" s="717"/>
      <c r="AQ3" s="717"/>
      <c r="AR3" s="716"/>
      <c r="AS3" s="717"/>
      <c r="AT3" s="717"/>
      <c r="AU3" s="718"/>
      <c r="AV3" s="717"/>
      <c r="AW3" s="717"/>
      <c r="AX3" s="717"/>
      <c r="AY3" s="717"/>
      <c r="AZ3" s="716"/>
      <c r="BA3" s="717"/>
      <c r="BB3" s="717"/>
      <c r="BC3" s="717"/>
      <c r="BD3" s="717"/>
      <c r="BE3" s="717"/>
      <c r="BF3" s="717"/>
      <c r="BG3" s="719"/>
      <c r="BH3" s="720"/>
      <c r="BI3" s="721"/>
      <c r="BJ3" s="721"/>
      <c r="BK3" s="721"/>
      <c r="BL3" s="721"/>
      <c r="BM3" s="721"/>
      <c r="BN3" s="721"/>
      <c r="BO3" s="721"/>
      <c r="BP3" s="721"/>
      <c r="BQ3" s="721"/>
      <c r="BR3" s="721"/>
      <c r="BS3" s="721"/>
      <c r="BT3" s="721"/>
      <c r="BU3" s="721"/>
      <c r="BV3" s="721"/>
    </row>
    <row r="4" spans="1:74" ht="15.75" customHeight="1" x14ac:dyDescent="0.35">
      <c r="A4" s="715"/>
      <c r="B4" s="724" t="s">
        <v>679</v>
      </c>
      <c r="C4" s="526">
        <v>365.25</v>
      </c>
      <c r="D4" s="717"/>
      <c r="E4" s="717"/>
      <c r="F4" s="717"/>
      <c r="G4" s="716"/>
      <c r="H4" s="979" t="s">
        <v>678</v>
      </c>
      <c r="I4" s="980"/>
      <c r="J4" s="981" t="s">
        <v>677</v>
      </c>
      <c r="K4" s="982"/>
      <c r="L4" s="717"/>
      <c r="M4" s="717"/>
      <c r="N4" s="716"/>
      <c r="O4" s="717"/>
      <c r="P4" s="725" t="s">
        <v>674</v>
      </c>
      <c r="Q4" s="725" t="s">
        <v>673</v>
      </c>
      <c r="R4" s="717"/>
      <c r="S4" s="717"/>
      <c r="T4" s="717"/>
      <c r="U4" s="717"/>
      <c r="V4" s="716"/>
      <c r="W4" s="717"/>
      <c r="X4" s="717"/>
      <c r="Y4" s="717"/>
      <c r="Z4" s="717"/>
      <c r="AA4" s="717"/>
      <c r="AB4" s="717"/>
      <c r="AC4" s="716"/>
      <c r="AD4" s="717"/>
      <c r="AE4" s="717"/>
      <c r="AF4" s="718"/>
      <c r="AG4" s="717"/>
      <c r="AH4" s="717"/>
      <c r="AI4" s="717"/>
      <c r="AJ4" s="717"/>
      <c r="AK4" s="716"/>
      <c r="AL4" s="717"/>
      <c r="AM4" s="717"/>
      <c r="AN4" s="717"/>
      <c r="AO4" s="717"/>
      <c r="AP4" s="717"/>
      <c r="AQ4" s="717"/>
      <c r="AR4" s="716"/>
      <c r="AS4" s="717"/>
      <c r="AT4" s="717"/>
      <c r="AU4" s="718"/>
      <c r="AV4" s="717"/>
      <c r="AW4" s="717"/>
      <c r="AX4" s="717"/>
      <c r="AY4" s="717"/>
      <c r="AZ4" s="716"/>
      <c r="BA4" s="717"/>
      <c r="BB4" s="717"/>
      <c r="BC4" s="717"/>
      <c r="BD4" s="717"/>
      <c r="BE4" s="717"/>
      <c r="BF4" s="717"/>
      <c r="BG4" s="719"/>
      <c r="BH4" s="720"/>
      <c r="BI4" s="721"/>
      <c r="BJ4" s="721"/>
      <c r="BK4" s="721"/>
      <c r="BL4" s="721"/>
      <c r="BM4" s="721"/>
      <c r="BN4" s="721"/>
      <c r="BO4" s="721"/>
      <c r="BP4" s="721"/>
      <c r="BQ4" s="721"/>
      <c r="BR4" s="721"/>
      <c r="BS4" s="721"/>
      <c r="BT4" s="721"/>
      <c r="BU4" s="721"/>
      <c r="BV4" s="721"/>
    </row>
    <row r="5" spans="1:74" ht="15.75" customHeight="1" x14ac:dyDescent="0.35">
      <c r="A5" s="715"/>
      <c r="B5" s="726" t="s">
        <v>676</v>
      </c>
      <c r="C5" s="727"/>
      <c r="D5" s="471" t="s">
        <v>582</v>
      </c>
      <c r="E5" s="471" t="s">
        <v>582</v>
      </c>
      <c r="F5" s="717"/>
      <c r="G5" s="717"/>
      <c r="H5" s="717"/>
      <c r="I5" s="717"/>
      <c r="J5" s="717"/>
      <c r="K5" s="717"/>
      <c r="L5" s="717"/>
      <c r="M5" s="717"/>
      <c r="N5" s="716"/>
      <c r="O5" s="724" t="s">
        <v>675</v>
      </c>
      <c r="P5" s="564">
        <v>1.1808410440552128</v>
      </c>
      <c r="Q5" s="563">
        <v>1.0828403212192204</v>
      </c>
      <c r="R5" s="717"/>
      <c r="S5" s="717"/>
      <c r="T5" s="717"/>
      <c r="U5" s="717"/>
      <c r="V5" s="716"/>
      <c r="W5" s="717"/>
      <c r="X5" s="717"/>
      <c r="Y5" s="717"/>
      <c r="Z5" s="717"/>
      <c r="AA5" s="717"/>
      <c r="AB5" s="717"/>
      <c r="AC5" s="716"/>
      <c r="AD5" s="717"/>
      <c r="AE5" s="717"/>
      <c r="AF5" s="718"/>
      <c r="AG5" s="717"/>
      <c r="AH5" s="717"/>
      <c r="AI5" s="717"/>
      <c r="AJ5" s="717"/>
      <c r="AK5" s="716"/>
      <c r="AL5" s="717"/>
      <c r="AM5" s="717"/>
      <c r="AN5" s="717"/>
      <c r="AO5" s="717"/>
      <c r="AP5" s="717"/>
      <c r="AQ5" s="717"/>
      <c r="AR5" s="716"/>
      <c r="AS5" s="717"/>
      <c r="AT5" s="717"/>
      <c r="AU5" s="718"/>
      <c r="AV5" s="717"/>
      <c r="AW5" s="717"/>
      <c r="AX5" s="717"/>
      <c r="AY5" s="717"/>
      <c r="AZ5" s="716"/>
      <c r="BA5" s="717"/>
      <c r="BB5" s="717"/>
      <c r="BC5" s="717"/>
      <c r="BD5" s="717"/>
      <c r="BE5" s="717"/>
      <c r="BF5" s="717"/>
      <c r="BG5" s="719"/>
      <c r="BH5" s="720"/>
      <c r="BI5" s="721"/>
      <c r="BJ5" s="721"/>
      <c r="BK5" s="721"/>
      <c r="BL5" s="721"/>
      <c r="BM5" s="721"/>
      <c r="BN5" s="721"/>
      <c r="BO5" s="721"/>
      <c r="BP5" s="721"/>
      <c r="BQ5" s="721"/>
      <c r="BR5" s="721"/>
      <c r="BS5" s="721"/>
      <c r="BT5" s="721"/>
      <c r="BU5" s="721"/>
      <c r="BV5" s="721"/>
    </row>
    <row r="6" spans="1:74" ht="15.75" customHeight="1" x14ac:dyDescent="0.35">
      <c r="A6" s="715"/>
      <c r="B6" s="717"/>
      <c r="C6" s="717"/>
      <c r="D6" s="717"/>
      <c r="E6" s="717"/>
      <c r="F6" s="717"/>
      <c r="G6" s="716"/>
      <c r="H6" s="717"/>
      <c r="I6" s="725" t="s">
        <v>674</v>
      </c>
      <c r="J6" s="725" t="s">
        <v>673</v>
      </c>
      <c r="K6" s="725" t="s">
        <v>672</v>
      </c>
      <c r="L6" s="717"/>
      <c r="M6" s="717"/>
      <c r="N6" s="716"/>
      <c r="O6" s="724" t="s">
        <v>671</v>
      </c>
      <c r="P6" s="564">
        <v>0.9114020209698418</v>
      </c>
      <c r="Q6" s="563">
        <v>0.85727701732106887</v>
      </c>
      <c r="R6" s="717"/>
      <c r="S6" s="717"/>
      <c r="T6" s="717"/>
      <c r="U6" s="717"/>
      <c r="V6" s="716"/>
      <c r="W6" s="717"/>
      <c r="X6" s="717"/>
      <c r="Y6" s="717"/>
      <c r="Z6" s="717"/>
      <c r="AA6" s="717"/>
      <c r="AB6" s="717"/>
      <c r="AC6" s="716"/>
      <c r="AD6" s="717"/>
      <c r="AE6" s="717"/>
      <c r="AF6" s="718"/>
      <c r="AG6" s="717"/>
      <c r="AH6" s="717"/>
      <c r="AI6" s="717"/>
      <c r="AJ6" s="717"/>
      <c r="AK6" s="716"/>
      <c r="AL6" s="717"/>
      <c r="AM6" s="717"/>
      <c r="AN6" s="717"/>
      <c r="AO6" s="717"/>
      <c r="AP6" s="717"/>
      <c r="AQ6" s="717"/>
      <c r="AR6" s="716"/>
      <c r="AS6" s="717"/>
      <c r="AT6" s="717"/>
      <c r="AU6" s="718"/>
      <c r="AV6" s="717"/>
      <c r="AW6" s="717"/>
      <c r="AX6" s="717"/>
      <c r="AY6" s="717"/>
      <c r="AZ6" s="716"/>
      <c r="BA6" s="717"/>
      <c r="BB6" s="717"/>
      <c r="BC6" s="717"/>
      <c r="BD6" s="717"/>
      <c r="BE6" s="717"/>
      <c r="BF6" s="717"/>
      <c r="BG6" s="719"/>
      <c r="BH6" s="720"/>
      <c r="BI6" s="721"/>
      <c r="BJ6" s="721"/>
      <c r="BK6" s="721"/>
      <c r="BL6" s="721"/>
      <c r="BM6" s="721"/>
      <c r="BN6" s="721"/>
      <c r="BO6" s="721"/>
      <c r="BP6" s="721"/>
      <c r="BQ6" s="721"/>
      <c r="BR6" s="721"/>
      <c r="BS6" s="721"/>
      <c r="BT6" s="721"/>
      <c r="BU6" s="721"/>
      <c r="BV6" s="721"/>
    </row>
    <row r="7" spans="1:74" ht="15.75" customHeight="1" x14ac:dyDescent="0.35">
      <c r="A7" s="715"/>
      <c r="B7" s="723" t="s">
        <v>670</v>
      </c>
      <c r="C7" s="717"/>
      <c r="D7" s="717"/>
      <c r="E7" s="717"/>
      <c r="F7" s="717"/>
      <c r="G7" s="716"/>
      <c r="H7" s="724" t="s">
        <v>669</v>
      </c>
      <c r="I7" s="560">
        <v>1</v>
      </c>
      <c r="J7" s="559">
        <v>0</v>
      </c>
      <c r="K7" s="471" t="s">
        <v>582</v>
      </c>
      <c r="L7" s="717"/>
      <c r="M7" s="717"/>
      <c r="N7" s="716"/>
      <c r="O7" s="724" t="s">
        <v>668</v>
      </c>
      <c r="P7" s="564">
        <v>1.1029845348843612</v>
      </c>
      <c r="Q7" s="563">
        <v>1.0172393497098824</v>
      </c>
      <c r="R7" s="717"/>
      <c r="S7" s="717"/>
      <c r="T7" s="717"/>
      <c r="U7" s="717"/>
      <c r="V7" s="716"/>
      <c r="W7" s="717"/>
      <c r="X7" s="717"/>
      <c r="Y7" s="717"/>
      <c r="Z7" s="717"/>
      <c r="AA7" s="717"/>
      <c r="AB7" s="717"/>
      <c r="AC7" s="716"/>
      <c r="AD7" s="717"/>
      <c r="AE7" s="717"/>
      <c r="AF7" s="718"/>
      <c r="AG7" s="717"/>
      <c r="AH7" s="717"/>
      <c r="AI7" s="717"/>
      <c r="AJ7" s="717"/>
      <c r="AK7" s="716"/>
      <c r="AL7" s="717"/>
      <c r="AM7" s="717"/>
      <c r="AN7" s="717"/>
      <c r="AO7" s="717"/>
      <c r="AP7" s="717"/>
      <c r="AQ7" s="717"/>
      <c r="AR7" s="716"/>
      <c r="AS7" s="717"/>
      <c r="AT7" s="717"/>
      <c r="AU7" s="718"/>
      <c r="AV7" s="717"/>
      <c r="AW7" s="717"/>
      <c r="AX7" s="717"/>
      <c r="AY7" s="717"/>
      <c r="AZ7" s="716"/>
      <c r="BA7" s="717"/>
      <c r="BB7" s="717"/>
      <c r="BC7" s="717"/>
      <c r="BD7" s="717"/>
      <c r="BE7" s="717"/>
      <c r="BF7" s="717"/>
      <c r="BG7" s="719"/>
      <c r="BH7" s="720"/>
      <c r="BI7" s="721"/>
      <c r="BJ7" s="721"/>
      <c r="BK7" s="721"/>
      <c r="BL7" s="721"/>
      <c r="BM7" s="721"/>
      <c r="BN7" s="721"/>
      <c r="BO7" s="721"/>
      <c r="BP7" s="721"/>
      <c r="BQ7" s="721"/>
      <c r="BR7" s="721"/>
      <c r="BS7" s="721"/>
      <c r="BT7" s="721"/>
      <c r="BU7" s="721"/>
      <c r="BV7" s="721"/>
    </row>
    <row r="8" spans="1:74" ht="15.75" customHeight="1" x14ac:dyDescent="0.35">
      <c r="A8" s="715"/>
      <c r="B8" s="726" t="s">
        <v>667</v>
      </c>
      <c r="C8" s="727"/>
      <c r="D8" s="471" t="s">
        <v>582</v>
      </c>
      <c r="E8" s="717"/>
      <c r="F8" s="717"/>
      <c r="G8" s="716"/>
      <c r="H8" s="724" t="s">
        <v>666</v>
      </c>
      <c r="I8" s="560">
        <v>0</v>
      </c>
      <c r="J8" s="559">
        <v>1</v>
      </c>
      <c r="K8" s="471" t="s">
        <v>582</v>
      </c>
      <c r="L8" s="717"/>
      <c r="M8" s="717"/>
      <c r="N8" s="716"/>
      <c r="O8" s="724" t="s">
        <v>626</v>
      </c>
      <c r="P8" s="564">
        <v>1.0687695797891186</v>
      </c>
      <c r="Q8" s="563">
        <v>1.0687695797891186</v>
      </c>
      <c r="R8" s="717"/>
      <c r="S8" s="717"/>
      <c r="T8" s="717"/>
      <c r="U8" s="717"/>
      <c r="V8" s="716"/>
      <c r="W8" s="717"/>
      <c r="X8" s="717"/>
      <c r="Y8" s="717"/>
      <c r="Z8" s="717"/>
      <c r="AA8" s="717"/>
      <c r="AB8" s="717"/>
      <c r="AC8" s="716"/>
      <c r="AD8" s="717"/>
      <c r="AE8" s="717"/>
      <c r="AF8" s="718"/>
      <c r="AG8" s="717"/>
      <c r="AH8" s="717"/>
      <c r="AI8" s="717"/>
      <c r="AJ8" s="717"/>
      <c r="AK8" s="716"/>
      <c r="AL8" s="717"/>
      <c r="AM8" s="717"/>
      <c r="AN8" s="717"/>
      <c r="AO8" s="717"/>
      <c r="AP8" s="717"/>
      <c r="AQ8" s="717"/>
      <c r="AR8" s="716"/>
      <c r="AS8" s="717"/>
      <c r="AT8" s="717"/>
      <c r="AU8" s="718"/>
      <c r="AV8" s="717"/>
      <c r="AW8" s="717"/>
      <c r="AX8" s="717"/>
      <c r="AY8" s="717"/>
      <c r="AZ8" s="716"/>
      <c r="BA8" s="717"/>
      <c r="BB8" s="717"/>
      <c r="BC8" s="717"/>
      <c r="BD8" s="717"/>
      <c r="BE8" s="717"/>
      <c r="BF8" s="717"/>
      <c r="BG8" s="719"/>
      <c r="BH8" s="720"/>
      <c r="BI8" s="721"/>
      <c r="BJ8" s="721"/>
      <c r="BK8" s="721"/>
      <c r="BL8" s="721"/>
      <c r="BM8" s="721"/>
      <c r="BN8" s="721"/>
      <c r="BO8" s="721"/>
      <c r="BP8" s="721"/>
      <c r="BQ8" s="721"/>
      <c r="BR8" s="721"/>
      <c r="BS8" s="721"/>
      <c r="BT8" s="721"/>
      <c r="BU8" s="721"/>
      <c r="BV8" s="721"/>
    </row>
    <row r="9" spans="1:74" ht="15.75" customHeight="1" x14ac:dyDescent="0.35">
      <c r="A9" s="715"/>
      <c r="B9" s="726" t="s">
        <v>665</v>
      </c>
      <c r="C9" s="727"/>
      <c r="D9" s="471" t="s">
        <v>582</v>
      </c>
      <c r="E9" s="717"/>
      <c r="F9" s="717"/>
      <c r="G9" s="716"/>
      <c r="H9" s="724" t="s">
        <v>664</v>
      </c>
      <c r="I9" s="560">
        <v>0</v>
      </c>
      <c r="J9" s="559">
        <v>1</v>
      </c>
      <c r="K9" s="471" t="s">
        <v>582</v>
      </c>
      <c r="L9" s="717"/>
      <c r="M9" s="717"/>
      <c r="N9" s="716"/>
      <c r="O9" s="717"/>
      <c r="P9" s="717"/>
      <c r="Q9" s="718"/>
      <c r="R9" s="717"/>
      <c r="S9" s="717"/>
      <c r="T9" s="717"/>
      <c r="U9" s="717"/>
      <c r="V9" s="716"/>
      <c r="W9" s="717"/>
      <c r="X9" s="717"/>
      <c r="Y9" s="717"/>
      <c r="Z9" s="717"/>
      <c r="AA9" s="717"/>
      <c r="AB9" s="717"/>
      <c r="AC9" s="716"/>
      <c r="AD9" s="717"/>
      <c r="AE9" s="717"/>
      <c r="AF9" s="718"/>
      <c r="AG9" s="717"/>
      <c r="AH9" s="717"/>
      <c r="AI9" s="717"/>
      <c r="AJ9" s="717"/>
      <c r="AK9" s="716"/>
      <c r="AL9" s="717"/>
      <c r="AM9" s="717"/>
      <c r="AN9" s="717"/>
      <c r="AO9" s="717"/>
      <c r="AP9" s="717"/>
      <c r="AQ9" s="717"/>
      <c r="AR9" s="716"/>
      <c r="AS9" s="717"/>
      <c r="AT9" s="717"/>
      <c r="AU9" s="718"/>
      <c r="AV9" s="717"/>
      <c r="AW9" s="717"/>
      <c r="AX9" s="717"/>
      <c r="AY9" s="717"/>
      <c r="AZ9" s="716"/>
      <c r="BA9" s="717"/>
      <c r="BB9" s="717"/>
      <c r="BC9" s="717"/>
      <c r="BD9" s="717"/>
      <c r="BE9" s="717"/>
      <c r="BF9" s="717"/>
      <c r="BG9" s="719"/>
      <c r="BH9" s="720"/>
      <c r="BI9" s="721"/>
      <c r="BJ9" s="721"/>
      <c r="BK9" s="721"/>
      <c r="BL9" s="721"/>
      <c r="BM9" s="721"/>
      <c r="BN9" s="721"/>
      <c r="BO9" s="721"/>
      <c r="BP9" s="721"/>
      <c r="BQ9" s="721"/>
      <c r="BR9" s="721"/>
      <c r="BS9" s="721"/>
      <c r="BT9" s="721"/>
      <c r="BU9" s="721"/>
      <c r="BV9" s="721"/>
    </row>
    <row r="10" spans="1:74" ht="15.75" customHeight="1" x14ac:dyDescent="0.35">
      <c r="A10" s="715"/>
      <c r="B10" s="562" t="s">
        <v>663</v>
      </c>
      <c r="C10" s="561"/>
      <c r="D10" s="561"/>
      <c r="E10" s="561"/>
      <c r="F10" s="561"/>
      <c r="G10" s="716"/>
      <c r="H10" s="724" t="s">
        <v>662</v>
      </c>
      <c r="I10" s="560">
        <v>0</v>
      </c>
      <c r="J10" s="559">
        <v>1</v>
      </c>
      <c r="K10" s="471" t="s">
        <v>582</v>
      </c>
      <c r="L10" s="717"/>
      <c r="M10" s="717"/>
      <c r="N10" s="716"/>
      <c r="O10" s="723"/>
      <c r="P10" s="716"/>
      <c r="Q10" s="717"/>
      <c r="R10" s="717"/>
      <c r="S10" s="717"/>
      <c r="T10" s="717"/>
      <c r="U10" s="717"/>
      <c r="V10" s="716"/>
      <c r="W10" s="717"/>
      <c r="X10" s="717"/>
      <c r="Y10" s="717"/>
      <c r="Z10" s="717"/>
      <c r="AA10" s="717"/>
      <c r="AB10" s="717"/>
      <c r="AC10" s="716"/>
      <c r="AD10" s="717"/>
      <c r="AE10" s="717"/>
      <c r="AF10" s="718"/>
      <c r="AG10" s="717"/>
      <c r="AH10" s="717"/>
      <c r="AI10" s="717"/>
      <c r="AJ10" s="717"/>
      <c r="AK10" s="716"/>
      <c r="AL10" s="717"/>
      <c r="AM10" s="717"/>
      <c r="AN10" s="717"/>
      <c r="AO10" s="717"/>
      <c r="AP10" s="717"/>
      <c r="AQ10" s="717"/>
      <c r="AR10" s="716"/>
      <c r="AS10" s="717"/>
      <c r="AT10" s="717"/>
      <c r="AU10" s="718"/>
      <c r="AV10" s="717"/>
      <c r="AW10" s="717"/>
      <c r="AX10" s="717"/>
      <c r="AY10" s="717"/>
      <c r="AZ10" s="716"/>
      <c r="BA10" s="717"/>
      <c r="BB10" s="717"/>
      <c r="BC10" s="717"/>
      <c r="BD10" s="717"/>
      <c r="BE10" s="717"/>
      <c r="BF10" s="717"/>
      <c r="BG10" s="719"/>
      <c r="BH10" s="720"/>
      <c r="BI10" s="721"/>
      <c r="BJ10" s="721"/>
      <c r="BK10" s="721"/>
      <c r="BL10" s="721"/>
      <c r="BM10" s="721"/>
      <c r="BN10" s="721"/>
      <c r="BO10" s="721"/>
      <c r="BP10" s="721"/>
      <c r="BQ10" s="721"/>
      <c r="BR10" s="721"/>
      <c r="BS10" s="721"/>
      <c r="BT10" s="721"/>
      <c r="BU10" s="721"/>
      <c r="BV10" s="721"/>
    </row>
    <row r="11" spans="1:74" ht="15.75" customHeight="1" x14ac:dyDescent="0.35">
      <c r="A11" s="715"/>
      <c r="B11" s="975" t="s">
        <v>661</v>
      </c>
      <c r="C11" s="975"/>
      <c r="D11" s="975"/>
      <c r="E11" s="975"/>
      <c r="F11" s="975"/>
      <c r="G11" s="716"/>
      <c r="H11" s="724" t="s">
        <v>245</v>
      </c>
      <c r="I11" s="560">
        <v>0</v>
      </c>
      <c r="J11" s="559">
        <v>1</v>
      </c>
      <c r="K11" s="471" t="s">
        <v>582</v>
      </c>
      <c r="L11" s="717"/>
      <c r="M11" s="717"/>
      <c r="N11" s="716"/>
      <c r="O11" s="723" t="s">
        <v>660</v>
      </c>
      <c r="P11" s="715"/>
      <c r="Q11" s="715"/>
      <c r="R11" s="728">
        <f t="shared" ref="R11:U11" si="0">R$19</f>
        <v>2015</v>
      </c>
      <c r="S11" s="728">
        <f t="shared" si="0"/>
        <v>2019</v>
      </c>
      <c r="T11" s="728">
        <f t="shared" si="0"/>
        <v>2021</v>
      </c>
      <c r="U11" s="728">
        <f t="shared" si="0"/>
        <v>2023</v>
      </c>
      <c r="V11" s="716"/>
      <c r="W11" s="717"/>
      <c r="X11" s="717"/>
      <c r="Y11" s="717"/>
      <c r="Z11" s="717"/>
      <c r="AA11" s="717"/>
      <c r="AB11" s="717"/>
      <c r="AC11" s="716"/>
      <c r="AD11" s="717"/>
      <c r="AE11" s="717"/>
      <c r="AF11" s="718"/>
      <c r="AG11" s="717"/>
      <c r="AH11" s="717"/>
      <c r="AI11" s="717"/>
      <c r="AJ11" s="717"/>
      <c r="AK11" s="716"/>
      <c r="AL11" s="717"/>
      <c r="AM11" s="717"/>
      <c r="AN11" s="717"/>
      <c r="AO11" s="717"/>
      <c r="AP11" s="717"/>
      <c r="AQ11" s="717"/>
      <c r="AR11" s="716"/>
      <c r="AS11" s="717"/>
      <c r="AT11" s="717"/>
      <c r="AU11" s="718"/>
      <c r="AV11" s="717"/>
      <c r="AW11" s="717"/>
      <c r="AX11" s="717"/>
      <c r="AY11" s="717"/>
      <c r="AZ11" s="716"/>
      <c r="BA11" s="717"/>
      <c r="BB11" s="717"/>
      <c r="BC11" s="717"/>
      <c r="BD11" s="717"/>
      <c r="BE11" s="717"/>
      <c r="BF11" s="717"/>
      <c r="BG11" s="719"/>
      <c r="BH11" s="720"/>
      <c r="BI11" s="721"/>
      <c r="BJ11" s="721"/>
      <c r="BK11" s="721"/>
      <c r="BL11" s="721"/>
      <c r="BM11" s="721"/>
      <c r="BN11" s="721"/>
      <c r="BO11" s="721"/>
      <c r="BP11" s="721"/>
      <c r="BQ11" s="721"/>
      <c r="BR11" s="721"/>
      <c r="BS11" s="721"/>
      <c r="BT11" s="721"/>
      <c r="BU11" s="721"/>
      <c r="BV11" s="721"/>
    </row>
    <row r="12" spans="1:74" ht="15.75" customHeight="1" x14ac:dyDescent="0.35">
      <c r="A12" s="715"/>
      <c r="B12" s="975"/>
      <c r="C12" s="975"/>
      <c r="D12" s="975"/>
      <c r="E12" s="975"/>
      <c r="F12" s="975"/>
      <c r="G12" s="716"/>
      <c r="H12" s="724" t="s">
        <v>659</v>
      </c>
      <c r="I12" s="560">
        <v>0</v>
      </c>
      <c r="J12" s="559">
        <v>1</v>
      </c>
      <c r="K12" s="471" t="s">
        <v>582</v>
      </c>
      <c r="L12" s="717"/>
      <c r="M12" s="717"/>
      <c r="N12" s="716"/>
      <c r="O12" s="979" t="s">
        <v>658</v>
      </c>
      <c r="P12" s="983"/>
      <c r="Q12" s="980"/>
      <c r="R12" s="558">
        <v>1</v>
      </c>
      <c r="S12" s="558">
        <v>0.94868799650645219</v>
      </c>
      <c r="T12" s="558">
        <v>0.93298479426414238</v>
      </c>
      <c r="U12" s="558">
        <v>0.93565537316033298</v>
      </c>
      <c r="V12" s="716"/>
      <c r="W12" s="717"/>
      <c r="X12" s="717"/>
      <c r="Y12" s="717"/>
      <c r="Z12" s="717"/>
      <c r="AA12" s="717"/>
      <c r="AB12" s="717"/>
      <c r="AC12" s="716"/>
      <c r="AD12" s="717"/>
      <c r="AE12" s="717"/>
      <c r="AF12" s="718"/>
      <c r="AG12" s="717"/>
      <c r="AH12" s="717"/>
      <c r="AI12" s="717"/>
      <c r="AJ12" s="717"/>
      <c r="AK12" s="716"/>
      <c r="AL12" s="717"/>
      <c r="AM12" s="717"/>
      <c r="AN12" s="717"/>
      <c r="AO12" s="717"/>
      <c r="AP12" s="717"/>
      <c r="AQ12" s="717"/>
      <c r="AR12" s="716"/>
      <c r="AS12" s="717"/>
      <c r="AT12" s="717"/>
      <c r="AU12" s="718"/>
      <c r="AV12" s="717"/>
      <c r="AW12" s="717"/>
      <c r="AX12" s="717"/>
      <c r="AY12" s="717"/>
      <c r="AZ12" s="716"/>
      <c r="BA12" s="717"/>
      <c r="BB12" s="717"/>
      <c r="BC12" s="717"/>
      <c r="BD12" s="717"/>
      <c r="BE12" s="717"/>
      <c r="BF12" s="717"/>
      <c r="BG12" s="719"/>
      <c r="BH12" s="720"/>
      <c r="BI12" s="721"/>
      <c r="BJ12" s="721"/>
      <c r="BK12" s="721"/>
      <c r="BL12" s="721"/>
      <c r="BM12" s="721"/>
      <c r="BN12" s="721"/>
      <c r="BO12" s="721"/>
      <c r="BP12" s="721"/>
      <c r="BQ12" s="721"/>
      <c r="BR12" s="721"/>
      <c r="BS12" s="721"/>
      <c r="BT12" s="721"/>
      <c r="BU12" s="721"/>
      <c r="BV12" s="721"/>
    </row>
    <row r="13" spans="1:74" ht="15.75" customHeight="1" x14ac:dyDescent="0.35">
      <c r="A13" s="715"/>
      <c r="B13" s="715"/>
      <c r="C13" s="716"/>
      <c r="D13" s="717"/>
      <c r="E13" s="717"/>
      <c r="F13" s="717"/>
      <c r="G13" s="716"/>
      <c r="H13" s="717"/>
      <c r="I13" s="717"/>
      <c r="J13" s="717"/>
      <c r="K13" s="717"/>
      <c r="L13" s="717"/>
      <c r="M13" s="717"/>
      <c r="N13" s="716"/>
      <c r="O13" s="717"/>
      <c r="P13" s="717"/>
      <c r="Q13" s="718"/>
      <c r="R13" s="717"/>
      <c r="S13" s="717"/>
      <c r="T13" s="717"/>
      <c r="U13" s="717"/>
      <c r="V13" s="716"/>
      <c r="W13" s="717"/>
      <c r="X13" s="717"/>
      <c r="Y13" s="717"/>
      <c r="Z13" s="717"/>
      <c r="AA13" s="717"/>
      <c r="AB13" s="717"/>
      <c r="AC13" s="716"/>
      <c r="AD13" s="717"/>
      <c r="AE13" s="717"/>
      <c r="AF13" s="718"/>
      <c r="AG13" s="717"/>
      <c r="AH13" s="717"/>
      <c r="AI13" s="717"/>
      <c r="AJ13" s="717"/>
      <c r="AK13" s="716"/>
      <c r="AL13" s="717"/>
      <c r="AM13" s="717"/>
      <c r="AN13" s="717"/>
      <c r="AO13" s="717"/>
      <c r="AP13" s="717"/>
      <c r="AQ13" s="717"/>
      <c r="AR13" s="716"/>
      <c r="AS13" s="717"/>
      <c r="AT13" s="717"/>
      <c r="AU13" s="718"/>
      <c r="AV13" s="717"/>
      <c r="AW13" s="717"/>
      <c r="AX13" s="717"/>
      <c r="AY13" s="717"/>
      <c r="AZ13" s="716"/>
      <c r="BA13" s="717"/>
      <c r="BB13" s="717"/>
      <c r="BC13" s="717"/>
      <c r="BD13" s="717"/>
      <c r="BE13" s="717"/>
      <c r="BF13" s="717"/>
      <c r="BG13" s="719"/>
      <c r="BH13" s="720"/>
      <c r="BI13" s="721"/>
      <c r="BJ13" s="721"/>
      <c r="BK13" s="721"/>
      <c r="BL13" s="721"/>
      <c r="BM13" s="721"/>
      <c r="BN13" s="721"/>
      <c r="BO13" s="721"/>
      <c r="BP13" s="721"/>
      <c r="BQ13" s="721"/>
      <c r="BR13" s="721"/>
      <c r="BS13" s="721"/>
      <c r="BT13" s="721"/>
      <c r="BU13" s="721"/>
      <c r="BV13" s="721"/>
    </row>
    <row r="14" spans="1:74" ht="15.75" customHeight="1" x14ac:dyDescent="0.35">
      <c r="A14" s="715"/>
      <c r="B14" s="726" t="s">
        <v>657</v>
      </c>
      <c r="C14" s="727"/>
      <c r="D14" s="471" t="s">
        <v>582</v>
      </c>
      <c r="E14" s="471" t="s">
        <v>656</v>
      </c>
      <c r="F14" s="717"/>
      <c r="G14" s="716"/>
      <c r="H14" s="726" t="s">
        <v>655</v>
      </c>
      <c r="I14" s="729"/>
      <c r="J14" s="729"/>
      <c r="K14" s="729"/>
      <c r="L14" s="471" t="s">
        <v>653</v>
      </c>
      <c r="M14" s="717"/>
      <c r="N14" s="716"/>
      <c r="O14" s="717"/>
      <c r="P14" s="717"/>
      <c r="Q14" s="718"/>
      <c r="R14" s="717"/>
      <c r="S14" s="717"/>
      <c r="T14" s="717"/>
      <c r="U14" s="717"/>
      <c r="V14" s="716"/>
      <c r="W14" s="717"/>
      <c r="X14" s="717"/>
      <c r="Y14" s="717"/>
      <c r="Z14" s="717"/>
      <c r="AA14" s="717"/>
      <c r="AB14" s="717"/>
      <c r="AC14" s="716"/>
      <c r="AD14" s="717"/>
      <c r="AE14" s="717"/>
      <c r="AF14" s="718"/>
      <c r="AG14" s="717"/>
      <c r="AH14" s="717"/>
      <c r="AI14" s="717"/>
      <c r="AJ14" s="717"/>
      <c r="AK14" s="716"/>
      <c r="AL14" s="717"/>
      <c r="AM14" s="717"/>
      <c r="AN14" s="717"/>
      <c r="AO14" s="717"/>
      <c r="AP14" s="717"/>
      <c r="AQ14" s="717"/>
      <c r="AR14" s="716"/>
      <c r="AS14" s="717"/>
      <c r="AT14" s="717"/>
      <c r="AU14" s="718"/>
      <c r="AV14" s="717"/>
      <c r="AW14" s="717"/>
      <c r="AX14" s="717"/>
      <c r="AY14" s="717"/>
      <c r="AZ14" s="716"/>
      <c r="BA14" s="717"/>
      <c r="BB14" s="717"/>
      <c r="BC14" s="717"/>
      <c r="BD14" s="717"/>
      <c r="BE14" s="717"/>
      <c r="BF14" s="717"/>
      <c r="BG14" s="719"/>
      <c r="BH14" s="720"/>
      <c r="BI14" s="721"/>
      <c r="BJ14" s="721"/>
      <c r="BK14" s="721"/>
      <c r="BL14" s="721"/>
      <c r="BM14" s="721"/>
      <c r="BN14" s="721"/>
      <c r="BO14" s="721"/>
      <c r="BP14" s="721"/>
      <c r="BQ14" s="721"/>
      <c r="BR14" s="721"/>
      <c r="BS14" s="721"/>
      <c r="BT14" s="721"/>
      <c r="BU14" s="721"/>
      <c r="BV14" s="721"/>
    </row>
    <row r="15" spans="1:74" ht="15.75" customHeight="1" x14ac:dyDescent="0.35">
      <c r="A15" s="715"/>
      <c r="B15" s="715"/>
      <c r="C15" s="716"/>
      <c r="D15" s="717"/>
      <c r="E15" s="717"/>
      <c r="F15" s="717"/>
      <c r="G15" s="716"/>
      <c r="H15" s="726" t="s">
        <v>654</v>
      </c>
      <c r="I15" s="729"/>
      <c r="J15" s="729"/>
      <c r="K15" s="729"/>
      <c r="L15" s="471" t="s">
        <v>653</v>
      </c>
      <c r="M15" s="717"/>
      <c r="N15" s="716"/>
      <c r="O15" s="717"/>
      <c r="P15" s="717"/>
      <c r="Q15" s="718"/>
      <c r="R15" s="717"/>
      <c r="S15" s="717"/>
      <c r="T15" s="717"/>
      <c r="U15" s="717"/>
      <c r="V15" s="716"/>
      <c r="W15" s="717"/>
      <c r="X15" s="717"/>
      <c r="Y15" s="717"/>
      <c r="Z15" s="717"/>
      <c r="AA15" s="717"/>
      <c r="AB15" s="717"/>
      <c r="AC15" s="716"/>
      <c r="AD15" s="717"/>
      <c r="AE15" s="717"/>
      <c r="AF15" s="718"/>
      <c r="AG15" s="717"/>
      <c r="AH15" s="717"/>
      <c r="AI15" s="717"/>
      <c r="AJ15" s="717"/>
      <c r="AK15" s="716"/>
      <c r="AL15" s="717"/>
      <c r="AM15" s="717"/>
      <c r="AN15" s="717"/>
      <c r="AO15" s="717"/>
      <c r="AP15" s="717"/>
      <c r="AQ15" s="717"/>
      <c r="AR15" s="716"/>
      <c r="AS15" s="717"/>
      <c r="AT15" s="717"/>
      <c r="AU15" s="718"/>
      <c r="AV15" s="717"/>
      <c r="AW15" s="717"/>
      <c r="AX15" s="717"/>
      <c r="AY15" s="717"/>
      <c r="AZ15" s="716"/>
      <c r="BA15" s="717"/>
      <c r="BB15" s="717"/>
      <c r="BC15" s="717"/>
      <c r="BD15" s="717"/>
      <c r="BE15" s="717"/>
      <c r="BF15" s="717"/>
      <c r="BG15" s="719"/>
      <c r="BH15" s="720"/>
      <c r="BI15" s="721"/>
      <c r="BJ15" s="721"/>
      <c r="BK15" s="721"/>
      <c r="BL15" s="721"/>
      <c r="BM15" s="721"/>
      <c r="BN15" s="721"/>
      <c r="BO15" s="721"/>
      <c r="BP15" s="721"/>
      <c r="BQ15" s="721"/>
      <c r="BR15" s="721"/>
      <c r="BS15" s="721"/>
      <c r="BT15" s="721"/>
      <c r="BU15" s="721"/>
      <c r="BV15" s="721"/>
    </row>
    <row r="16" spans="1:74" ht="15.75" customHeight="1" x14ac:dyDescent="0.35">
      <c r="A16" s="715"/>
      <c r="B16" s="715"/>
      <c r="C16" s="716"/>
      <c r="D16" s="717"/>
      <c r="E16" s="717"/>
      <c r="F16" s="717"/>
      <c r="G16" s="716"/>
      <c r="H16" s="717"/>
      <c r="I16" s="717"/>
      <c r="J16" s="717"/>
      <c r="K16" s="717"/>
      <c r="L16" s="717"/>
      <c r="M16" s="717"/>
      <c r="N16" s="716"/>
      <c r="O16" s="717"/>
      <c r="P16" s="717"/>
      <c r="Q16" s="718"/>
      <c r="R16" s="717"/>
      <c r="S16" s="717"/>
      <c r="T16" s="717"/>
      <c r="U16" s="717"/>
      <c r="V16" s="716"/>
      <c r="W16" s="717"/>
      <c r="X16" s="717"/>
      <c r="Y16" s="717"/>
      <c r="Z16" s="717"/>
      <c r="AA16" s="717"/>
      <c r="AB16" s="717"/>
      <c r="AC16" s="716"/>
      <c r="AD16" s="717"/>
      <c r="AE16" s="717"/>
      <c r="AF16" s="718"/>
      <c r="AG16" s="717"/>
      <c r="AH16" s="717"/>
      <c r="AI16" s="717"/>
      <c r="AJ16" s="717"/>
      <c r="AK16" s="716"/>
      <c r="AL16" s="717"/>
      <c r="AM16" s="717"/>
      <c r="AN16" s="717"/>
      <c r="AO16" s="717"/>
      <c r="AP16" s="717"/>
      <c r="AQ16" s="717"/>
      <c r="AR16" s="716"/>
      <c r="AS16" s="717"/>
      <c r="AT16" s="717"/>
      <c r="AU16" s="717"/>
      <c r="AV16" s="717"/>
      <c r="AW16" s="717"/>
      <c r="AX16" s="717"/>
      <c r="AY16" s="717"/>
      <c r="AZ16" s="716"/>
      <c r="BA16" s="717"/>
      <c r="BB16" s="717"/>
      <c r="BC16" s="717"/>
      <c r="BD16" s="717"/>
      <c r="BE16" s="717"/>
      <c r="BF16" s="717"/>
      <c r="BG16" s="719"/>
      <c r="BH16" s="720"/>
      <c r="BI16" s="721"/>
      <c r="BJ16" s="721"/>
      <c r="BK16" s="721"/>
      <c r="BL16" s="721"/>
      <c r="BM16" s="721"/>
      <c r="BN16" s="721"/>
      <c r="BO16" s="721"/>
      <c r="BP16" s="721"/>
      <c r="BQ16" s="721"/>
      <c r="BR16" s="721"/>
      <c r="BS16" s="721"/>
      <c r="BT16" s="721"/>
      <c r="BU16" s="721"/>
      <c r="BV16" s="721"/>
    </row>
    <row r="17" spans="1:74" s="740" customFormat="1" ht="23.5" x14ac:dyDescent="0.35">
      <c r="A17" s="730"/>
      <c r="B17" s="731" t="s">
        <v>652</v>
      </c>
      <c r="C17" s="731"/>
      <c r="D17" s="732"/>
      <c r="E17" s="732"/>
      <c r="F17" s="732"/>
      <c r="G17" s="731"/>
      <c r="H17" s="733" t="s">
        <v>651</v>
      </c>
      <c r="I17" s="732"/>
      <c r="J17" s="732"/>
      <c r="K17" s="732"/>
      <c r="L17" s="732"/>
      <c r="M17" s="732"/>
      <c r="N17" s="731"/>
      <c r="O17" s="733" t="s">
        <v>650</v>
      </c>
      <c r="P17" s="732"/>
      <c r="Q17" s="734"/>
      <c r="R17" s="732"/>
      <c r="S17" s="732"/>
      <c r="T17" s="732"/>
      <c r="U17" s="732"/>
      <c r="V17" s="731"/>
      <c r="W17" s="732"/>
      <c r="X17" s="732"/>
      <c r="Y17" s="732"/>
      <c r="Z17" s="734"/>
      <c r="AA17" s="732"/>
      <c r="AB17" s="732"/>
      <c r="AC17" s="731"/>
      <c r="AD17" s="733" t="s">
        <v>649</v>
      </c>
      <c r="AE17" s="732"/>
      <c r="AF17" s="734"/>
      <c r="AG17" s="732"/>
      <c r="AH17" s="732"/>
      <c r="AI17" s="732"/>
      <c r="AJ17" s="735"/>
      <c r="AK17" s="731"/>
      <c r="AL17" s="732"/>
      <c r="AM17" s="732"/>
      <c r="AN17" s="732"/>
      <c r="AO17" s="732"/>
      <c r="AP17" s="732"/>
      <c r="AQ17" s="732"/>
      <c r="AR17" s="731"/>
      <c r="AS17" s="733" t="s">
        <v>648</v>
      </c>
      <c r="AT17" s="732"/>
      <c r="AU17" s="734"/>
      <c r="AV17" s="732"/>
      <c r="AW17" s="732"/>
      <c r="AX17" s="732"/>
      <c r="AY17" s="717"/>
      <c r="AZ17" s="731"/>
      <c r="BA17" s="732"/>
      <c r="BB17" s="732"/>
      <c r="BC17" s="732"/>
      <c r="BD17" s="732"/>
      <c r="BE17" s="732"/>
      <c r="BF17" s="732"/>
      <c r="BG17" s="736"/>
      <c r="BH17" s="737"/>
      <c r="BI17" s="738" t="s">
        <v>647</v>
      </c>
      <c r="BJ17" s="739"/>
      <c r="BK17" s="739"/>
      <c r="BL17" s="739"/>
      <c r="BM17" s="739"/>
      <c r="BN17" s="739"/>
      <c r="BO17" s="739"/>
      <c r="BP17" s="738" t="s">
        <v>841</v>
      </c>
      <c r="BQ17" s="739"/>
      <c r="BR17" s="739"/>
      <c r="BS17" s="739"/>
      <c r="BT17" s="739"/>
      <c r="BU17" s="739"/>
      <c r="BV17" s="739"/>
    </row>
    <row r="18" spans="1:74" x14ac:dyDescent="0.35">
      <c r="A18" s="976" t="s">
        <v>646</v>
      </c>
      <c r="B18" s="741" t="s">
        <v>645</v>
      </c>
      <c r="C18" s="742"/>
      <c r="G18" s="716"/>
      <c r="H18" s="743" t="s">
        <v>632</v>
      </c>
      <c r="I18" s="743"/>
      <c r="J18" s="743"/>
      <c r="K18" s="743"/>
      <c r="L18" s="743"/>
      <c r="M18" s="744" t="s">
        <v>563</v>
      </c>
      <c r="N18" s="716"/>
      <c r="O18" s="743" t="s">
        <v>631</v>
      </c>
      <c r="P18" s="743"/>
      <c r="Q18" s="745"/>
      <c r="R18" s="743"/>
      <c r="S18" s="743"/>
      <c r="T18" s="743"/>
      <c r="U18" s="743"/>
      <c r="V18" s="741"/>
      <c r="W18" s="746" t="s">
        <v>630</v>
      </c>
      <c r="X18" s="746"/>
      <c r="Y18" s="746"/>
      <c r="Z18" s="746"/>
      <c r="AA18" s="746"/>
      <c r="AB18" s="746"/>
      <c r="AC18" s="716"/>
      <c r="AD18" s="747" t="s">
        <v>629</v>
      </c>
      <c r="AE18" s="747"/>
      <c r="AF18" s="748"/>
      <c r="AG18" s="747"/>
      <c r="AH18" s="747"/>
      <c r="AI18" s="747"/>
      <c r="AJ18" s="747"/>
      <c r="AK18" s="747"/>
      <c r="AL18" s="747" t="s">
        <v>842</v>
      </c>
      <c r="AM18" s="747"/>
      <c r="AN18" s="747"/>
      <c r="AO18" s="747"/>
      <c r="AP18" s="747"/>
      <c r="AQ18" s="747"/>
      <c r="AR18" s="716"/>
      <c r="AS18" s="747" t="s">
        <v>628</v>
      </c>
      <c r="AT18" s="747"/>
      <c r="AU18" s="748"/>
      <c r="AV18" s="747"/>
      <c r="AW18" s="747"/>
      <c r="AX18" s="747"/>
      <c r="AY18" s="747"/>
      <c r="AZ18" s="747"/>
      <c r="BA18" s="747" t="s">
        <v>617</v>
      </c>
      <c r="BB18" s="747"/>
      <c r="BC18" s="747"/>
      <c r="BD18" s="747"/>
      <c r="BE18" s="747"/>
      <c r="BF18" s="747"/>
      <c r="BG18" s="719"/>
      <c r="BH18" s="720"/>
      <c r="BI18" s="749" t="s">
        <v>604</v>
      </c>
      <c r="BJ18" s="721"/>
      <c r="BK18" s="721"/>
      <c r="BL18" s="721"/>
      <c r="BM18" s="721"/>
      <c r="BN18" s="750" t="s">
        <v>563</v>
      </c>
      <c r="BO18" s="721"/>
      <c r="BP18" s="749" t="s">
        <v>564</v>
      </c>
      <c r="BQ18" s="721"/>
      <c r="BR18" s="721"/>
      <c r="BS18" s="721"/>
      <c r="BT18" s="721"/>
      <c r="BU18" s="750" t="s">
        <v>563</v>
      </c>
      <c r="BV18" s="721"/>
    </row>
    <row r="19" spans="1:74" ht="14.5" x14ac:dyDescent="0.35">
      <c r="A19" s="976"/>
      <c r="B19" s="722" t="s">
        <v>636</v>
      </c>
      <c r="C19" s="728">
        <v>2015</v>
      </c>
      <c r="D19" s="728">
        <v>2019</v>
      </c>
      <c r="E19" s="728">
        <v>2021</v>
      </c>
      <c r="F19" s="728">
        <v>2023</v>
      </c>
      <c r="G19" s="716"/>
      <c r="H19" s="977" t="s">
        <v>644</v>
      </c>
      <c r="I19" s="978"/>
      <c r="J19" s="728">
        <v>2015</v>
      </c>
      <c r="K19" s="728">
        <v>2019</v>
      </c>
      <c r="L19" s="728">
        <v>2021</v>
      </c>
      <c r="M19" s="728">
        <v>2023</v>
      </c>
      <c r="N19" s="716"/>
      <c r="O19" s="977" t="s">
        <v>644</v>
      </c>
      <c r="P19" s="978"/>
      <c r="Q19" s="751" t="s">
        <v>602</v>
      </c>
      <c r="R19" s="728">
        <v>2015</v>
      </c>
      <c r="S19" s="728">
        <v>2019</v>
      </c>
      <c r="T19" s="728">
        <v>2021</v>
      </c>
      <c r="U19" s="728">
        <v>2023</v>
      </c>
      <c r="V19" s="741"/>
      <c r="W19" s="977" t="s">
        <v>644</v>
      </c>
      <c r="X19" s="978"/>
      <c r="Y19" s="728">
        <v>2015</v>
      </c>
      <c r="Z19" s="728">
        <v>2019</v>
      </c>
      <c r="AA19" s="728">
        <v>2021</v>
      </c>
      <c r="AB19" s="728">
        <v>2023</v>
      </c>
      <c r="AC19" s="716"/>
      <c r="AD19" s="977" t="s">
        <v>644</v>
      </c>
      <c r="AE19" s="978"/>
      <c r="AF19" s="751" t="s">
        <v>602</v>
      </c>
      <c r="AG19" s="728">
        <v>2015</v>
      </c>
      <c r="AH19" s="728">
        <v>2019</v>
      </c>
      <c r="AI19" s="728">
        <v>2021</v>
      </c>
      <c r="AJ19" s="728">
        <v>2023</v>
      </c>
      <c r="AK19" s="747"/>
      <c r="AL19" s="977" t="s">
        <v>644</v>
      </c>
      <c r="AM19" s="978"/>
      <c r="AN19" s="728">
        <v>2015</v>
      </c>
      <c r="AO19" s="728">
        <v>2019</v>
      </c>
      <c r="AP19" s="728">
        <v>2021</v>
      </c>
      <c r="AQ19" s="728">
        <v>2023</v>
      </c>
      <c r="AR19" s="716"/>
      <c r="AS19" s="977" t="s">
        <v>644</v>
      </c>
      <c r="AT19" s="978"/>
      <c r="AU19" s="751" t="s">
        <v>602</v>
      </c>
      <c r="AV19" s="728">
        <v>2015</v>
      </c>
      <c r="AW19" s="728">
        <v>2019</v>
      </c>
      <c r="AX19" s="728">
        <v>2021</v>
      </c>
      <c r="AY19" s="728">
        <v>2023</v>
      </c>
      <c r="AZ19" s="747"/>
      <c r="BA19" s="977" t="s">
        <v>644</v>
      </c>
      <c r="BB19" s="978"/>
      <c r="BC19" s="728">
        <v>2015</v>
      </c>
      <c r="BD19" s="728">
        <v>2019</v>
      </c>
      <c r="BE19" s="728">
        <v>2021</v>
      </c>
      <c r="BF19" s="728">
        <v>2023</v>
      </c>
      <c r="BG19" s="719"/>
      <c r="BH19" s="752" t="s">
        <v>843</v>
      </c>
      <c r="BI19" s="984" t="s">
        <v>644</v>
      </c>
      <c r="BJ19" s="985"/>
      <c r="BK19" s="753">
        <f>R$19</f>
        <v>2015</v>
      </c>
      <c r="BL19" s="753">
        <f>S$19</f>
        <v>2019</v>
      </c>
      <c r="BM19" s="753">
        <f>T$19</f>
        <v>2021</v>
      </c>
      <c r="BN19" s="753">
        <f>U$19</f>
        <v>2023</v>
      </c>
      <c r="BO19" s="721"/>
      <c r="BP19" s="984" t="s">
        <v>644</v>
      </c>
      <c r="BQ19" s="985"/>
      <c r="BR19" s="753">
        <f>Y$19</f>
        <v>2015</v>
      </c>
      <c r="BS19" s="753">
        <f>Z$19</f>
        <v>2019</v>
      </c>
      <c r="BT19" s="753">
        <f>AA$19</f>
        <v>2021</v>
      </c>
      <c r="BU19" s="753">
        <f>AB$19</f>
        <v>2023</v>
      </c>
      <c r="BV19" s="721"/>
    </row>
    <row r="20" spans="1:74" x14ac:dyDescent="0.35">
      <c r="A20" s="976"/>
      <c r="B20" s="754" t="s">
        <v>546</v>
      </c>
      <c r="C20" s="529">
        <v>723747</v>
      </c>
      <c r="D20" s="529">
        <v>754120</v>
      </c>
      <c r="E20" s="529">
        <v>771202</v>
      </c>
      <c r="F20" s="529">
        <v>794456</v>
      </c>
      <c r="G20" s="716"/>
      <c r="H20" s="755" t="s">
        <v>559</v>
      </c>
      <c r="I20" s="756" t="s">
        <v>594</v>
      </c>
      <c r="J20" s="528">
        <v>0.31650663108264721</v>
      </c>
      <c r="K20" s="528">
        <v>0.28273953577923633</v>
      </c>
      <c r="L20" s="528">
        <v>0.39885980654480824</v>
      </c>
      <c r="M20" s="555">
        <v>0.41321794191299682</v>
      </c>
      <c r="N20" s="716"/>
      <c r="O20" s="755" t="s">
        <v>559</v>
      </c>
      <c r="P20" s="756" t="s">
        <v>594</v>
      </c>
      <c r="Q20" s="448">
        <v>0</v>
      </c>
      <c r="R20" s="552">
        <f t="shared" ref="R20:R26" si="1">IF(J20=0,0,Y20/(J20*$C$4*C$20)*10^6)</f>
        <v>0</v>
      </c>
      <c r="S20" s="448">
        <f t="shared" ref="S20:U22" si="2">$Q20</f>
        <v>0</v>
      </c>
      <c r="T20" s="549">
        <f t="shared" ref="T20:T36" si="3">IF(L20=0,0,AA20/(L20*$C$4*E$20)*10^6)</f>
        <v>0</v>
      </c>
      <c r="U20" s="448">
        <f t="shared" si="2"/>
        <v>0</v>
      </c>
      <c r="V20" s="741"/>
      <c r="W20" s="755" t="s">
        <v>559</v>
      </c>
      <c r="X20" s="756" t="s">
        <v>594</v>
      </c>
      <c r="Y20" s="547">
        <v>0</v>
      </c>
      <c r="Z20" s="448">
        <f>IF(K20=0,0,$C$4*D$20*K20*S20)/10^6</f>
        <v>0</v>
      </c>
      <c r="AA20" s="547">
        <v>0</v>
      </c>
      <c r="AB20" s="448">
        <f>IF(M20=0,0,$C$4*F$20*M20*U20)/10^6</f>
        <v>0</v>
      </c>
      <c r="AC20" s="716"/>
      <c r="AD20" s="755" t="s">
        <v>559</v>
      </c>
      <c r="AE20" s="756" t="s">
        <v>594</v>
      </c>
      <c r="AF20" s="448">
        <v>5.5800314024745088</v>
      </c>
      <c r="AG20" s="547">
        <v>5.5800314024745088</v>
      </c>
      <c r="AH20" s="448">
        <f t="shared" ref="AH20:AJ22" si="4">$AG20</f>
        <v>5.5800314024745088</v>
      </c>
      <c r="AI20" s="546">
        <f t="shared" ref="AI20:AI36" si="5">IF(L20=0,0,AP20/(L20*$C$4*E$20)*10^6)</f>
        <v>5.7672610066597869</v>
      </c>
      <c r="AJ20" s="448">
        <f t="shared" si="4"/>
        <v>5.5800314024745088</v>
      </c>
      <c r="AK20" s="747"/>
      <c r="AL20" s="755" t="s">
        <v>559</v>
      </c>
      <c r="AM20" s="756" t="s">
        <v>594</v>
      </c>
      <c r="AN20" s="547">
        <f>BC20-Y20</f>
        <v>475.92132179324835</v>
      </c>
      <c r="AO20" s="448">
        <f>IF(K20=0,0,$C$4*D$20*K20*AH20)/10^6</f>
        <v>434.56412134690135</v>
      </c>
      <c r="AP20" s="547">
        <f>BE20-AA20</f>
        <v>647.96008335147189</v>
      </c>
      <c r="AQ20" s="448">
        <v>669.07667076533937</v>
      </c>
      <c r="AR20" s="716"/>
      <c r="AS20" s="755" t="s">
        <v>559</v>
      </c>
      <c r="AT20" s="756" t="s">
        <v>594</v>
      </c>
      <c r="AU20" s="448">
        <f>Q20+AF20</f>
        <v>5.5800314024745088</v>
      </c>
      <c r="AV20" s="546">
        <f t="shared" ref="AV20:AV26" si="6">IF(J20=0,0,BC20/(J20*$C$4*C$20)*10^6)</f>
        <v>5.6882064132908354</v>
      </c>
      <c r="AW20" s="446">
        <f>S20+AH20</f>
        <v>5.5800314024745088</v>
      </c>
      <c r="AX20" s="546">
        <f t="shared" ref="AX20:AX36" si="7">IF(L20=0,0,BE20/(L20*$C$4*E$20)*10^6)</f>
        <v>5.7672610066597869</v>
      </c>
      <c r="AY20" s="446">
        <f>U20+AJ20</f>
        <v>5.5800314024745088</v>
      </c>
      <c r="AZ20" s="747"/>
      <c r="BA20" s="755" t="s">
        <v>559</v>
      </c>
      <c r="BB20" s="756" t="s">
        <v>594</v>
      </c>
      <c r="BC20" s="543">
        <v>475.92132179324835</v>
      </c>
      <c r="BD20" s="448">
        <f>Z20+AO20</f>
        <v>434.56412134690135</v>
      </c>
      <c r="BE20" s="543">
        <v>647.96008335147189</v>
      </c>
      <c r="BF20" s="448">
        <f>AB20+AQ20</f>
        <v>669.07667076533937</v>
      </c>
      <c r="BG20" s="719"/>
      <c r="BH20" s="720" t="str">
        <f>BJ20</f>
        <v>vélo conventionnel</v>
      </c>
      <c r="BI20" s="755" t="s">
        <v>559</v>
      </c>
      <c r="BJ20" s="756" t="s">
        <v>594</v>
      </c>
      <c r="BK20" s="502">
        <f t="shared" ref="BK20:BK36" si="8">J20/J$36</f>
        <v>1.0597320106614837E-2</v>
      </c>
      <c r="BL20" s="502">
        <f t="shared" ref="BL20:BL36" si="9">K20/K$36</f>
        <v>9.236806329164772E-3</v>
      </c>
      <c r="BM20" s="502">
        <f t="shared" ref="BM20:BM36" si="10">L20/L$36</f>
        <v>1.584212440697241E-2</v>
      </c>
      <c r="BN20" s="501">
        <f t="shared" ref="BN20:BN36" si="11">M20/M$36</f>
        <v>1.315195991005726E-2</v>
      </c>
      <c r="BO20" s="721"/>
      <c r="BP20" s="755" t="s">
        <v>559</v>
      </c>
      <c r="BQ20" s="756" t="s">
        <v>594</v>
      </c>
      <c r="BR20" s="448">
        <f t="shared" ref="BR20:BR36" si="12">J20*C$20*$C$4/10^6</f>
        <v>83.668082206234558</v>
      </c>
      <c r="BS20" s="448">
        <f t="shared" ref="BS20:BS36" si="13">K20*D$20*$C$4/10^6</f>
        <v>77.878436518151204</v>
      </c>
      <c r="BT20" s="448">
        <f t="shared" ref="BT20:BT36" si="14">L20*E$20*$C$4/10^6</f>
        <v>112.35144076247549</v>
      </c>
      <c r="BU20" s="757">
        <f t="shared" ref="BU20:BU36" si="15">M20*F$20*$C$4/10^6</f>
        <v>119.90553860837271</v>
      </c>
      <c r="BV20" s="721"/>
    </row>
    <row r="21" spans="1:74" x14ac:dyDescent="0.35">
      <c r="A21" s="976"/>
      <c r="C21" s="758">
        <f>C20/$C20-1</f>
        <v>0</v>
      </c>
      <c r="D21" s="758">
        <f t="shared" ref="D21:F21" si="16">D20/$C20-1</f>
        <v>4.1966322485619934E-2</v>
      </c>
      <c r="E21" s="758">
        <f t="shared" si="16"/>
        <v>6.556849285731059E-2</v>
      </c>
      <c r="F21" s="758">
        <f t="shared" si="16"/>
        <v>9.7698505140608516E-2</v>
      </c>
      <c r="G21" s="716"/>
      <c r="H21" s="759"/>
      <c r="I21" s="760" t="s">
        <v>164</v>
      </c>
      <c r="J21" s="527">
        <v>4.8907517618155441E-2</v>
      </c>
      <c r="K21" s="527">
        <v>8.2674612921566304E-2</v>
      </c>
      <c r="L21" s="527">
        <v>0.14806485823814897</v>
      </c>
      <c r="M21" s="554">
        <v>0.15339488959997324</v>
      </c>
      <c r="N21" s="716"/>
      <c r="O21" s="759"/>
      <c r="P21" s="760" t="s">
        <v>164</v>
      </c>
      <c r="Q21" s="446">
        <v>0</v>
      </c>
      <c r="R21" s="552">
        <f t="shared" si="1"/>
        <v>0</v>
      </c>
      <c r="S21" s="446">
        <f t="shared" si="2"/>
        <v>0</v>
      </c>
      <c r="T21" s="552">
        <f t="shared" si="3"/>
        <v>0</v>
      </c>
      <c r="U21" s="446">
        <f t="shared" si="2"/>
        <v>0</v>
      </c>
      <c r="V21" s="741"/>
      <c r="W21" s="759"/>
      <c r="X21" s="760" t="s">
        <v>164</v>
      </c>
      <c r="Y21" s="543">
        <v>0</v>
      </c>
      <c r="Z21" s="446">
        <f>IF(K21=0,0,$C$4*D$20*K21*S21)/10^6</f>
        <v>0</v>
      </c>
      <c r="AA21" s="543">
        <v>0</v>
      </c>
      <c r="AB21" s="446">
        <f>IF(M21=0,0,$C$4*F$20*M21*U21)/10^6</f>
        <v>0</v>
      </c>
      <c r="AC21" s="716"/>
      <c r="AD21" s="759"/>
      <c r="AE21" s="760" t="s">
        <v>164</v>
      </c>
      <c r="AF21" s="446">
        <v>10.566031327831809</v>
      </c>
      <c r="AG21" s="542">
        <v>10.566031327831809</v>
      </c>
      <c r="AH21" s="446">
        <f t="shared" si="4"/>
        <v>10.566031327831809</v>
      </c>
      <c r="AI21" s="542">
        <f t="shared" si="5"/>
        <v>10.920558698850172</v>
      </c>
      <c r="AJ21" s="446">
        <f t="shared" si="4"/>
        <v>10.566031327831809</v>
      </c>
      <c r="AK21" s="747"/>
      <c r="AL21" s="759"/>
      <c r="AM21" s="760" t="s">
        <v>164</v>
      </c>
      <c r="AN21" s="543">
        <f>BC21-Y21</f>
        <v>139.25257024303633</v>
      </c>
      <c r="AO21" s="446">
        <f>IF(K21=0,0,$C$4*D$20*K21*AH21)/10^6</f>
        <v>240.61059536625638</v>
      </c>
      <c r="AP21" s="543">
        <f>BE21-AA21</f>
        <v>455.46522555797878</v>
      </c>
      <c r="AQ21" s="446">
        <v>470.30853380580328</v>
      </c>
      <c r="AR21" s="716"/>
      <c r="AS21" s="759"/>
      <c r="AT21" s="760" t="s">
        <v>164</v>
      </c>
      <c r="AU21" s="446">
        <f>Q21+AF21</f>
        <v>10.566031327831809</v>
      </c>
      <c r="AV21" s="542">
        <f t="shared" si="6"/>
        <v>10.770865399673593</v>
      </c>
      <c r="AW21" s="446">
        <f>S21+AH21</f>
        <v>10.566031327831809</v>
      </c>
      <c r="AX21" s="542">
        <f t="shared" si="7"/>
        <v>10.920558698850172</v>
      </c>
      <c r="AY21" s="446">
        <f>U21+AJ21</f>
        <v>10.566031327831809</v>
      </c>
      <c r="AZ21" s="747"/>
      <c r="BA21" s="759"/>
      <c r="BB21" s="760" t="s">
        <v>164</v>
      </c>
      <c r="BC21" s="543">
        <v>139.25257024303633</v>
      </c>
      <c r="BD21" s="446">
        <f>Z21+AO21</f>
        <v>240.61059536625638</v>
      </c>
      <c r="BE21" s="543">
        <v>455.46522555797878</v>
      </c>
      <c r="BF21" s="446">
        <f>AB21+AQ21</f>
        <v>470.30853380580328</v>
      </c>
      <c r="BG21" s="719"/>
      <c r="BH21" s="720" t="str">
        <f>BJ21</f>
        <v>vélo électrique</v>
      </c>
      <c r="BI21" s="759"/>
      <c r="BJ21" s="760" t="s">
        <v>164</v>
      </c>
      <c r="BK21" s="496">
        <f t="shared" si="8"/>
        <v>1.637528471509846E-3</v>
      </c>
      <c r="BL21" s="496">
        <f t="shared" si="9"/>
        <v>2.7008935478037657E-3</v>
      </c>
      <c r="BM21" s="496">
        <f t="shared" si="10"/>
        <v>5.8809182224430923E-3</v>
      </c>
      <c r="BN21" s="495">
        <f t="shared" si="11"/>
        <v>4.8822745427914661E-3</v>
      </c>
      <c r="BO21" s="721"/>
      <c r="BP21" s="759"/>
      <c r="BQ21" s="760" t="s">
        <v>164</v>
      </c>
      <c r="BR21" s="446">
        <f t="shared" si="12"/>
        <v>12.928633408347704</v>
      </c>
      <c r="BS21" s="446">
        <f t="shared" si="13"/>
        <v>22.772088014964332</v>
      </c>
      <c r="BT21" s="446">
        <f t="shared" si="14"/>
        <v>41.70713588178733</v>
      </c>
      <c r="BU21" s="761">
        <f t="shared" si="15"/>
        <v>44.511370372996275</v>
      </c>
      <c r="BV21" s="721"/>
    </row>
    <row r="22" spans="1:74" x14ac:dyDescent="0.35">
      <c r="A22" s="976"/>
      <c r="G22" s="716"/>
      <c r="H22" s="759"/>
      <c r="I22" s="760" t="s">
        <v>593</v>
      </c>
      <c r="J22" s="527">
        <v>1.7812841565109463</v>
      </c>
      <c r="K22" s="527">
        <v>1.7812841565109463</v>
      </c>
      <c r="L22" s="527">
        <v>1.4345622425127755</v>
      </c>
      <c r="M22" s="554">
        <v>1.9383208032259516</v>
      </c>
      <c r="N22" s="716"/>
      <c r="O22" s="759"/>
      <c r="P22" s="760" t="s">
        <v>593</v>
      </c>
      <c r="Q22" s="446">
        <v>0</v>
      </c>
      <c r="R22" s="552">
        <f t="shared" si="1"/>
        <v>0</v>
      </c>
      <c r="S22" s="446">
        <f t="shared" si="2"/>
        <v>0</v>
      </c>
      <c r="T22" s="552">
        <f t="shared" si="3"/>
        <v>0</v>
      </c>
      <c r="U22" s="446">
        <f t="shared" si="2"/>
        <v>0</v>
      </c>
      <c r="V22" s="741"/>
      <c r="W22" s="759"/>
      <c r="X22" s="760" t="s">
        <v>593</v>
      </c>
      <c r="Y22" s="538">
        <v>0</v>
      </c>
      <c r="Z22" s="446">
        <f>IF(K22=0,0,$C$4*D$20*K22*S22)/10^6</f>
        <v>0</v>
      </c>
      <c r="AA22" s="538">
        <v>0</v>
      </c>
      <c r="AB22" s="446">
        <f>IF(M22=0,0,$C$4*F$20*M22*U22)/10^6</f>
        <v>0</v>
      </c>
      <c r="AC22" s="716"/>
      <c r="AD22" s="759"/>
      <c r="AE22" s="760" t="s">
        <v>593</v>
      </c>
      <c r="AF22" s="522">
        <v>0</v>
      </c>
      <c r="AG22" s="552">
        <v>0.49539950417513534</v>
      </c>
      <c r="AH22" s="522">
        <f t="shared" si="4"/>
        <v>0.49539950417513534</v>
      </c>
      <c r="AI22" s="552">
        <f t="shared" si="5"/>
        <v>1.6981884480745999</v>
      </c>
      <c r="AJ22" s="522">
        <f t="shared" si="4"/>
        <v>0.49539950417513534</v>
      </c>
      <c r="AK22" s="747"/>
      <c r="AL22" s="759"/>
      <c r="AM22" s="760" t="s">
        <v>593</v>
      </c>
      <c r="AN22" s="543">
        <f>BC22-Y22</f>
        <v>233.27369785804683</v>
      </c>
      <c r="AO22" s="446">
        <f>IF(K22=0,0,$C$4*D$20*K22*AH22)/10^6</f>
        <v>243.06333708977073</v>
      </c>
      <c r="AP22" s="543">
        <f>BE22-AA22</f>
        <v>686.22044026401352</v>
      </c>
      <c r="AQ22" s="446">
        <v>278.63861221362077</v>
      </c>
      <c r="AR22" s="716"/>
      <c r="AS22" s="759"/>
      <c r="AT22" s="760" t="s">
        <v>593</v>
      </c>
      <c r="AU22" s="446">
        <f>Q22+AF22</f>
        <v>0</v>
      </c>
      <c r="AV22" s="552">
        <f t="shared" si="6"/>
        <v>0.49539950417513523</v>
      </c>
      <c r="AW22" s="522">
        <f>S22+AH22</f>
        <v>0.49539950417513534</v>
      </c>
      <c r="AX22" s="552">
        <f t="shared" si="7"/>
        <v>1.6981884480745999</v>
      </c>
      <c r="AY22" s="522">
        <f>U22+AJ22</f>
        <v>0.49539950417513534</v>
      </c>
      <c r="AZ22" s="747"/>
      <c r="BA22" s="759"/>
      <c r="BB22" s="760" t="s">
        <v>593</v>
      </c>
      <c r="BC22" s="538">
        <v>233.27369785804683</v>
      </c>
      <c r="BD22" s="446">
        <f>Z22+AO22</f>
        <v>243.06333708977073</v>
      </c>
      <c r="BE22" s="538">
        <v>686.22044026401352</v>
      </c>
      <c r="BF22" s="446">
        <f>AB22+AQ22</f>
        <v>278.63861221362077</v>
      </c>
      <c r="BG22" s="719"/>
      <c r="BH22" s="720" t="s">
        <v>844</v>
      </c>
      <c r="BI22" s="759"/>
      <c r="BJ22" s="760" t="s">
        <v>593</v>
      </c>
      <c r="BK22" s="496">
        <f t="shared" si="8"/>
        <v>5.9641209862862941E-2</v>
      </c>
      <c r="BL22" s="496">
        <f t="shared" si="9"/>
        <v>5.8192699247225463E-2</v>
      </c>
      <c r="BM22" s="496">
        <f t="shared" si="10"/>
        <v>5.6978700642476489E-2</v>
      </c>
      <c r="BN22" s="495">
        <f t="shared" si="11"/>
        <v>6.169315247745269E-2</v>
      </c>
      <c r="BO22" s="721"/>
      <c r="BP22" s="759"/>
      <c r="BQ22" s="760" t="s">
        <v>593</v>
      </c>
      <c r="BR22" s="446">
        <f t="shared" si="12"/>
        <v>470.87995828025521</v>
      </c>
      <c r="BS22" s="446">
        <f t="shared" si="13"/>
        <v>490.64105846145969</v>
      </c>
      <c r="BT22" s="446">
        <f t="shared" si="14"/>
        <v>404.08968806851084</v>
      </c>
      <c r="BU22" s="761">
        <f t="shared" si="15"/>
        <v>562.45234374541394</v>
      </c>
      <c r="BV22" s="721"/>
    </row>
    <row r="23" spans="1:74" x14ac:dyDescent="0.35">
      <c r="A23" s="976"/>
      <c r="B23" s="762" t="s">
        <v>845</v>
      </c>
      <c r="C23" s="763">
        <v>773804</v>
      </c>
      <c r="D23" s="763">
        <v>806088</v>
      </c>
      <c r="E23" s="763">
        <v>823753</v>
      </c>
      <c r="F23" s="763">
        <v>846303</v>
      </c>
      <c r="G23" s="716"/>
      <c r="H23" s="764"/>
      <c r="I23" s="765" t="s">
        <v>404</v>
      </c>
      <c r="J23" s="521">
        <v>2.146698305211749</v>
      </c>
      <c r="K23" s="521">
        <v>2.146698305211749</v>
      </c>
      <c r="L23" s="521">
        <v>1.9814869072957326</v>
      </c>
      <c r="M23" s="536">
        <v>2.5049336347389217</v>
      </c>
      <c r="N23" s="716"/>
      <c r="O23" s="764"/>
      <c r="P23" s="765" t="s">
        <v>404</v>
      </c>
      <c r="Q23" s="484">
        <v>0</v>
      </c>
      <c r="R23" s="484">
        <f t="shared" si="1"/>
        <v>0</v>
      </c>
      <c r="S23" s="484">
        <f>IF(K23=0,0,Z23/(K23*$C$4*D$20)*10^6)</f>
        <v>0</v>
      </c>
      <c r="T23" s="484">
        <f t="shared" si="3"/>
        <v>0</v>
      </c>
      <c r="U23" s="484">
        <f>IF(M23=0,0,AB23/(M23*$C$4*F$20)*10^6)</f>
        <v>0</v>
      </c>
      <c r="V23" s="741"/>
      <c r="W23" s="764"/>
      <c r="X23" s="765" t="s">
        <v>404</v>
      </c>
      <c r="Y23" s="534">
        <f t="shared" ref="Y23:AB23" si="17">SUM(Y20:Y22)</f>
        <v>0</v>
      </c>
      <c r="Z23" s="484">
        <f t="shared" si="17"/>
        <v>0</v>
      </c>
      <c r="AA23" s="534">
        <f t="shared" si="17"/>
        <v>0</v>
      </c>
      <c r="AB23" s="484">
        <f t="shared" si="17"/>
        <v>0</v>
      </c>
      <c r="AC23" s="716"/>
      <c r="AD23" s="764"/>
      <c r="AE23" s="765" t="s">
        <v>404</v>
      </c>
      <c r="AF23" s="484">
        <v>0</v>
      </c>
      <c r="AG23" s="484">
        <f>IF(J23=0,0,AN23/(J23*$C$4*C$20)*10^6)</f>
        <v>1.4951232868675803</v>
      </c>
      <c r="AH23" s="484">
        <f>IF(K23=0,0,AO23/(K23*$C$4*D$20)*10^6)</f>
        <v>1.5529361151270653</v>
      </c>
      <c r="AI23" s="484">
        <f t="shared" si="5"/>
        <v>3.206398482837578</v>
      </c>
      <c r="AJ23" s="484">
        <f>IF(M23=0,0,AQ23/(M23*$C$4*F$20)*10^6)</f>
        <v>1.9508650441123734</v>
      </c>
      <c r="AK23" s="747"/>
      <c r="AL23" s="764"/>
      <c r="AM23" s="765" t="s">
        <v>404</v>
      </c>
      <c r="AN23" s="484">
        <f t="shared" ref="AN23:AQ23" si="18">SUM(AN20:AN22)</f>
        <v>848.44758989433149</v>
      </c>
      <c r="AO23" s="484">
        <f t="shared" si="18"/>
        <v>918.23805380292845</v>
      </c>
      <c r="AP23" s="484">
        <f t="shared" si="18"/>
        <v>1789.6457491734641</v>
      </c>
      <c r="AQ23" s="484">
        <f t="shared" si="18"/>
        <v>1418.0238167847633</v>
      </c>
      <c r="AR23" s="716"/>
      <c r="AS23" s="764"/>
      <c r="AT23" s="765" t="s">
        <v>404</v>
      </c>
      <c r="AU23" s="484">
        <v>0</v>
      </c>
      <c r="AV23" s="484">
        <f t="shared" si="6"/>
        <v>1.4951232868675803</v>
      </c>
      <c r="AW23" s="484">
        <f>IF(K23=0,0,BD23/(K23*$C$4*D$20)*10^6)</f>
        <v>1.5529361151270653</v>
      </c>
      <c r="AX23" s="484">
        <f t="shared" si="7"/>
        <v>3.206398482837578</v>
      </c>
      <c r="AY23" s="484">
        <f>IF(M23=0,0,BF23/(M23*$C$4*F$20)*10^6)</f>
        <v>1.9508650441123734</v>
      </c>
      <c r="AZ23" s="747"/>
      <c r="BA23" s="764"/>
      <c r="BB23" s="765" t="s">
        <v>404</v>
      </c>
      <c r="BC23" s="534">
        <f>SUM(BC20:BC22)</f>
        <v>848.44758989433149</v>
      </c>
      <c r="BD23" s="484">
        <f>SUM(BD20:BD22)</f>
        <v>918.23805380292845</v>
      </c>
      <c r="BE23" s="534">
        <f>SUM(BE20:BE22)</f>
        <v>1789.6457491734641</v>
      </c>
      <c r="BF23" s="484">
        <f>SUM(BF20:BF22)</f>
        <v>1418.0238167847633</v>
      </c>
      <c r="BG23" s="719"/>
      <c r="BH23" s="720"/>
      <c r="BI23" s="764"/>
      <c r="BJ23" s="765" t="s">
        <v>404</v>
      </c>
      <c r="BK23" s="482">
        <f t="shared" si="8"/>
        <v>7.1876058440987628E-2</v>
      </c>
      <c r="BL23" s="482">
        <f t="shared" si="9"/>
        <v>7.0130399124193998E-2</v>
      </c>
      <c r="BM23" s="482">
        <f t="shared" si="10"/>
        <v>7.8701743271891986E-2</v>
      </c>
      <c r="BN23" s="481">
        <f t="shared" si="11"/>
        <v>7.9727386930301417E-2</v>
      </c>
      <c r="BO23" s="721"/>
      <c r="BP23" s="764"/>
      <c r="BQ23" s="765" t="s">
        <v>404</v>
      </c>
      <c r="BR23" s="484">
        <f t="shared" si="12"/>
        <v>567.47667389483752</v>
      </c>
      <c r="BS23" s="484">
        <f t="shared" si="13"/>
        <v>591.29158299457526</v>
      </c>
      <c r="BT23" s="484">
        <f t="shared" si="14"/>
        <v>558.14826471277354</v>
      </c>
      <c r="BU23" s="766">
        <f t="shared" si="15"/>
        <v>726.86925272678297</v>
      </c>
      <c r="BV23" s="721"/>
    </row>
    <row r="24" spans="1:74" x14ac:dyDescent="0.35">
      <c r="A24" s="976"/>
      <c r="C24" s="758">
        <f>C23/$C23-1</f>
        <v>0</v>
      </c>
      <c r="D24" s="758">
        <f t="shared" ref="D24:F24" si="19">D23/$C23-1</f>
        <v>4.1721159363353078E-2</v>
      </c>
      <c r="E24" s="758">
        <f t="shared" si="19"/>
        <v>6.4549937710324468E-2</v>
      </c>
      <c r="F24" s="758">
        <f t="shared" si="19"/>
        <v>9.3691684199099567E-2</v>
      </c>
      <c r="G24" s="716"/>
      <c r="H24" s="755" t="s">
        <v>558</v>
      </c>
      <c r="I24" s="756" t="s">
        <v>592</v>
      </c>
      <c r="J24" s="505">
        <v>0.57794396713892915</v>
      </c>
      <c r="K24" s="505">
        <v>0.57746132665855721</v>
      </c>
      <c r="L24" s="505">
        <v>0.27635223987552276</v>
      </c>
      <c r="M24" s="550">
        <v>0.55134122704065291</v>
      </c>
      <c r="N24" s="716"/>
      <c r="O24" s="755" t="s">
        <v>558</v>
      </c>
      <c r="P24" s="756" t="s">
        <v>592</v>
      </c>
      <c r="Q24" s="448">
        <v>100.01966209648529</v>
      </c>
      <c r="R24" s="552">
        <f t="shared" si="1"/>
        <v>97.731725877944115</v>
      </c>
      <c r="S24" s="511">
        <f>$Q24</f>
        <v>100.01966209648529</v>
      </c>
      <c r="T24" s="549">
        <f t="shared" si="3"/>
        <v>97.245286761833327</v>
      </c>
      <c r="U24" s="448">
        <f t="shared" ref="S24:U25" si="20">$Q24</f>
        <v>100.01966209648529</v>
      </c>
      <c r="V24" s="741"/>
      <c r="W24" s="755" t="s">
        <v>558</v>
      </c>
      <c r="X24" s="756" t="s">
        <v>592</v>
      </c>
      <c r="Y24" s="547">
        <v>14931.323470122366</v>
      </c>
      <c r="Z24" s="448">
        <f>IF(K24=0,0,$C$4*D$20*K24*S24)/10^6</f>
        <v>15908.856729819958</v>
      </c>
      <c r="AA24" s="547">
        <v>7569.8961592238966</v>
      </c>
      <c r="AB24" s="448">
        <f>IF(M24=0,0,$C$4*F$20*M24*U24)/10^6</f>
        <v>16001.692682648625</v>
      </c>
      <c r="AC24" s="716"/>
      <c r="AD24" s="755" t="s">
        <v>558</v>
      </c>
      <c r="AE24" s="756" t="s">
        <v>592</v>
      </c>
      <c r="AF24" s="448">
        <v>63.621709980061325</v>
      </c>
      <c r="AG24" s="546">
        <f>IF(J24=0,0,AN24/(J24*$C$4*C$20)*10^6)</f>
        <v>62.500478547945775</v>
      </c>
      <c r="AH24" s="448">
        <f>$AF24</f>
        <v>63.621709980061325</v>
      </c>
      <c r="AI24" s="546">
        <f t="shared" si="5"/>
        <v>61.763660817315184</v>
      </c>
      <c r="AJ24" s="448">
        <f t="shared" ref="AJ24:AJ25" si="21">$AF24</f>
        <v>63.621709980061325</v>
      </c>
      <c r="AK24" s="747"/>
      <c r="AL24" s="755" t="s">
        <v>558</v>
      </c>
      <c r="AM24" s="756" t="s">
        <v>592</v>
      </c>
      <c r="AN24" s="547">
        <f>BC24-Y24</f>
        <v>9548.7402258945294</v>
      </c>
      <c r="AO24" s="448">
        <f>IF(K24=0,0,$C$4*D$20*K24*AH24)/10^6</f>
        <v>10119.4969845286</v>
      </c>
      <c r="AP24" s="547">
        <f>BE24-AA24</f>
        <v>4807.8885298130745</v>
      </c>
      <c r="AQ24" s="448">
        <f>IF(M24=0,0,$C$4*F$20*M24*AJ24)/10^6</f>
        <v>10178.549194292018</v>
      </c>
      <c r="AR24" s="716"/>
      <c r="AS24" s="755" t="s">
        <v>558</v>
      </c>
      <c r="AT24" s="756" t="s">
        <v>592</v>
      </c>
      <c r="AU24" s="448">
        <f>Q24+AF24</f>
        <v>163.64137207654662</v>
      </c>
      <c r="AV24" s="546">
        <f t="shared" si="6"/>
        <v>160.23220442588988</v>
      </c>
      <c r="AW24" s="446">
        <f>S24+AH24</f>
        <v>163.64137207654662</v>
      </c>
      <c r="AX24" s="546">
        <f t="shared" si="7"/>
        <v>159.0089475791485</v>
      </c>
      <c r="AY24" s="446">
        <f>U24+AJ24</f>
        <v>163.64137207654662</v>
      </c>
      <c r="AZ24" s="747"/>
      <c r="BA24" s="755" t="s">
        <v>558</v>
      </c>
      <c r="BB24" s="756" t="s">
        <v>592</v>
      </c>
      <c r="BC24" s="543">
        <v>24480.063696016896</v>
      </c>
      <c r="BD24" s="448">
        <f>Z24+AO24</f>
        <v>26028.353714348559</v>
      </c>
      <c r="BE24" s="543">
        <v>12377.784689036971</v>
      </c>
      <c r="BF24" s="448">
        <f>AB24+AQ24</f>
        <v>26180.241876940643</v>
      </c>
      <c r="BG24" s="719"/>
      <c r="BH24" s="720"/>
      <c r="BI24" s="755" t="s">
        <v>558</v>
      </c>
      <c r="BJ24" s="756" t="s">
        <v>592</v>
      </c>
      <c r="BK24" s="502">
        <f t="shared" si="8"/>
        <v>1.935080223282535E-2</v>
      </c>
      <c r="BL24" s="502">
        <f t="shared" si="9"/>
        <v>1.8865060460070811E-2</v>
      </c>
      <c r="BM24" s="502">
        <f t="shared" si="10"/>
        <v>1.0976304186121806E-2</v>
      </c>
      <c r="BN24" s="501">
        <f t="shared" si="11"/>
        <v>1.7548167635778E-2</v>
      </c>
      <c r="BO24" s="721"/>
      <c r="BP24" s="755" t="s">
        <v>558</v>
      </c>
      <c r="BQ24" s="756" t="s">
        <v>592</v>
      </c>
      <c r="BR24" s="448">
        <f t="shared" si="12"/>
        <v>152.7786738235842</v>
      </c>
      <c r="BS24" s="448">
        <f t="shared" si="13"/>
        <v>159.05729329972411</v>
      </c>
      <c r="BT24" s="448">
        <f t="shared" si="14"/>
        <v>77.843321885240385</v>
      </c>
      <c r="BU24" s="757">
        <f t="shared" si="15"/>
        <v>159.98547032894771</v>
      </c>
      <c r="BV24" s="721"/>
    </row>
    <row r="25" spans="1:74" x14ac:dyDescent="0.35">
      <c r="A25" s="976"/>
      <c r="G25" s="716"/>
      <c r="H25" s="759"/>
      <c r="I25" s="760" t="s">
        <v>544</v>
      </c>
      <c r="J25" s="522">
        <v>4.5667960209809164E-3</v>
      </c>
      <c r="K25" s="522">
        <v>5.0494365013528247E-3</v>
      </c>
      <c r="L25" s="522">
        <v>3.8722048573580884E-3</v>
      </c>
      <c r="M25" s="545">
        <v>1.0339978739924932E-2</v>
      </c>
      <c r="N25" s="716"/>
      <c r="O25" s="759"/>
      <c r="P25" s="760" t="s">
        <v>544</v>
      </c>
      <c r="Q25" s="446">
        <v>0</v>
      </c>
      <c r="R25" s="552">
        <f t="shared" si="1"/>
        <v>0</v>
      </c>
      <c r="S25" s="510">
        <f t="shared" si="20"/>
        <v>0</v>
      </c>
      <c r="T25" s="552">
        <f t="shared" si="3"/>
        <v>0</v>
      </c>
      <c r="U25" s="446">
        <f t="shared" si="20"/>
        <v>0</v>
      </c>
      <c r="V25" s="741"/>
      <c r="W25" s="759"/>
      <c r="X25" s="760" t="s">
        <v>544</v>
      </c>
      <c r="Y25" s="543">
        <v>0</v>
      </c>
      <c r="Z25" s="446">
        <f>IF(K25=0,0,$C$4*D$20*K25*S25)/10^6</f>
        <v>0</v>
      </c>
      <c r="AA25" s="543">
        <v>0</v>
      </c>
      <c r="AB25" s="446">
        <f>IF(M25=0,0,$C$4*F$20*M25*U25)/10^6</f>
        <v>0</v>
      </c>
      <c r="AC25" s="716"/>
      <c r="AD25" s="759"/>
      <c r="AE25" s="760" t="s">
        <v>544</v>
      </c>
      <c r="AF25" s="446">
        <v>77.703220130850724</v>
      </c>
      <c r="AG25" s="542">
        <f>IF(J25=0,0,AN25/(J25*$C$4*C$20)*10^6)</f>
        <v>76.084416150778736</v>
      </c>
      <c r="AH25" s="446">
        <f t="shared" ref="AH25" si="22">$AF25</f>
        <v>77.703220130850724</v>
      </c>
      <c r="AI25" s="542">
        <f t="shared" si="5"/>
        <v>75.503566730899408</v>
      </c>
      <c r="AJ25" s="446">
        <f t="shared" si="21"/>
        <v>77.703220130850724</v>
      </c>
      <c r="AK25" s="747"/>
      <c r="AL25" s="759"/>
      <c r="AM25" s="760" t="s">
        <v>544</v>
      </c>
      <c r="AN25" s="543">
        <f>BC25-Y25</f>
        <v>91.851092748866094</v>
      </c>
      <c r="AO25" s="446">
        <f>IF(K25=0,0,$C$4*D$20*K25*AH25)/10^6</f>
        <v>108.07185738273678</v>
      </c>
      <c r="AP25" s="543">
        <f>BE25-AA25</f>
        <v>82.353898927944186</v>
      </c>
      <c r="AQ25" s="446">
        <f>IF(M25=0,0,$C$4*F$20*M25*AJ25)/10^6</f>
        <v>233.14104388525573</v>
      </c>
      <c r="AR25" s="716"/>
      <c r="AS25" s="759"/>
      <c r="AT25" s="760" t="s">
        <v>544</v>
      </c>
      <c r="AU25" s="446">
        <f>Q25+AF25</f>
        <v>77.703220130850724</v>
      </c>
      <c r="AV25" s="542">
        <f t="shared" si="6"/>
        <v>76.084416150778736</v>
      </c>
      <c r="AW25" s="446">
        <f>S25+AH25</f>
        <v>77.703220130850724</v>
      </c>
      <c r="AX25" s="542">
        <f t="shared" si="7"/>
        <v>75.503566730899408</v>
      </c>
      <c r="AY25" s="446">
        <f>U25+AJ25</f>
        <v>77.703220130850724</v>
      </c>
      <c r="AZ25" s="747"/>
      <c r="BA25" s="759"/>
      <c r="BB25" s="760" t="s">
        <v>544</v>
      </c>
      <c r="BC25" s="543">
        <v>91.851092748866094</v>
      </c>
      <c r="BD25" s="446">
        <f>Z25+AO25</f>
        <v>108.07185738273678</v>
      </c>
      <c r="BE25" s="543">
        <v>82.353898927944186</v>
      </c>
      <c r="BF25" s="446">
        <f>AB25+AQ25</f>
        <v>233.14104388525573</v>
      </c>
      <c r="BG25" s="719"/>
      <c r="BH25" s="720"/>
      <c r="BI25" s="759"/>
      <c r="BJ25" s="760" t="s">
        <v>544</v>
      </c>
      <c r="BK25" s="496">
        <f t="shared" si="8"/>
        <v>1.5290611489056743E-4</v>
      </c>
      <c r="BL25" s="496">
        <f t="shared" si="9"/>
        <v>1.6495983452002459E-4</v>
      </c>
      <c r="BM25" s="496">
        <f t="shared" si="10"/>
        <v>1.5379827717150099E-4</v>
      </c>
      <c r="BN25" s="495">
        <f t="shared" si="11"/>
        <v>3.291023260722063E-4</v>
      </c>
      <c r="BO25" s="721"/>
      <c r="BP25" s="759"/>
      <c r="BQ25" s="760" t="s">
        <v>544</v>
      </c>
      <c r="BR25" s="446">
        <f t="shared" si="12"/>
        <v>1.2072260969558088</v>
      </c>
      <c r="BS25" s="446">
        <f t="shared" si="13"/>
        <v>1.3908285551196702</v>
      </c>
      <c r="BT25" s="446">
        <f t="shared" si="14"/>
        <v>1.0907285906301607</v>
      </c>
      <c r="BU25" s="761">
        <f t="shared" si="15"/>
        <v>3.0004038892165692</v>
      </c>
      <c r="BV25" s="721"/>
    </row>
    <row r="26" spans="1:74" x14ac:dyDescent="0.35">
      <c r="A26" s="976"/>
      <c r="G26" s="716"/>
      <c r="H26" s="764"/>
      <c r="I26" s="765" t="s">
        <v>404</v>
      </c>
      <c r="J26" s="523">
        <v>0.58251076315991002</v>
      </c>
      <c r="K26" s="523">
        <v>0.58251076315991002</v>
      </c>
      <c r="L26" s="523">
        <v>0.28022444473288083</v>
      </c>
      <c r="M26" s="551">
        <v>0.5616812057805779</v>
      </c>
      <c r="N26" s="716"/>
      <c r="O26" s="764"/>
      <c r="P26" s="765" t="s">
        <v>404</v>
      </c>
      <c r="Q26" s="484">
        <v>0</v>
      </c>
      <c r="R26" s="484">
        <f t="shared" si="1"/>
        <v>96.96552397217701</v>
      </c>
      <c r="S26" s="484">
        <f>IF(K26=0,0,Z26/(K26*$C$4*D$20)*10^6)</f>
        <v>99.152651622887703</v>
      </c>
      <c r="T26" s="484">
        <f t="shared" si="3"/>
        <v>95.901529360107389</v>
      </c>
      <c r="U26" s="484">
        <f>IF(M26=0,0,AB26/(M26*$C$4*F$20)*10^6)</f>
        <v>98.178402020469605</v>
      </c>
      <c r="V26" s="741"/>
      <c r="W26" s="764"/>
      <c r="X26" s="765" t="s">
        <v>404</v>
      </c>
      <c r="Y26" s="534">
        <v>14931.323470122368</v>
      </c>
      <c r="Z26" s="484">
        <f>SUM(Z24:Z25)</f>
        <v>15908.856729819958</v>
      </c>
      <c r="AA26" s="534">
        <v>7569.8961592238966</v>
      </c>
      <c r="AB26" s="484">
        <f>SUM(AB24:AB25)</f>
        <v>16001.692682648625</v>
      </c>
      <c r="AC26" s="716"/>
      <c r="AD26" s="764"/>
      <c r="AE26" s="765" t="s">
        <v>404</v>
      </c>
      <c r="AF26" s="484">
        <v>0</v>
      </c>
      <c r="AG26" s="484">
        <f>IF(J26=0,0,AN26/(J26*$C$4*C$20)*10^6)</f>
        <v>62.606974558178031</v>
      </c>
      <c r="AH26" s="484">
        <f>IF(K26=0,0,AO26/(K26*$C$4*D$20)*10^6)</f>
        <v>63.743774147535007</v>
      </c>
      <c r="AI26" s="484">
        <f t="shared" si="5"/>
        <v>61.953521949768991</v>
      </c>
      <c r="AJ26" s="484">
        <f>IF(M26=0,0,AQ26/(M26*$C$4*F$20)*10^6)</f>
        <v>63.880936235251497</v>
      </c>
      <c r="AK26" s="747"/>
      <c r="AL26" s="764"/>
      <c r="AM26" s="765" t="s">
        <v>404</v>
      </c>
      <c r="AN26" s="484">
        <f t="shared" ref="AN26:AQ26" si="23">SUM(AN24:AN25)</f>
        <v>9640.5913186433954</v>
      </c>
      <c r="AO26" s="484">
        <f t="shared" si="23"/>
        <v>10227.568841911336</v>
      </c>
      <c r="AP26" s="484">
        <f t="shared" si="23"/>
        <v>4890.2424287410186</v>
      </c>
      <c r="AQ26" s="484">
        <f t="shared" si="23"/>
        <v>10411.690238177274</v>
      </c>
      <c r="AR26" s="716"/>
      <c r="AS26" s="764"/>
      <c r="AT26" s="765" t="s">
        <v>404</v>
      </c>
      <c r="AU26" s="484">
        <v>0</v>
      </c>
      <c r="AV26" s="484">
        <f t="shared" si="6"/>
        <v>159.57249853035503</v>
      </c>
      <c r="AW26" s="484">
        <f>IF(K26=0,0,BD26/(K26*$C$4*D$20)*10^6)</f>
        <v>162.89642577042272</v>
      </c>
      <c r="AX26" s="484">
        <f t="shared" si="7"/>
        <v>157.85505130987639</v>
      </c>
      <c r="AY26" s="484">
        <f>IF(M26=0,0,BF26/(M26*$C$4*F$20)*10^6)</f>
        <v>162.05933825572109</v>
      </c>
      <c r="AZ26" s="747"/>
      <c r="BA26" s="764"/>
      <c r="BB26" s="765" t="s">
        <v>404</v>
      </c>
      <c r="BC26" s="534">
        <v>24571.914788765764</v>
      </c>
      <c r="BD26" s="484">
        <f>SUM(BD24:BD25)</f>
        <v>26136.425571731295</v>
      </c>
      <c r="BE26" s="534">
        <v>12460.138587964917</v>
      </c>
      <c r="BF26" s="484">
        <f>SUM(BF24:BF25)</f>
        <v>26413.382920825898</v>
      </c>
      <c r="BG26" s="719"/>
      <c r="BH26" s="720" t="s">
        <v>846</v>
      </c>
      <c r="BI26" s="764"/>
      <c r="BJ26" s="765" t="s">
        <v>404</v>
      </c>
      <c r="BK26" s="482">
        <f t="shared" si="8"/>
        <v>1.9503708347715913E-2</v>
      </c>
      <c r="BL26" s="482">
        <f t="shared" si="9"/>
        <v>1.9030020294590836E-2</v>
      </c>
      <c r="BM26" s="482">
        <f t="shared" si="10"/>
        <v>1.1130102463293308E-2</v>
      </c>
      <c r="BN26" s="481">
        <f t="shared" si="11"/>
        <v>1.7877269961850208E-2</v>
      </c>
      <c r="BO26" s="721"/>
      <c r="BP26" s="764"/>
      <c r="BQ26" s="765" t="s">
        <v>404</v>
      </c>
      <c r="BR26" s="484">
        <f t="shared" si="12"/>
        <v>153.98589992053999</v>
      </c>
      <c r="BS26" s="484">
        <f t="shared" si="13"/>
        <v>160.44812185484381</v>
      </c>
      <c r="BT26" s="484">
        <f t="shared" si="14"/>
        <v>78.934050475870535</v>
      </c>
      <c r="BU26" s="766">
        <f t="shared" si="15"/>
        <v>162.9858742181643</v>
      </c>
      <c r="BV26" s="721"/>
    </row>
    <row r="27" spans="1:74" x14ac:dyDescent="0.35">
      <c r="A27" s="976"/>
      <c r="G27" s="716"/>
      <c r="H27" s="755" t="s">
        <v>548</v>
      </c>
      <c r="I27" s="756" t="s">
        <v>173</v>
      </c>
      <c r="J27" s="505">
        <v>15.325705658091513</v>
      </c>
      <c r="K27" s="505">
        <v>15.269738095437088</v>
      </c>
      <c r="L27" s="505">
        <v>12.663040746674092</v>
      </c>
      <c r="M27" s="550">
        <v>13.311144103656332</v>
      </c>
      <c r="N27" s="716"/>
      <c r="O27" s="755" t="s">
        <v>548</v>
      </c>
      <c r="P27" s="756" t="s">
        <v>173</v>
      </c>
      <c r="Q27" s="505">
        <v>112.89178391519464</v>
      </c>
      <c r="R27" s="549">
        <f>$Q27*$P$5*R$12</f>
        <v>133.30725198367392</v>
      </c>
      <c r="S27" s="505">
        <f>$Q27*$P$5*S$12</f>
        <v>126.46698980417239</v>
      </c>
      <c r="T27" s="549">
        <f t="shared" si="3"/>
        <v>128.27947562281418</v>
      </c>
      <c r="U27" s="505">
        <f>$Q27*$P$5*U$12</f>
        <v>124.72964659976296</v>
      </c>
      <c r="V27" s="741"/>
      <c r="W27" s="755" t="s">
        <v>548</v>
      </c>
      <c r="X27" s="756" t="s">
        <v>173</v>
      </c>
      <c r="Y27" s="542">
        <f t="shared" ref="Y27:Z31" si="24">IF(J27=0,0,$C$4*C$20*J27*R27)/10^6</f>
        <v>540071.49698490696</v>
      </c>
      <c r="Z27" s="446">
        <f t="shared" si="24"/>
        <v>531911.58964950126</v>
      </c>
      <c r="AA27" s="543">
        <v>457565.79547440185</v>
      </c>
      <c r="AB27" s="446">
        <f>IF(M27=0,0,$C$4*F$20*M27*U27)/10^6</f>
        <v>481775.98812576861</v>
      </c>
      <c r="AC27" s="716"/>
      <c r="AD27" s="755" t="s">
        <v>548</v>
      </c>
      <c r="AE27" s="756" t="s">
        <v>173</v>
      </c>
      <c r="AF27" s="448">
        <v>73.097234891906908</v>
      </c>
      <c r="AG27" s="546">
        <f t="shared" ref="AG27:AH31" si="25">$AF27*$Q$5*R$12</f>
        <v>79.15263331058928</v>
      </c>
      <c r="AH27" s="498">
        <f t="shared" si="25"/>
        <v>75.091153113632814</v>
      </c>
      <c r="AI27" s="542">
        <f t="shared" si="5"/>
        <v>78.094971895596771</v>
      </c>
      <c r="AJ27" s="498">
        <f>$AF27*$Q$5*U$12</f>
        <v>74.059586656842413</v>
      </c>
      <c r="AK27" s="747"/>
      <c r="AL27" s="755" t="s">
        <v>548</v>
      </c>
      <c r="AM27" s="756" t="s">
        <v>173</v>
      </c>
      <c r="AN27" s="542">
        <f t="shared" ref="AN27:AO31" si="26">IF(J27=0,0,$C$4*C$20*J27*AG27)/10^6</f>
        <v>320673.33566806029</v>
      </c>
      <c r="AO27" s="504">
        <f t="shared" si="26"/>
        <v>315828.30178163032</v>
      </c>
      <c r="AP27" s="542">
        <f>BE27-AA27</f>
        <v>278560.44596743473</v>
      </c>
      <c r="AQ27" s="504">
        <f>IF(M27=0,0,$C$4*F$20*M27*AJ27)/10^6</f>
        <v>286059.74212592735</v>
      </c>
      <c r="AR27" s="716"/>
      <c r="AS27" s="755" t="s">
        <v>548</v>
      </c>
      <c r="AT27" s="756" t="s">
        <v>173</v>
      </c>
      <c r="AU27" s="448">
        <f t="shared" ref="AU27:AW31" si="27">Q27+AF27</f>
        <v>185.98901880710156</v>
      </c>
      <c r="AV27" s="542">
        <f t="shared" si="27"/>
        <v>212.45988529426319</v>
      </c>
      <c r="AW27" s="446">
        <f t="shared" si="27"/>
        <v>201.55814291780518</v>
      </c>
      <c r="AX27" s="542">
        <f t="shared" si="7"/>
        <v>206.37444751841096</v>
      </c>
      <c r="AY27" s="446">
        <f>U27+AJ27</f>
        <v>198.78923325660537</v>
      </c>
      <c r="AZ27" s="747"/>
      <c r="BA27" s="755" t="s">
        <v>548</v>
      </c>
      <c r="BB27" s="756" t="s">
        <v>173</v>
      </c>
      <c r="BC27" s="546">
        <f t="shared" ref="BC27:BD31" si="28">Y27+AN27</f>
        <v>860744.83265296719</v>
      </c>
      <c r="BD27" s="448">
        <f t="shared" si="28"/>
        <v>847739.89143113163</v>
      </c>
      <c r="BE27" s="543">
        <v>736126.24144183658</v>
      </c>
      <c r="BF27" s="448">
        <f>AB27+AQ27</f>
        <v>767835.73025169596</v>
      </c>
      <c r="BG27" s="719"/>
      <c r="BH27" s="720"/>
      <c r="BI27" s="755" t="s">
        <v>548</v>
      </c>
      <c r="BJ27" s="756" t="s">
        <v>173</v>
      </c>
      <c r="BK27" s="502">
        <f t="shared" si="8"/>
        <v>0.51313745991041992</v>
      </c>
      <c r="BL27" s="502">
        <f t="shared" si="9"/>
        <v>0.49884644924489413</v>
      </c>
      <c r="BM27" s="502">
        <f t="shared" si="10"/>
        <v>0.50295733886346128</v>
      </c>
      <c r="BN27" s="501">
        <f t="shared" si="11"/>
        <v>0.42366900332983048</v>
      </c>
      <c r="BO27" s="721"/>
      <c r="BP27" s="755" t="s">
        <v>548</v>
      </c>
      <c r="BQ27" s="756" t="s">
        <v>173</v>
      </c>
      <c r="BR27" s="448">
        <f t="shared" si="12"/>
        <v>4051.3287082914981</v>
      </c>
      <c r="BS27" s="448">
        <f t="shared" si="13"/>
        <v>4205.932239496954</v>
      </c>
      <c r="BT27" s="448">
        <f t="shared" si="14"/>
        <v>3566.9446983070211</v>
      </c>
      <c r="BU27" s="757">
        <f t="shared" si="15"/>
        <v>3862.561959080258</v>
      </c>
      <c r="BV27" s="721"/>
    </row>
    <row r="28" spans="1:74" x14ac:dyDescent="0.35">
      <c r="A28" s="976"/>
      <c r="G28" s="716"/>
      <c r="H28" s="759"/>
      <c r="I28" s="760" t="s">
        <v>170</v>
      </c>
      <c r="J28" s="522">
        <v>5.9530472682553599</v>
      </c>
      <c r="K28" s="522">
        <v>6.1568243489382759</v>
      </c>
      <c r="L28" s="522">
        <v>4.8434817966113091</v>
      </c>
      <c r="M28" s="545">
        <v>4.7376801157943547</v>
      </c>
      <c r="N28" s="716"/>
      <c r="O28" s="759"/>
      <c r="P28" s="760" t="s">
        <v>170</v>
      </c>
      <c r="Q28" s="522">
        <v>115.41002524003623</v>
      </c>
      <c r="R28" s="552">
        <f t="shared" ref="R28:R31" si="29">$Q28*$P$5*R$12</f>
        <v>136.28089469888286</v>
      </c>
      <c r="S28" s="522">
        <f t="shared" ref="S28:U31" si="30">$Q28*$P$5*S$12</f>
        <v>129.28804895398997</v>
      </c>
      <c r="T28" s="552">
        <f t="shared" si="3"/>
        <v>131.14096532063888</v>
      </c>
      <c r="U28" s="522">
        <f t="shared" si="30"/>
        <v>127.51195138410729</v>
      </c>
      <c r="V28" s="741"/>
      <c r="W28" s="759"/>
      <c r="X28" s="760" t="s">
        <v>170</v>
      </c>
      <c r="Y28" s="542">
        <f t="shared" si="24"/>
        <v>214462.47230468169</v>
      </c>
      <c r="Z28" s="446">
        <f t="shared" si="24"/>
        <v>219253.14351664454</v>
      </c>
      <c r="AA28" s="543">
        <v>178918.15858660563</v>
      </c>
      <c r="AB28" s="446">
        <f>IF(M28=0,0,$C$4*F$20*M28*U28)/10^6</f>
        <v>175297.89463199017</v>
      </c>
      <c r="AC28" s="716"/>
      <c r="AD28" s="759"/>
      <c r="AE28" s="760" t="s">
        <v>170</v>
      </c>
      <c r="AF28" s="446">
        <v>73.56325269294247</v>
      </c>
      <c r="AG28" s="542">
        <f t="shared" si="25"/>
        <v>79.657256175956505</v>
      </c>
      <c r="AH28" s="498">
        <f t="shared" si="25"/>
        <v>75.569882768769389</v>
      </c>
      <c r="AI28" s="542">
        <f t="shared" si="5"/>
        <v>78.54483268666003</v>
      </c>
      <c r="AJ28" s="498">
        <f>$AF28*$Q$5*U$12</f>
        <v>74.531739752242828</v>
      </c>
      <c r="AK28" s="747"/>
      <c r="AL28" s="759"/>
      <c r="AM28" s="760" t="s">
        <v>170</v>
      </c>
      <c r="AN28" s="542">
        <f t="shared" si="26"/>
        <v>125355.00397359108</v>
      </c>
      <c r="AO28" s="498">
        <f t="shared" si="26"/>
        <v>128155.18902395549</v>
      </c>
      <c r="AP28" s="542">
        <f>BE28-AA28</f>
        <v>107160.23628795554</v>
      </c>
      <c r="AQ28" s="498">
        <f>IF(M28=0,0,$C$4*F$20*M28*AJ28)/10^6</f>
        <v>102462.99989928624</v>
      </c>
      <c r="AR28" s="716"/>
      <c r="AS28" s="759"/>
      <c r="AT28" s="760" t="s">
        <v>170</v>
      </c>
      <c r="AU28" s="446">
        <f t="shared" si="27"/>
        <v>188.9732779329787</v>
      </c>
      <c r="AV28" s="542">
        <f t="shared" si="27"/>
        <v>215.93815087483938</v>
      </c>
      <c r="AW28" s="446">
        <f t="shared" si="27"/>
        <v>204.85793172275936</v>
      </c>
      <c r="AX28" s="542">
        <f t="shared" si="7"/>
        <v>209.68579800729893</v>
      </c>
      <c r="AY28" s="446">
        <f>U28+AJ28</f>
        <v>202.04369113635011</v>
      </c>
      <c r="AZ28" s="747"/>
      <c r="BA28" s="759"/>
      <c r="BB28" s="760" t="s">
        <v>170</v>
      </c>
      <c r="BC28" s="542">
        <f t="shared" si="28"/>
        <v>339817.47627827281</v>
      </c>
      <c r="BD28" s="446">
        <f t="shared" si="28"/>
        <v>347408.33254060004</v>
      </c>
      <c r="BE28" s="543">
        <v>286078.39487456117</v>
      </c>
      <c r="BF28" s="446">
        <f>AB28+AQ28</f>
        <v>277760.89453127643</v>
      </c>
      <c r="BG28" s="719"/>
      <c r="BH28" s="720"/>
      <c r="BI28" s="759"/>
      <c r="BJ28" s="760" t="s">
        <v>170</v>
      </c>
      <c r="BK28" s="496">
        <f t="shared" si="8"/>
        <v>0.19932077661601266</v>
      </c>
      <c r="BL28" s="496">
        <f t="shared" si="9"/>
        <v>0.2011370428160871</v>
      </c>
      <c r="BM28" s="496">
        <f t="shared" si="10"/>
        <v>0.19237596750978356</v>
      </c>
      <c r="BN28" s="495">
        <f t="shared" si="11"/>
        <v>0.15079156210192377</v>
      </c>
      <c r="BO28" s="721"/>
      <c r="BP28" s="759"/>
      <c r="BQ28" s="760" t="s">
        <v>170</v>
      </c>
      <c r="BR28" s="446">
        <f t="shared" si="12"/>
        <v>1573.6796619844888</v>
      </c>
      <c r="BS28" s="446">
        <f t="shared" si="13"/>
        <v>1695.8500440722917</v>
      </c>
      <c r="BT28" s="446">
        <f t="shared" si="14"/>
        <v>1364.3193654183631</v>
      </c>
      <c r="BU28" s="761">
        <f t="shared" si="15"/>
        <v>1374.7565834353531</v>
      </c>
      <c r="BV28" s="721"/>
    </row>
    <row r="29" spans="1:74" x14ac:dyDescent="0.35">
      <c r="A29" s="976"/>
      <c r="G29" s="716"/>
      <c r="H29" s="759"/>
      <c r="I29" s="760" t="s">
        <v>545</v>
      </c>
      <c r="J29" s="522">
        <v>0.25832038018364478</v>
      </c>
      <c r="K29" s="522">
        <v>0.57407032436862848</v>
      </c>
      <c r="L29" s="522">
        <v>1.0325985151995829</v>
      </c>
      <c r="M29" s="545">
        <v>1.9932054274805615</v>
      </c>
      <c r="N29" s="716"/>
      <c r="O29" s="759"/>
      <c r="P29" s="760" t="s">
        <v>545</v>
      </c>
      <c r="Q29" s="522">
        <v>82.701369152032839</v>
      </c>
      <c r="R29" s="552">
        <f t="shared" si="29"/>
        <v>97.657171094282035</v>
      </c>
      <c r="S29" s="522">
        <f>$Q29*$P$5*S$12</f>
        <v>92.646185989922245</v>
      </c>
      <c r="T29" s="552">
        <f t="shared" si="3"/>
        <v>93.973962499175769</v>
      </c>
      <c r="U29" s="522">
        <f>$Q29*$P$5*U$12</f>
        <v>91.373456862002939</v>
      </c>
      <c r="V29" s="741"/>
      <c r="W29" s="759"/>
      <c r="X29" s="760" t="s">
        <v>545</v>
      </c>
      <c r="Y29" s="542">
        <f t="shared" si="24"/>
        <v>6668.6789845434805</v>
      </c>
      <c r="Z29" s="446">
        <f t="shared" si="24"/>
        <v>14649.517671258001</v>
      </c>
      <c r="AA29" s="543">
        <v>27333.636064602815</v>
      </c>
      <c r="AB29" s="446">
        <f>IF(M29=0,0,$C$4*F$20*M29*U29)/10^6</f>
        <v>52848.442239134682</v>
      </c>
      <c r="AC29" s="716"/>
      <c r="AD29" s="759"/>
      <c r="AE29" s="760" t="s">
        <v>545</v>
      </c>
      <c r="AF29" s="446">
        <v>67.508459862836986</v>
      </c>
      <c r="AG29" s="542">
        <f t="shared" si="25"/>
        <v>73.100882362889251</v>
      </c>
      <c r="AH29" s="498">
        <f t="shared" si="25"/>
        <v>69.349929631703247</v>
      </c>
      <c r="AI29" s="542">
        <f t="shared" si="5"/>
        <v>72.699697449156147</v>
      </c>
      <c r="AJ29" s="498">
        <f>$AF29*$Q$5*U$12</f>
        <v>68.397233365598751</v>
      </c>
      <c r="AK29" s="747"/>
      <c r="AL29" s="759"/>
      <c r="AM29" s="760" t="s">
        <v>545</v>
      </c>
      <c r="AN29" s="542">
        <f t="shared" si="26"/>
        <v>4991.8128131557942</v>
      </c>
      <c r="AO29" s="498">
        <f t="shared" si="26"/>
        <v>10965.837490068361</v>
      </c>
      <c r="AP29" s="542">
        <f>BE29-AA29</f>
        <v>21145.71972102801</v>
      </c>
      <c r="AQ29" s="498">
        <f>IF(M29=0,0,$C$4*F$20*M29*AJ29)/10^6</f>
        <v>39559.488728740493</v>
      </c>
      <c r="AR29" s="716"/>
      <c r="AS29" s="759"/>
      <c r="AT29" s="760" t="s">
        <v>545</v>
      </c>
      <c r="AU29" s="446">
        <f t="shared" si="27"/>
        <v>150.20982901486983</v>
      </c>
      <c r="AV29" s="542">
        <f t="shared" si="27"/>
        <v>170.75805345717129</v>
      </c>
      <c r="AW29" s="446">
        <f t="shared" si="27"/>
        <v>161.99611562162551</v>
      </c>
      <c r="AX29" s="542">
        <f t="shared" si="7"/>
        <v>166.6736599483319</v>
      </c>
      <c r="AY29" s="446">
        <f>U29+AJ29</f>
        <v>159.77069022760168</v>
      </c>
      <c r="AZ29" s="747"/>
      <c r="BA29" s="759"/>
      <c r="BB29" s="760" t="s">
        <v>545</v>
      </c>
      <c r="BC29" s="542">
        <f t="shared" si="28"/>
        <v>11660.491797699275</v>
      </c>
      <c r="BD29" s="446">
        <f t="shared" si="28"/>
        <v>25615.355161326363</v>
      </c>
      <c r="BE29" s="543">
        <v>48479.355785630825</v>
      </c>
      <c r="BF29" s="446">
        <f>AB29+AQ29</f>
        <v>92407.930967875174</v>
      </c>
      <c r="BG29" s="719"/>
      <c r="BH29" s="720"/>
      <c r="BI29" s="759"/>
      <c r="BJ29" s="760" t="s">
        <v>545</v>
      </c>
      <c r="BK29" s="496">
        <f t="shared" si="8"/>
        <v>8.6491197656888962E-3</v>
      </c>
      <c r="BL29" s="496">
        <f t="shared" si="9"/>
        <v>1.8754279944967037E-2</v>
      </c>
      <c r="BM29" s="496">
        <f t="shared" si="10"/>
        <v>4.1013293071456798E-2</v>
      </c>
      <c r="BN29" s="495">
        <f t="shared" si="11"/>
        <v>6.3440028168603502E-2</v>
      </c>
      <c r="BO29" s="721"/>
      <c r="BP29" s="759"/>
      <c r="BQ29" s="760" t="s">
        <v>545</v>
      </c>
      <c r="BR29" s="446">
        <f t="shared" si="12"/>
        <v>68.286628721871111</v>
      </c>
      <c r="BS29" s="446">
        <f t="shared" si="13"/>
        <v>158.1232677279508</v>
      </c>
      <c r="BT29" s="446">
        <f t="shared" si="14"/>
        <v>290.86393015344601</v>
      </c>
      <c r="BU29" s="761">
        <f t="shared" si="15"/>
        <v>578.37849255226502</v>
      </c>
      <c r="BV29" s="721"/>
    </row>
    <row r="30" spans="1:74" x14ac:dyDescent="0.35">
      <c r="A30" s="976"/>
      <c r="G30" s="716"/>
      <c r="H30" s="759"/>
      <c r="I30" s="760" t="s">
        <v>468</v>
      </c>
      <c r="J30" s="522">
        <v>7.0231857822637564E-2</v>
      </c>
      <c r="K30" s="522">
        <v>8.0465701309925572E-2</v>
      </c>
      <c r="L30" s="522">
        <v>6.7061122946246096E-2</v>
      </c>
      <c r="M30" s="545">
        <v>7.2122241809176438E-2</v>
      </c>
      <c r="N30" s="716"/>
      <c r="O30" s="759"/>
      <c r="P30" s="760" t="s">
        <v>468</v>
      </c>
      <c r="Q30" s="522">
        <v>67.289205460210027</v>
      </c>
      <c r="R30" s="552">
        <f t="shared" si="29"/>
        <v>79.457855629280132</v>
      </c>
      <c r="S30" s="522">
        <f t="shared" si="30"/>
        <v>75.380713863640693</v>
      </c>
      <c r="T30" s="552">
        <f t="shared" si="3"/>
        <v>76.461046961538443</v>
      </c>
      <c r="U30" s="522">
        <f t="shared" si="30"/>
        <v>74.345169559333968</v>
      </c>
      <c r="V30" s="741"/>
      <c r="W30" s="759"/>
      <c r="X30" s="760" t="s">
        <v>468</v>
      </c>
      <c r="Y30" s="542">
        <f t="shared" si="24"/>
        <v>1475.1901311200361</v>
      </c>
      <c r="Z30" s="446">
        <f t="shared" si="24"/>
        <v>1670.7125317694245</v>
      </c>
      <c r="AA30" s="543">
        <v>1444.3399825514869</v>
      </c>
      <c r="AB30" s="446">
        <f>IF(M30=0,0,$C$4*F$20*M30*U30)/10^6</f>
        <v>1555.9013150243561</v>
      </c>
      <c r="AC30" s="716"/>
      <c r="AD30" s="759"/>
      <c r="AE30" s="760" t="s">
        <v>468</v>
      </c>
      <c r="AF30" s="446">
        <v>71.839920915906305</v>
      </c>
      <c r="AG30" s="542">
        <f t="shared" si="25"/>
        <v>77.791163040943374</v>
      </c>
      <c r="AH30" s="498">
        <f t="shared" si="25"/>
        <v>73.799542611219337</v>
      </c>
      <c r="AI30" s="542">
        <f t="shared" si="5"/>
        <v>77.917403840277771</v>
      </c>
      <c r="AJ30" s="498">
        <f>$AF30*$Q$5*U$12</f>
        <v>72.785719683650171</v>
      </c>
      <c r="AK30" s="747"/>
      <c r="AL30" s="759"/>
      <c r="AM30" s="760" t="s">
        <v>468</v>
      </c>
      <c r="AN30" s="542">
        <f t="shared" si="26"/>
        <v>1444.2468286806072</v>
      </c>
      <c r="AO30" s="498">
        <f t="shared" si="26"/>
        <v>1635.66798932754</v>
      </c>
      <c r="AP30" s="542">
        <f>BE30-AA30</f>
        <v>1471.8503888618422</v>
      </c>
      <c r="AQ30" s="498">
        <f>IF(M30=0,0,$C$4*F$20*M30*AJ30)/10^6</f>
        <v>1523.2650304254685</v>
      </c>
      <c r="AR30" s="716"/>
      <c r="AS30" s="759"/>
      <c r="AT30" s="760" t="s">
        <v>468</v>
      </c>
      <c r="AU30" s="446">
        <f t="shared" si="27"/>
        <v>139.12912637611635</v>
      </c>
      <c r="AV30" s="542">
        <f t="shared" si="27"/>
        <v>157.24901867022351</v>
      </c>
      <c r="AW30" s="446">
        <f t="shared" si="27"/>
        <v>149.18025647486002</v>
      </c>
      <c r="AX30" s="542">
        <f t="shared" si="7"/>
        <v>154.3784508018162</v>
      </c>
      <c r="AY30" s="446">
        <f>U30+AJ30</f>
        <v>147.13088924298415</v>
      </c>
      <c r="AZ30" s="747"/>
      <c r="BA30" s="759"/>
      <c r="BB30" s="760" t="s">
        <v>468</v>
      </c>
      <c r="BC30" s="542">
        <f t="shared" si="28"/>
        <v>2919.4369598006433</v>
      </c>
      <c r="BD30" s="446">
        <f t="shared" si="28"/>
        <v>3306.3805210969645</v>
      </c>
      <c r="BE30" s="543">
        <v>2916.1903714133291</v>
      </c>
      <c r="BF30" s="446">
        <f>AB30+AQ30</f>
        <v>3079.1663454498248</v>
      </c>
      <c r="BG30" s="719"/>
      <c r="BH30" s="720"/>
      <c r="BI30" s="759"/>
      <c r="BJ30" s="760" t="s">
        <v>468</v>
      </c>
      <c r="BK30" s="496">
        <f t="shared" si="8"/>
        <v>2.3515130677764715E-3</v>
      </c>
      <c r="BL30" s="496">
        <f t="shared" si="9"/>
        <v>2.6287307047166229E-3</v>
      </c>
      <c r="BM30" s="496">
        <f t="shared" si="10"/>
        <v>2.6635690915784286E-3</v>
      </c>
      <c r="BN30" s="495">
        <f t="shared" si="11"/>
        <v>2.2955170545267884E-3</v>
      </c>
      <c r="BO30" s="721"/>
      <c r="BP30" s="759"/>
      <c r="BQ30" s="760" t="s">
        <v>468</v>
      </c>
      <c r="BR30" s="446">
        <f t="shared" si="12"/>
        <v>18.565692711400459</v>
      </c>
      <c r="BS30" s="446">
        <f t="shared" si="13"/>
        <v>22.163660253889951</v>
      </c>
      <c r="BT30" s="446">
        <f t="shared" si="14"/>
        <v>18.889879748547269</v>
      </c>
      <c r="BU30" s="761">
        <f t="shared" si="15"/>
        <v>20.928075411578831</v>
      </c>
      <c r="BV30" s="721"/>
    </row>
    <row r="31" spans="1:74" x14ac:dyDescent="0.35">
      <c r="A31" s="976"/>
      <c r="G31" s="716"/>
      <c r="H31" s="759"/>
      <c r="I31" s="760" t="s">
        <v>544</v>
      </c>
      <c r="J31" s="522">
        <v>2.2017767784213604E-2</v>
      </c>
      <c r="K31" s="522">
        <v>0.12237603018544603</v>
      </c>
      <c r="L31" s="522">
        <v>0.30112808966348298</v>
      </c>
      <c r="M31" s="545">
        <v>0.74174460806877984</v>
      </c>
      <c r="N31" s="716"/>
      <c r="O31" s="759"/>
      <c r="P31" s="760" t="s">
        <v>544</v>
      </c>
      <c r="Q31" s="446">
        <v>0</v>
      </c>
      <c r="R31" s="542">
        <f t="shared" si="29"/>
        <v>0</v>
      </c>
      <c r="S31" s="446">
        <f t="shared" si="30"/>
        <v>0</v>
      </c>
      <c r="T31" s="552">
        <f t="shared" si="3"/>
        <v>0</v>
      </c>
      <c r="U31" s="446">
        <f t="shared" si="30"/>
        <v>0</v>
      </c>
      <c r="V31" s="741"/>
      <c r="W31" s="759"/>
      <c r="X31" s="760" t="s">
        <v>544</v>
      </c>
      <c r="Y31" s="542">
        <f t="shared" si="24"/>
        <v>0</v>
      </c>
      <c r="Z31" s="446">
        <f t="shared" si="24"/>
        <v>0</v>
      </c>
      <c r="AA31" s="543">
        <v>0</v>
      </c>
      <c r="AB31" s="446">
        <f>IF(M31=0,0,$C$4*F$20*M31*U31)/10^6</f>
        <v>0</v>
      </c>
      <c r="AC31" s="716"/>
      <c r="AD31" s="759"/>
      <c r="AE31" s="760" t="s">
        <v>544</v>
      </c>
      <c r="AF31" s="446">
        <v>89.788876273341828</v>
      </c>
      <c r="AG31" s="542">
        <f t="shared" si="25"/>
        <v>97.227015625738304</v>
      </c>
      <c r="AH31" s="498">
        <f t="shared" si="25"/>
        <v>92.238102660283189</v>
      </c>
      <c r="AI31" s="542">
        <f t="shared" si="5"/>
        <v>99.630235446472255</v>
      </c>
      <c r="AJ31" s="498">
        <f>$AF31*$Q$5*U$12</f>
        <v>90.970979586565704</v>
      </c>
      <c r="AK31" s="747"/>
      <c r="AL31" s="759"/>
      <c r="AM31" s="760" t="s">
        <v>544</v>
      </c>
      <c r="AN31" s="542">
        <f t="shared" si="26"/>
        <v>565.89680701028919</v>
      </c>
      <c r="AO31" s="498">
        <f t="shared" si="26"/>
        <v>3109.1194326009322</v>
      </c>
      <c r="AP31" s="542">
        <f>BE31-AA31</f>
        <v>8450.8578665538644</v>
      </c>
      <c r="AQ31" s="498">
        <f>IF(M31=0,0,$C$4*F$20*M31*AJ31)/10^6</f>
        <v>19580.209903380794</v>
      </c>
      <c r="AR31" s="716"/>
      <c r="AS31" s="759"/>
      <c r="AT31" s="760" t="s">
        <v>544</v>
      </c>
      <c r="AU31" s="446">
        <f t="shared" si="27"/>
        <v>89.788876273341828</v>
      </c>
      <c r="AV31" s="542">
        <f t="shared" si="27"/>
        <v>97.227015625738304</v>
      </c>
      <c r="AW31" s="446">
        <f t="shared" si="27"/>
        <v>92.238102660283189</v>
      </c>
      <c r="AX31" s="542">
        <f t="shared" si="7"/>
        <v>99.630235446472255</v>
      </c>
      <c r="AY31" s="446">
        <f>U31+AJ31</f>
        <v>90.970979586565704</v>
      </c>
      <c r="AZ31" s="747"/>
      <c r="BA31" s="759"/>
      <c r="BB31" s="760" t="s">
        <v>544</v>
      </c>
      <c r="BC31" s="542">
        <f t="shared" si="28"/>
        <v>565.89680701028919</v>
      </c>
      <c r="BD31" s="446">
        <f t="shared" si="28"/>
        <v>3109.1194326009322</v>
      </c>
      <c r="BE31" s="543">
        <v>8450.8578665538644</v>
      </c>
      <c r="BF31" s="446">
        <f>AB31+AQ31</f>
        <v>19580.209903380794</v>
      </c>
      <c r="BG31" s="719"/>
      <c r="BH31" s="720"/>
      <c r="BI31" s="759"/>
      <c r="BJ31" s="760" t="s">
        <v>544</v>
      </c>
      <c r="BK31" s="496">
        <f t="shared" si="8"/>
        <v>7.3720203726630783E-4</v>
      </c>
      <c r="BL31" s="496">
        <f t="shared" si="9"/>
        <v>3.9978975244465906E-3</v>
      </c>
      <c r="BM31" s="496">
        <f t="shared" si="10"/>
        <v>1.1960364470434342E-2</v>
      </c>
      <c r="BN31" s="495">
        <f t="shared" si="11"/>
        <v>2.3608353750708456E-2</v>
      </c>
      <c r="BO31" s="721"/>
      <c r="BP31" s="759"/>
      <c r="BQ31" s="760" t="s">
        <v>544</v>
      </c>
      <c r="BR31" s="446">
        <f t="shared" si="12"/>
        <v>5.8203659072353844</v>
      </c>
      <c r="BS31" s="446">
        <f t="shared" si="13"/>
        <v>33.707538890429589</v>
      </c>
      <c r="BT31" s="446">
        <f t="shared" si="14"/>
        <v>84.822221172951117</v>
      </c>
      <c r="BU31" s="761">
        <f t="shared" si="15"/>
        <v>215.23578170056703</v>
      </c>
      <c r="BV31" s="721"/>
    </row>
    <row r="32" spans="1:74" x14ac:dyDescent="0.35">
      <c r="A32" s="976"/>
      <c r="G32" s="716"/>
      <c r="H32" s="767"/>
      <c r="I32" s="765" t="s">
        <v>404</v>
      </c>
      <c r="J32" s="523">
        <v>21.62932293213737</v>
      </c>
      <c r="K32" s="523">
        <v>22.203474500239363</v>
      </c>
      <c r="L32" s="523">
        <v>18.907310271094712</v>
      </c>
      <c r="M32" s="551">
        <v>20.855896496809205</v>
      </c>
      <c r="N32" s="716"/>
      <c r="O32" s="767"/>
      <c r="P32" s="765" t="s">
        <v>404</v>
      </c>
      <c r="Q32" s="509">
        <v>112.96132059627642</v>
      </c>
      <c r="R32" s="484">
        <f>IF(J32=0,0,Y32/(J32*$C$4*C$20)*10^6)</f>
        <v>133.3893637507627</v>
      </c>
      <c r="S32" s="484">
        <f>IF(K32=0,0,Z32/(K32*$C$4*D$20)*10^6)</f>
        <v>125.49263890539598</v>
      </c>
      <c r="T32" s="484">
        <f t="shared" si="3"/>
        <v>124.91211119118348</v>
      </c>
      <c r="U32" s="484">
        <f>IF(M32=0,0,AB32/(M32*$C$4*F$20)*10^6)</f>
        <v>117.56354598818724</v>
      </c>
      <c r="V32" s="741"/>
      <c r="W32" s="767"/>
      <c r="X32" s="765" t="s">
        <v>404</v>
      </c>
      <c r="Y32" s="534">
        <f>SUM(Y27:Y31)</f>
        <v>762677.83840525209</v>
      </c>
      <c r="Z32" s="484">
        <f>SUM(Z27:Z31)</f>
        <v>767484.96336917323</v>
      </c>
      <c r="AA32" s="534">
        <v>665261.93010816176</v>
      </c>
      <c r="AB32" s="484">
        <f>SUM(AB27:AB31)</f>
        <v>711478.22631191777</v>
      </c>
      <c r="AC32" s="716"/>
      <c r="AD32" s="767"/>
      <c r="AE32" s="765" t="s">
        <v>404</v>
      </c>
      <c r="AF32" s="509">
        <v>73.171658890275523</v>
      </c>
      <c r="AG32" s="484">
        <f>IF(J32=0,0,AN32/(J32*$C$4*C$20)*10^6)</f>
        <v>79.233222616889194</v>
      </c>
      <c r="AH32" s="484">
        <f>IF(K32=0,0,AO32/(K32*$C$4*D$20)*10^6)</f>
        <v>75.165287170496512</v>
      </c>
      <c r="AI32" s="484">
        <f t="shared" si="5"/>
        <v>78.257909139771101</v>
      </c>
      <c r="AJ32" s="484">
        <f>IF(M32=0,0,AQ32/(M32*$C$4*F$20)*10^6)</f>
        <v>74.222741350215188</v>
      </c>
      <c r="AK32" s="747"/>
      <c r="AL32" s="767"/>
      <c r="AM32" s="765" t="s">
        <v>404</v>
      </c>
      <c r="AN32" s="484">
        <f t="shared" ref="AN32:AQ32" si="31">SUM(AN27:AN31)</f>
        <v>453030.2960904981</v>
      </c>
      <c r="AO32" s="484">
        <f t="shared" si="31"/>
        <v>459694.11571758258</v>
      </c>
      <c r="AP32" s="484">
        <f t="shared" si="31"/>
        <v>416789.110231834</v>
      </c>
      <c r="AQ32" s="484">
        <f t="shared" si="31"/>
        <v>449185.70568776032</v>
      </c>
      <c r="AR32" s="716"/>
      <c r="AS32" s="767"/>
      <c r="AT32" s="765" t="s">
        <v>404</v>
      </c>
      <c r="AU32" s="509">
        <v>186.1329794865519</v>
      </c>
      <c r="AV32" s="484">
        <f>IF(J32=0,0,BC32/(J32*$C$4*C$20)*10^6)</f>
        <v>212.62258636765188</v>
      </c>
      <c r="AW32" s="484">
        <f>IF(K32=0,0,BD32/(K32*$C$4*D$20)*10^6)</f>
        <v>200.65792607589256</v>
      </c>
      <c r="AX32" s="484">
        <f t="shared" si="7"/>
        <v>203.1700203309546</v>
      </c>
      <c r="AY32" s="484">
        <f>IF(M32=0,0,BF32/(M32*$C$4*F$20)*10^6)</f>
        <v>191.78628733840247</v>
      </c>
      <c r="AZ32" s="747"/>
      <c r="BA32" s="767"/>
      <c r="BB32" s="765" t="s">
        <v>404</v>
      </c>
      <c r="BC32" s="534">
        <f t="shared" ref="BC32:BD32" si="32">SUM(BC27:BC31)</f>
        <v>1215708.1344957501</v>
      </c>
      <c r="BD32" s="484">
        <f t="shared" si="32"/>
        <v>1227179.0790867561</v>
      </c>
      <c r="BE32" s="534">
        <v>1082051.0403399959</v>
      </c>
      <c r="BF32" s="484">
        <f t="shared" ref="BF32" si="33">SUM(BF27:BF31)</f>
        <v>1160663.9319996783</v>
      </c>
      <c r="BG32" s="719"/>
      <c r="BH32" s="720" t="s">
        <v>548</v>
      </c>
      <c r="BI32" s="767"/>
      <c r="BJ32" s="765" t="s">
        <v>404</v>
      </c>
      <c r="BK32" s="482">
        <f t="shared" si="8"/>
        <v>0.72419607139716435</v>
      </c>
      <c r="BL32" s="482">
        <f t="shared" si="9"/>
        <v>0.7253644002351114</v>
      </c>
      <c r="BM32" s="482">
        <f t="shared" si="10"/>
        <v>0.75097053300671446</v>
      </c>
      <c r="BN32" s="481">
        <f t="shared" si="11"/>
        <v>0.66380446440559304</v>
      </c>
      <c r="BO32" s="721"/>
      <c r="BP32" s="767"/>
      <c r="BQ32" s="765" t="s">
        <v>404</v>
      </c>
      <c r="BR32" s="484">
        <f t="shared" si="12"/>
        <v>5717.6810576164944</v>
      </c>
      <c r="BS32" s="484">
        <f t="shared" si="13"/>
        <v>6115.776750441516</v>
      </c>
      <c r="BT32" s="484">
        <f t="shared" si="14"/>
        <v>5325.8400948003282</v>
      </c>
      <c r="BU32" s="766">
        <f t="shared" si="15"/>
        <v>6051.8608921800223</v>
      </c>
      <c r="BV32" s="721"/>
    </row>
    <row r="33" spans="1:74" x14ac:dyDescent="0.35">
      <c r="A33" s="976"/>
      <c r="G33" s="716"/>
      <c r="H33" s="755" t="s">
        <v>591</v>
      </c>
      <c r="I33" s="768"/>
      <c r="J33" s="505">
        <v>4.2931587760904213</v>
      </c>
      <c r="K33" s="505">
        <v>4.3303797601705147</v>
      </c>
      <c r="L33" s="505">
        <v>2.9219176772106938</v>
      </c>
      <c r="M33" s="550">
        <v>5.0808901419612162</v>
      </c>
      <c r="N33" s="716"/>
      <c r="O33" s="755" t="s">
        <v>591</v>
      </c>
      <c r="P33" s="768"/>
      <c r="Q33" s="505">
        <v>5.1828753057843707E-2</v>
      </c>
      <c r="R33" s="549">
        <f>IF(J33=0,0,Y33/(J33*$C$4*C$20)*10^6)</f>
        <v>5.1855607003884474E-2</v>
      </c>
      <c r="S33" s="505">
        <f>$R33</f>
        <v>5.1855607003884474E-2</v>
      </c>
      <c r="T33" s="549">
        <f t="shared" si="3"/>
        <v>5.1966525513927476E-2</v>
      </c>
      <c r="U33" s="505">
        <f t="shared" ref="U33:U35" si="34">$R33</f>
        <v>5.1855607003884474E-2</v>
      </c>
      <c r="V33" s="741"/>
      <c r="W33" s="755" t="s">
        <v>591</v>
      </c>
      <c r="X33" s="768"/>
      <c r="Y33" s="548">
        <v>58.850434547988186</v>
      </c>
      <c r="Z33" s="448">
        <f>IF(K33=0,0,$C$4*D$20*K33*S33)/10^6</f>
        <v>61.85180670993558</v>
      </c>
      <c r="AA33" s="548">
        <v>42.771061468302364</v>
      </c>
      <c r="AB33" s="448">
        <f>IF(M33=0,0,$C$4*F$20*M33*U33)/10^6</f>
        <v>76.453188245069171</v>
      </c>
      <c r="AC33" s="716"/>
      <c r="AD33" s="755" t="s">
        <v>591</v>
      </c>
      <c r="AE33" s="768"/>
      <c r="AF33" s="448">
        <v>6.9730960686619339</v>
      </c>
      <c r="AG33" s="546">
        <f>IF(J33=0,0,AN33/(J33*$C$4*C$20)*10^6)</f>
        <v>6.9735229793569999</v>
      </c>
      <c r="AH33" s="504">
        <f>$AG33</f>
        <v>6.9735229793569999</v>
      </c>
      <c r="AI33" s="546">
        <f t="shared" si="5"/>
        <v>6.9752863067333948</v>
      </c>
      <c r="AJ33" s="504">
        <f t="shared" ref="AJ33:AJ35" si="35">$AG33</f>
        <v>6.9735229793569999</v>
      </c>
      <c r="AK33" s="747"/>
      <c r="AL33" s="755" t="s">
        <v>591</v>
      </c>
      <c r="AM33" s="768"/>
      <c r="AN33" s="546">
        <f>BC33-Y33</f>
        <v>7914.1848177536185</v>
      </c>
      <c r="AO33" s="498">
        <f>IF(K33=0,0,$C$4*D$20*K33*AH33)/10^6</f>
        <v>8317.8082434590524</v>
      </c>
      <c r="AP33" s="546">
        <f>BE33-AA33</f>
        <v>5741.0110919257822</v>
      </c>
      <c r="AQ33" s="498">
        <f>IF(M33=0,0,$C$4*F$20*M33*AJ33)/10^6</f>
        <v>10281.39666810107</v>
      </c>
      <c r="AR33" s="716"/>
      <c r="AS33" s="755" t="s">
        <v>591</v>
      </c>
      <c r="AT33" s="768"/>
      <c r="AU33" s="448">
        <f>Q33+AF33</f>
        <v>7.0249248217197779</v>
      </c>
      <c r="AV33" s="546">
        <f>IF(J33=0,0,BC33/(J33*$C$4*C$20)*10^6)</f>
        <v>7.0253785863608842</v>
      </c>
      <c r="AW33" s="446">
        <f>S33+AH33</f>
        <v>7.0253785863608842</v>
      </c>
      <c r="AX33" s="546">
        <f t="shared" si="7"/>
        <v>7.0272528322473224</v>
      </c>
      <c r="AY33" s="446">
        <f>U33+AJ33</f>
        <v>7.0253785863608842</v>
      </c>
      <c r="AZ33" s="747"/>
      <c r="BA33" s="755" t="s">
        <v>591</v>
      </c>
      <c r="BB33" s="768"/>
      <c r="BC33" s="538">
        <v>7973.0352523016063</v>
      </c>
      <c r="BD33" s="446">
        <f>Z33+AO33</f>
        <v>8379.6600501689882</v>
      </c>
      <c r="BE33" s="538">
        <v>5783.7821533940842</v>
      </c>
      <c r="BF33" s="446">
        <f>AB33+AQ33</f>
        <v>10357.849856346138</v>
      </c>
      <c r="BG33" s="719"/>
      <c r="BH33" s="720" t="str">
        <f>BI33</f>
        <v>Train</v>
      </c>
      <c r="BI33" s="755" t="s">
        <v>591</v>
      </c>
      <c r="BJ33" s="768"/>
      <c r="BK33" s="502">
        <f t="shared" si="8"/>
        <v>0.14374415367895693</v>
      </c>
      <c r="BL33" s="502">
        <f t="shared" si="9"/>
        <v>0.14146899925471074</v>
      </c>
      <c r="BM33" s="502">
        <f t="shared" si="10"/>
        <v>0.11605426916864202</v>
      </c>
      <c r="BN33" s="501">
        <f t="shared" si="11"/>
        <v>0.16171530003057999</v>
      </c>
      <c r="BO33" s="721"/>
      <c r="BP33" s="755" t="s">
        <v>591</v>
      </c>
      <c r="BQ33" s="768"/>
      <c r="BR33" s="448">
        <f t="shared" si="12"/>
        <v>1134.8904766186563</v>
      </c>
      <c r="BS33" s="448">
        <f t="shared" si="13"/>
        <v>1192.7698909262078</v>
      </c>
      <c r="BT33" s="448">
        <f t="shared" si="14"/>
        <v>823.05024331171307</v>
      </c>
      <c r="BU33" s="757">
        <f t="shared" si="15"/>
        <v>1474.3475713116636</v>
      </c>
      <c r="BV33" s="721"/>
    </row>
    <row r="34" spans="1:74" x14ac:dyDescent="0.35">
      <c r="A34" s="976"/>
      <c r="G34" s="716"/>
      <c r="H34" s="759" t="s">
        <v>590</v>
      </c>
      <c r="J34" s="522">
        <v>0.9380690724681684</v>
      </c>
      <c r="K34" s="522">
        <v>1.0281281243362188</v>
      </c>
      <c r="L34" s="522">
        <v>0.87893463907754366</v>
      </c>
      <c r="M34" s="545">
        <v>2.0876178539194097</v>
      </c>
      <c r="N34" s="716"/>
      <c r="O34" s="759" t="s">
        <v>590</v>
      </c>
      <c r="Q34" s="446">
        <v>63.533074223942634</v>
      </c>
      <c r="R34" s="542">
        <f>IF(J34=0,0,Y34/(J34*$C$4*C$20)*10^6)</f>
        <v>60.461205579512367</v>
      </c>
      <c r="S34" s="446">
        <f t="shared" ref="S34:S35" si="36">$R34</f>
        <v>60.461205579512367</v>
      </c>
      <c r="T34" s="542">
        <f t="shared" si="3"/>
        <v>61.89313908286924</v>
      </c>
      <c r="U34" s="446">
        <f t="shared" si="34"/>
        <v>60.461205579512367</v>
      </c>
      <c r="V34" s="741"/>
      <c r="W34" s="759" t="s">
        <v>590</v>
      </c>
      <c r="Y34" s="544">
        <v>14993.002782154081</v>
      </c>
      <c r="Z34" s="446">
        <f>IF(K34=0,0,$C$4*D$20*K34*S34)/10^6</f>
        <v>17122.009177219956</v>
      </c>
      <c r="AA34" s="544">
        <v>15323.481980453107</v>
      </c>
      <c r="AB34" s="446">
        <f>IF(M34=0,0,$C$4*F$20*M34*U34)/10^6</f>
        <v>36625.864045827439</v>
      </c>
      <c r="AC34" s="716"/>
      <c r="AD34" s="759" t="s">
        <v>590</v>
      </c>
      <c r="AF34" s="446">
        <v>26.947748950756736</v>
      </c>
      <c r="AG34" s="542">
        <f>IF(J34=0,0,AN34/(J34*$C$4*C$20)*10^6)</f>
        <v>25.975960295796398</v>
      </c>
      <c r="AH34" s="498">
        <f t="shared" ref="AH34:AH35" si="37">$AG34</f>
        <v>25.975960295796398</v>
      </c>
      <c r="AI34" s="542">
        <f t="shared" si="5"/>
        <v>26.428953862348461</v>
      </c>
      <c r="AJ34" s="498">
        <f t="shared" si="35"/>
        <v>25.975960295796398</v>
      </c>
      <c r="AK34" s="747"/>
      <c r="AL34" s="759" t="s">
        <v>590</v>
      </c>
      <c r="AN34" s="542">
        <f>BC34-Y34</f>
        <v>6441.4468955936482</v>
      </c>
      <c r="AO34" s="498">
        <f>IF(K34=0,0,$C$4*D$20*K34*AH34)/10^6</f>
        <v>7356.1323547679458</v>
      </c>
      <c r="AP34" s="542">
        <f>BE34-AA34</f>
        <v>6543.271261935628</v>
      </c>
      <c r="AQ34" s="498">
        <f>IF(M34=0,0,$C$4*F$20*M34*AJ34)/10^6</f>
        <v>15735.577568040342</v>
      </c>
      <c r="AR34" s="716"/>
      <c r="AS34" s="759" t="s">
        <v>590</v>
      </c>
      <c r="AU34" s="446">
        <f>Q34+AF34</f>
        <v>90.480823174699367</v>
      </c>
      <c r="AV34" s="542">
        <f>IF(J34=0,0,BC34/(J34*$C$4*C$20)*10^6)</f>
        <v>86.437165875308764</v>
      </c>
      <c r="AW34" s="446">
        <f>S34+AH34</f>
        <v>86.437165875308764</v>
      </c>
      <c r="AX34" s="542">
        <f t="shared" si="7"/>
        <v>88.322092945217705</v>
      </c>
      <c r="AY34" s="446">
        <f>U34+AJ34</f>
        <v>86.437165875308764</v>
      </c>
      <c r="AZ34" s="747"/>
      <c r="BA34" s="759" t="s">
        <v>590</v>
      </c>
      <c r="BC34" s="538">
        <v>21434.449677747729</v>
      </c>
      <c r="BD34" s="446">
        <f>Z34+AO34</f>
        <v>24478.141531987902</v>
      </c>
      <c r="BE34" s="538">
        <v>21866.753242388735</v>
      </c>
      <c r="BF34" s="446">
        <f>AB34+AQ34</f>
        <v>52361.441613867777</v>
      </c>
      <c r="BG34" s="719"/>
      <c r="BH34" s="720" t="str">
        <f>BI34</f>
        <v>Bus</v>
      </c>
      <c r="BI34" s="759" t="s">
        <v>590</v>
      </c>
      <c r="BK34" s="496">
        <f t="shared" si="8"/>
        <v>3.1408562307386922E-2</v>
      </c>
      <c r="BL34" s="496">
        <f t="shared" si="9"/>
        <v>3.3587875639281221E-2</v>
      </c>
      <c r="BM34" s="496">
        <f t="shared" si="10"/>
        <v>3.4909990100242358E-2</v>
      </c>
      <c r="BN34" s="495">
        <f t="shared" si="11"/>
        <v>6.6445000415903469E-2</v>
      </c>
      <c r="BO34" s="721"/>
      <c r="BP34" s="759" t="s">
        <v>590</v>
      </c>
      <c r="BR34" s="446">
        <f t="shared" si="12"/>
        <v>247.97723827118904</v>
      </c>
      <c r="BS34" s="446">
        <f t="shared" si="13"/>
        <v>283.19000610569782</v>
      </c>
      <c r="BT34" s="446">
        <f t="shared" si="14"/>
        <v>247.57965434482762</v>
      </c>
      <c r="BU34" s="761">
        <f t="shared" si="15"/>
        <v>605.77462349242887</v>
      </c>
      <c r="BV34" s="721"/>
    </row>
    <row r="35" spans="1:74" x14ac:dyDescent="0.35">
      <c r="A35" s="976"/>
      <c r="G35" s="716"/>
      <c r="H35" s="764" t="s">
        <v>492</v>
      </c>
      <c r="I35" s="769"/>
      <c r="J35" s="491">
        <v>0.27690718546728121</v>
      </c>
      <c r="K35" s="491">
        <v>0.31890533829160617</v>
      </c>
      <c r="L35" s="491">
        <v>0.20729272702761872</v>
      </c>
      <c r="M35" s="541">
        <v>0.32771557313800659</v>
      </c>
      <c r="N35" s="716"/>
      <c r="O35" s="764" t="s">
        <v>492</v>
      </c>
      <c r="P35" s="769"/>
      <c r="Q35" s="491">
        <v>0.18742182767857141</v>
      </c>
      <c r="R35" s="540">
        <f>IF(J35=0,0,Y35/(J35*$C$4*C$20)*10^6)</f>
        <v>0.18742182767857096</v>
      </c>
      <c r="S35" s="491">
        <f t="shared" si="36"/>
        <v>0.18742182767857096</v>
      </c>
      <c r="T35" s="540">
        <f t="shared" si="3"/>
        <v>0.18742182767857105</v>
      </c>
      <c r="U35" s="491">
        <f t="shared" si="34"/>
        <v>0.18742182767857096</v>
      </c>
      <c r="V35" s="741"/>
      <c r="W35" s="764" t="s">
        <v>492</v>
      </c>
      <c r="X35" s="769"/>
      <c r="Y35" s="534">
        <v>13.71928238235404</v>
      </c>
      <c r="Z35" s="445">
        <f>IF(K35=0,0,$C$4*D$20*K35*S35)/10^6</f>
        <v>16.463138858824848</v>
      </c>
      <c r="AA35" s="534">
        <v>10.943660341014793</v>
      </c>
      <c r="AB35" s="445">
        <f>IF(M35=0,0,$C$4*F$20*M35*U35)/10^6</f>
        <v>17.822856986894259</v>
      </c>
      <c r="AC35" s="716"/>
      <c r="AD35" s="764" t="s">
        <v>492</v>
      </c>
      <c r="AE35" s="769"/>
      <c r="AF35" s="445">
        <v>36.015470702126663</v>
      </c>
      <c r="AG35" s="509">
        <f>IF(J35=0,0,AN35/(J35*$C$4*C$20)*10^6)</f>
        <v>36.015470702126628</v>
      </c>
      <c r="AH35" s="490">
        <f t="shared" si="37"/>
        <v>36.015470702126628</v>
      </c>
      <c r="AI35" s="509">
        <f t="shared" si="5"/>
        <v>36.015470702126613</v>
      </c>
      <c r="AJ35" s="490">
        <f t="shared" si="35"/>
        <v>36.015470702126628</v>
      </c>
      <c r="AK35" s="747"/>
      <c r="AL35" s="764" t="s">
        <v>492</v>
      </c>
      <c r="AM35" s="769"/>
      <c r="AN35" s="509">
        <f>BC35-Y35</f>
        <v>2636.3333386294153</v>
      </c>
      <c r="AO35" s="490">
        <f>IF(K35=0,0,$C$4*D$20*K35*AH35)/10^6</f>
        <v>3163.6000063552983</v>
      </c>
      <c r="AP35" s="509">
        <f>BE35-AA35</f>
        <v>2102.9625165207349</v>
      </c>
      <c r="AQ35" s="490">
        <f>IF(M35=0,0,$C$4*F$20*M35*AJ35)/10^6</f>
        <v>3424.8870133768041</v>
      </c>
      <c r="AR35" s="716"/>
      <c r="AS35" s="764" t="s">
        <v>492</v>
      </c>
      <c r="AT35" s="769"/>
      <c r="AU35" s="445">
        <f>Q35+AF35</f>
        <v>36.202892529805233</v>
      </c>
      <c r="AV35" s="509">
        <f>IF(J35=0,0,BC35/(J35*$C$4*C$20)*10^6)</f>
        <v>36.20289252980519</v>
      </c>
      <c r="AW35" s="445">
        <f>S35+AH35</f>
        <v>36.202892529805197</v>
      </c>
      <c r="AX35" s="509">
        <f t="shared" si="7"/>
        <v>36.20289252980519</v>
      </c>
      <c r="AY35" s="445">
        <f>U35+AJ35</f>
        <v>36.202892529805197</v>
      </c>
      <c r="AZ35" s="747"/>
      <c r="BA35" s="764" t="s">
        <v>492</v>
      </c>
      <c r="BB35" s="769"/>
      <c r="BC35" s="538">
        <v>2650.0526210117691</v>
      </c>
      <c r="BD35" s="445">
        <f>Z35+AO35</f>
        <v>3180.0631452141233</v>
      </c>
      <c r="BE35" s="537">
        <v>2113.9061768617498</v>
      </c>
      <c r="BF35" s="445">
        <f>AB35+AQ35</f>
        <v>3442.7098703636984</v>
      </c>
      <c r="BG35" s="719"/>
      <c r="BH35" s="720" t="str">
        <f>BI35</f>
        <v>Tram/métro</v>
      </c>
      <c r="BI35" s="764" t="s">
        <v>492</v>
      </c>
      <c r="BJ35" s="769"/>
      <c r="BK35" s="488">
        <f t="shared" si="8"/>
        <v>9.2714458277883081E-3</v>
      </c>
      <c r="BL35" s="488">
        <f t="shared" si="9"/>
        <v>1.0418305452111672E-2</v>
      </c>
      <c r="BM35" s="488">
        <f t="shared" si="10"/>
        <v>8.2333619892160908E-3</v>
      </c>
      <c r="BN35" s="487">
        <f t="shared" si="11"/>
        <v>1.0430578255771851E-2</v>
      </c>
      <c r="BO35" s="721"/>
      <c r="BP35" s="764" t="s">
        <v>492</v>
      </c>
      <c r="BQ35" s="769"/>
      <c r="BR35" s="445">
        <f t="shared" si="12"/>
        <v>73.200024523731841</v>
      </c>
      <c r="BS35" s="445">
        <f t="shared" si="13"/>
        <v>87.840029428478218</v>
      </c>
      <c r="BT35" s="445">
        <f t="shared" si="14"/>
        <v>58.390532610658354</v>
      </c>
      <c r="BU35" s="770">
        <f t="shared" si="15"/>
        <v>95.094884131962019</v>
      </c>
      <c r="BV35" s="721"/>
    </row>
    <row r="36" spans="1:74" x14ac:dyDescent="0.35">
      <c r="A36" s="976"/>
      <c r="G36" s="716"/>
      <c r="H36" s="771" t="s">
        <v>7</v>
      </c>
      <c r="I36" s="772"/>
      <c r="J36" s="521">
        <v>29.866667034534899</v>
      </c>
      <c r="K36" s="521">
        <v>30.610096791409365</v>
      </c>
      <c r="L36" s="521">
        <v>25.177166666439177</v>
      </c>
      <c r="M36" s="536">
        <v>31.418734906347339</v>
      </c>
      <c r="N36" s="716"/>
      <c r="O36" s="771" t="s">
        <v>7</v>
      </c>
      <c r="P36" s="772"/>
      <c r="Q36" s="484"/>
      <c r="R36" s="484">
        <f>IF(J36=0,0,Y36/(J36*$C$4*C$20)*10^6)</f>
        <v>100.39943164809486</v>
      </c>
      <c r="S36" s="484">
        <f>IF(K36=0,0,Z36/(K36*$C$4*D$20)*10^6)</f>
        <v>94.954821758863417</v>
      </c>
      <c r="T36" s="484">
        <f t="shared" si="3"/>
        <v>97.040971489949129</v>
      </c>
      <c r="U36" s="484">
        <f>IF(M36=0,0,AB36/(M36*$C$4*F$20)*10^6)</f>
        <v>83.822054068615984</v>
      </c>
      <c r="V36" s="741"/>
      <c r="W36" s="773" t="s">
        <v>7</v>
      </c>
      <c r="X36" s="774"/>
      <c r="Y36" s="535">
        <f>SUM(Y23,Y26,Y32,Y33:Y35)</f>
        <v>792674.73437445902</v>
      </c>
      <c r="Z36" s="520">
        <f t="shared" ref="Z36:AB36" si="38">SUM(Z23,Z26,Z32,Z33:Z35)</f>
        <v>800594.14422178175</v>
      </c>
      <c r="AA36" s="535">
        <f t="shared" si="38"/>
        <v>688209.02296964801</v>
      </c>
      <c r="AB36" s="520">
        <f t="shared" si="38"/>
        <v>764200.05908562581</v>
      </c>
      <c r="AC36" s="716"/>
      <c r="AD36" s="771" t="s">
        <v>7</v>
      </c>
      <c r="AE36" s="772"/>
      <c r="AF36" s="484"/>
      <c r="AG36" s="484">
        <f>IF(J36=0,0,AN36/(J36*$C$4*C$20)*10^6)</f>
        <v>60.861106496197266</v>
      </c>
      <c r="AH36" s="484">
        <f>IF(K36=0,0,AO36/(K36*$C$4*D$20)*10^6)</f>
        <v>58.078411608148585</v>
      </c>
      <c r="AI36" s="484">
        <f t="shared" si="5"/>
        <v>61.739956615938361</v>
      </c>
      <c r="AJ36" s="484">
        <f>IF(M36=0,0,AQ36/(M36*$C$4*F$20)*10^6)</f>
        <v>53.796301422520074</v>
      </c>
      <c r="AK36" s="747"/>
      <c r="AL36" s="771" t="s">
        <v>7</v>
      </c>
      <c r="AM36" s="772"/>
      <c r="AN36" s="484">
        <f t="shared" ref="AN36:AO36" si="39">SUM(AN23,AN26,AN32,AN33:AN35)</f>
        <v>480511.30005101248</v>
      </c>
      <c r="AO36" s="484">
        <f t="shared" si="39"/>
        <v>489677.46321787912</v>
      </c>
      <c r="AP36" s="484">
        <f>SUM(AP23,AP26,AP32,AP33:AP35)</f>
        <v>437856.24328013067</v>
      </c>
      <c r="AQ36" s="484">
        <f t="shared" ref="AQ36" si="40">SUM(AQ23,AQ26,AQ32,AQ33:AQ35)</f>
        <v>490457.28099224059</v>
      </c>
      <c r="AR36" s="716"/>
      <c r="AS36" s="771" t="s">
        <v>7</v>
      </c>
      <c r="AT36" s="772"/>
      <c r="AU36" s="484"/>
      <c r="AV36" s="484">
        <f>IF(J36=0,0,BC36/(J36*$C$4*C$20)*10^6)</f>
        <v>161.26053814429201</v>
      </c>
      <c r="AW36" s="484">
        <f>IF(K36=0,0,BD36/(K36*$C$4*D$20)*10^6)</f>
        <v>153.03323336701206</v>
      </c>
      <c r="AX36" s="484">
        <f t="shared" si="7"/>
        <v>158.78092810588751</v>
      </c>
      <c r="AY36" s="484">
        <f>IF(M36=0,0,BF36/(M36*$C$4*F$20)*10^6)</f>
        <v>137.6183554911361</v>
      </c>
      <c r="AZ36" s="747"/>
      <c r="BA36" s="771" t="s">
        <v>7</v>
      </c>
      <c r="BB36" s="772"/>
      <c r="BC36" s="557">
        <v>1273186.0344254707</v>
      </c>
      <c r="BD36" s="484">
        <f t="shared" ref="BD36:BF36" si="41">SUM(BD23,BD26,BD32,BD33:BD35)</f>
        <v>1290271.6074396614</v>
      </c>
      <c r="BE36" s="534">
        <f t="shared" si="41"/>
        <v>1126065.2662497789</v>
      </c>
      <c r="BF36" s="484">
        <f t="shared" si="41"/>
        <v>1254657.3400778666</v>
      </c>
      <c r="BG36" s="719"/>
      <c r="BH36" s="720"/>
      <c r="BI36" s="771" t="s">
        <v>7</v>
      </c>
      <c r="BJ36" s="772"/>
      <c r="BK36" s="482">
        <f t="shared" si="8"/>
        <v>1</v>
      </c>
      <c r="BL36" s="482">
        <f t="shared" si="9"/>
        <v>1</v>
      </c>
      <c r="BM36" s="482">
        <f t="shared" si="10"/>
        <v>1</v>
      </c>
      <c r="BN36" s="481">
        <f t="shared" si="11"/>
        <v>1</v>
      </c>
      <c r="BO36" s="721"/>
      <c r="BP36" s="771" t="s">
        <v>7</v>
      </c>
      <c r="BQ36" s="772"/>
      <c r="BR36" s="484">
        <f t="shared" si="12"/>
        <v>7895.2113708454499</v>
      </c>
      <c r="BS36" s="484">
        <f t="shared" si="13"/>
        <v>8431.3163817513196</v>
      </c>
      <c r="BT36" s="484">
        <f t="shared" si="14"/>
        <v>7091.9428402561707</v>
      </c>
      <c r="BU36" s="766">
        <f t="shared" si="15"/>
        <v>9116.933098061023</v>
      </c>
      <c r="BV36" s="721"/>
    </row>
    <row r="37" spans="1:74" x14ac:dyDescent="0.35">
      <c r="A37" s="976"/>
      <c r="G37" s="716"/>
      <c r="J37" s="758">
        <f t="shared" ref="J37:M37" si="42">J36/$J36-1</f>
        <v>0</v>
      </c>
      <c r="K37" s="758">
        <f t="shared" si="42"/>
        <v>2.4891621017331333E-2</v>
      </c>
      <c r="L37" s="758">
        <f t="shared" si="42"/>
        <v>-0.15701451931925448</v>
      </c>
      <c r="M37" s="758">
        <f t="shared" si="42"/>
        <v>5.1966557567932892E-2</v>
      </c>
      <c r="N37" s="716"/>
      <c r="R37" s="533"/>
      <c r="S37" s="533"/>
      <c r="T37" s="533"/>
      <c r="U37" s="533"/>
      <c r="V37" s="741"/>
      <c r="Y37" s="758">
        <f>Y36/$Y36-1</f>
        <v>0</v>
      </c>
      <c r="Z37" s="758">
        <f t="shared" ref="Z37:AA37" si="43">Z36/$Y36-1</f>
        <v>9.9907433703843029E-3</v>
      </c>
      <c r="AA37" s="758">
        <f t="shared" si="43"/>
        <v>-0.13178887489993019</v>
      </c>
      <c r="AB37" s="758">
        <f>AB36/$Y36-1</f>
        <v>-3.592226931681386E-2</v>
      </c>
      <c r="AC37" s="716"/>
      <c r="AG37" s="532"/>
      <c r="AH37" s="532"/>
      <c r="AI37" s="532"/>
      <c r="AJ37" s="532"/>
      <c r="AK37" s="747"/>
      <c r="AN37" s="758">
        <f>AN36/$AN36-1</f>
        <v>0</v>
      </c>
      <c r="AO37" s="758">
        <f t="shared" ref="AO37:AQ37" si="44">AO36/$AN36-1</f>
        <v>1.907585350416019E-2</v>
      </c>
      <c r="AP37" s="758">
        <f t="shared" si="44"/>
        <v>-8.8770142900600701E-2</v>
      </c>
      <c r="AQ37" s="758">
        <f t="shared" si="44"/>
        <v>2.0698745149535958E-2</v>
      </c>
      <c r="AR37" s="716"/>
      <c r="AV37" s="532"/>
      <c r="AW37" s="532"/>
      <c r="AX37" s="532"/>
      <c r="AY37" s="532"/>
      <c r="AZ37" s="747"/>
      <c r="BC37" s="758">
        <f>BC36/$BC36-1</f>
        <v>0</v>
      </c>
      <c r="BD37" s="758">
        <f t="shared" ref="BD37:BF37" si="45">BD36/$BC36-1</f>
        <v>1.3419541647659239E-2</v>
      </c>
      <c r="BE37" s="758">
        <f t="shared" si="45"/>
        <v>-0.11555323746704504</v>
      </c>
      <c r="BF37" s="758">
        <f t="shared" si="45"/>
        <v>-1.4553014128815267E-2</v>
      </c>
      <c r="BG37" s="719"/>
      <c r="BH37" s="720" t="str">
        <f>BI37</f>
        <v>TP</v>
      </c>
      <c r="BI37" s="776" t="s">
        <v>600</v>
      </c>
      <c r="BJ37" s="765" t="s">
        <v>404</v>
      </c>
      <c r="BK37" s="777">
        <f>SUM(BK33:BK35)</f>
        <v>0.18442416181413215</v>
      </c>
      <c r="BL37" s="777">
        <f>SUM(BL33:BL35)</f>
        <v>0.18547518034610364</v>
      </c>
      <c r="BM37" s="777">
        <f t="shared" ref="BM37" si="46">SUM(BM33:BM35)</f>
        <v>0.15919762125810047</v>
      </c>
      <c r="BN37" s="778">
        <f>SUM(BN33:BN35)</f>
        <v>0.23859087870225529</v>
      </c>
      <c r="BO37" s="721"/>
      <c r="BP37" s="776" t="s">
        <v>600</v>
      </c>
      <c r="BQ37" s="765" t="s">
        <v>404</v>
      </c>
      <c r="BR37" s="779">
        <f>SUM(BR33:BR35)</f>
        <v>1456.0677394135771</v>
      </c>
      <c r="BS37" s="779">
        <f>SUM(BS33:BS35)</f>
        <v>1563.7999264603839</v>
      </c>
      <c r="BT37" s="779">
        <f t="shared" ref="BT37" si="47">SUM(BT33:BT35)</f>
        <v>1129.0204302671989</v>
      </c>
      <c r="BU37" s="780">
        <f>SUM(BU33:BU35)</f>
        <v>2175.2170789360543</v>
      </c>
      <c r="BV37" s="721"/>
    </row>
    <row r="38" spans="1:74" x14ac:dyDescent="0.35">
      <c r="A38" s="976"/>
      <c r="B38" s="741" t="s">
        <v>643</v>
      </c>
      <c r="G38" s="716"/>
      <c r="H38" s="743" t="s">
        <v>632</v>
      </c>
      <c r="I38" s="747"/>
      <c r="J38" s="747"/>
      <c r="K38" s="747"/>
      <c r="L38" s="747"/>
      <c r="M38" s="449" t="s">
        <v>563</v>
      </c>
      <c r="N38" s="716"/>
      <c r="O38" s="743" t="s">
        <v>631</v>
      </c>
      <c r="P38" s="747"/>
      <c r="Q38" s="748"/>
      <c r="R38" s="747"/>
      <c r="S38" s="747"/>
      <c r="T38" s="747"/>
      <c r="U38" s="747"/>
      <c r="V38" s="747"/>
      <c r="W38" s="747" t="s">
        <v>630</v>
      </c>
      <c r="X38" s="747"/>
      <c r="Y38" s="747"/>
      <c r="Z38" s="747"/>
      <c r="AA38" s="747"/>
      <c r="AB38" s="747"/>
      <c r="AC38" s="716"/>
      <c r="AD38" s="747" t="s">
        <v>629</v>
      </c>
      <c r="AE38" s="743"/>
      <c r="AF38" s="745"/>
      <c r="AG38" s="743"/>
      <c r="AH38" s="743"/>
      <c r="AI38" s="743"/>
      <c r="AJ38" s="743"/>
      <c r="AK38" s="741"/>
      <c r="AL38" s="747" t="s">
        <v>842</v>
      </c>
      <c r="AM38" s="743"/>
      <c r="AN38" s="745"/>
      <c r="AO38" s="743"/>
      <c r="AP38" s="743"/>
      <c r="AQ38" s="743"/>
      <c r="AR38" s="743"/>
      <c r="AS38" s="747" t="s">
        <v>628</v>
      </c>
      <c r="AT38" s="743"/>
      <c r="AU38" s="745"/>
      <c r="AV38" s="743"/>
      <c r="AW38" s="743"/>
      <c r="AX38" s="743"/>
      <c r="AY38" s="743"/>
      <c r="AZ38" s="741"/>
      <c r="BA38" s="746" t="s">
        <v>617</v>
      </c>
      <c r="BB38" s="746"/>
      <c r="BC38" s="746"/>
      <c r="BD38" s="746"/>
      <c r="BE38" s="746"/>
      <c r="BF38" s="746"/>
      <c r="BG38" s="719"/>
      <c r="BH38" s="720"/>
      <c r="BI38" s="749" t="s">
        <v>604</v>
      </c>
      <c r="BJ38" s="721"/>
      <c r="BK38" s="721"/>
      <c r="BL38" s="721"/>
      <c r="BM38" s="721"/>
      <c r="BN38" s="750" t="s">
        <v>563</v>
      </c>
      <c r="BO38" s="721"/>
      <c r="BP38" s="749" t="s">
        <v>564</v>
      </c>
      <c r="BQ38" s="721"/>
      <c r="BR38" s="721"/>
      <c r="BS38" s="721"/>
      <c r="BT38" s="721"/>
      <c r="BU38" s="750" t="s">
        <v>563</v>
      </c>
      <c r="BV38" s="721"/>
    </row>
    <row r="39" spans="1:74" ht="14.5" x14ac:dyDescent="0.35">
      <c r="A39" s="976"/>
      <c r="G39" s="716"/>
      <c r="H39" s="977" t="s">
        <v>615</v>
      </c>
      <c r="I39" s="978"/>
      <c r="J39" s="728">
        <v>2015</v>
      </c>
      <c r="K39" s="728">
        <v>2019</v>
      </c>
      <c r="L39" s="728">
        <v>2021</v>
      </c>
      <c r="M39" s="728">
        <v>2023</v>
      </c>
      <c r="N39" s="716"/>
      <c r="O39" s="977" t="s">
        <v>615</v>
      </c>
      <c r="P39" s="978"/>
      <c r="Q39" s="751" t="s">
        <v>602</v>
      </c>
      <c r="R39" s="728">
        <v>2015</v>
      </c>
      <c r="S39" s="728">
        <v>2019</v>
      </c>
      <c r="T39" s="728">
        <v>2021</v>
      </c>
      <c r="U39" s="728">
        <v>2023</v>
      </c>
      <c r="W39" s="977" t="s">
        <v>615</v>
      </c>
      <c r="X39" s="978"/>
      <c r="Y39" s="728">
        <v>2015</v>
      </c>
      <c r="Z39" s="728">
        <v>2019</v>
      </c>
      <c r="AA39" s="728">
        <v>2021</v>
      </c>
      <c r="AB39" s="728">
        <v>2023</v>
      </c>
      <c r="AC39" s="716"/>
      <c r="AD39" s="977" t="s">
        <v>615</v>
      </c>
      <c r="AE39" s="978"/>
      <c r="AF39" s="751" t="s">
        <v>602</v>
      </c>
      <c r="AG39" s="728">
        <v>2015</v>
      </c>
      <c r="AH39" s="728">
        <v>2019</v>
      </c>
      <c r="AI39" s="728">
        <v>2021</v>
      </c>
      <c r="AJ39" s="728">
        <v>2023</v>
      </c>
      <c r="AK39" s="741"/>
      <c r="AL39" s="977" t="s">
        <v>615</v>
      </c>
      <c r="AM39" s="978"/>
      <c r="AN39" s="728">
        <v>2015</v>
      </c>
      <c r="AO39" s="728">
        <v>2019</v>
      </c>
      <c r="AP39" s="728">
        <v>2021</v>
      </c>
      <c r="AQ39" s="728">
        <v>2023</v>
      </c>
      <c r="AR39" s="716"/>
      <c r="AS39" s="977" t="s">
        <v>615</v>
      </c>
      <c r="AT39" s="978"/>
      <c r="AU39" s="751" t="s">
        <v>602</v>
      </c>
      <c r="AV39" s="728">
        <v>2015</v>
      </c>
      <c r="AW39" s="728">
        <v>2019</v>
      </c>
      <c r="AX39" s="728">
        <v>2021</v>
      </c>
      <c r="AY39" s="728">
        <v>2023</v>
      </c>
      <c r="AZ39" s="741"/>
      <c r="BA39" s="977" t="s">
        <v>615</v>
      </c>
      <c r="BB39" s="978"/>
      <c r="BC39" s="728">
        <v>2015</v>
      </c>
      <c r="BD39" s="728">
        <v>2019</v>
      </c>
      <c r="BE39" s="728">
        <v>2021</v>
      </c>
      <c r="BF39" s="728">
        <v>2023</v>
      </c>
      <c r="BG39" s="719"/>
      <c r="BH39" s="752" t="s">
        <v>843</v>
      </c>
      <c r="BI39" s="984" t="s">
        <v>615</v>
      </c>
      <c r="BJ39" s="985"/>
      <c r="BK39" s="753">
        <f>R$19</f>
        <v>2015</v>
      </c>
      <c r="BL39" s="753">
        <f>S$19</f>
        <v>2019</v>
      </c>
      <c r="BM39" s="753">
        <f>T$19</f>
        <v>2021</v>
      </c>
      <c r="BN39" s="753">
        <f>U$19</f>
        <v>2023</v>
      </c>
      <c r="BO39" s="721"/>
      <c r="BP39" s="984" t="s">
        <v>615</v>
      </c>
      <c r="BQ39" s="985"/>
      <c r="BR39" s="753">
        <f>Y$19</f>
        <v>2015</v>
      </c>
      <c r="BS39" s="753">
        <f>Z$19</f>
        <v>2019</v>
      </c>
      <c r="BT39" s="753">
        <f>AA$19</f>
        <v>2021</v>
      </c>
      <c r="BU39" s="753">
        <f>AB$19</f>
        <v>2023</v>
      </c>
      <c r="BV39" s="721"/>
    </row>
    <row r="40" spans="1:74" x14ac:dyDescent="0.35">
      <c r="A40" s="976"/>
      <c r="G40" s="716"/>
      <c r="H40" s="755" t="s">
        <v>559</v>
      </c>
      <c r="I40" s="756" t="s">
        <v>594</v>
      </c>
      <c r="J40" s="528">
        <v>3.2669320066875542E-2</v>
      </c>
      <c r="K40" s="528">
        <v>2.9183933234939747E-2</v>
      </c>
      <c r="L40" s="528">
        <v>9.5198612211977854E-2</v>
      </c>
      <c r="M40" s="555">
        <v>7.8771101464513743E-2</v>
      </c>
      <c r="N40" s="716"/>
      <c r="O40" s="755" t="s">
        <v>559</v>
      </c>
      <c r="P40" s="756" t="s">
        <v>594</v>
      </c>
      <c r="Q40" s="448">
        <v>0</v>
      </c>
      <c r="R40" s="542">
        <f t="shared" ref="R40:R46" si="48">IF(J40=0,0,Y40/(J40*$C$4*C$20)*10^6)</f>
        <v>0</v>
      </c>
      <c r="S40" s="448">
        <f t="shared" ref="S40:U45" si="49">$Q40</f>
        <v>0</v>
      </c>
      <c r="T40" s="542">
        <f t="shared" ref="T40:T56" si="50">IF(L40=0,0,AA40/(L40*$C$4*E$20)*10^6)</f>
        <v>0</v>
      </c>
      <c r="U40" s="448">
        <f t="shared" si="49"/>
        <v>0</v>
      </c>
      <c r="W40" s="755" t="s">
        <v>559</v>
      </c>
      <c r="X40" s="756" t="s">
        <v>594</v>
      </c>
      <c r="Y40" s="547">
        <v>0</v>
      </c>
      <c r="Z40" s="448">
        <f>IF(K40=0,0,$C$4*D$20*K40*S40)/10^6</f>
        <v>0</v>
      </c>
      <c r="AA40" s="547">
        <v>0</v>
      </c>
      <c r="AB40" s="448">
        <f>IF(M40=0,0,$C$4*F$20*M40*U40)/10^6</f>
        <v>0</v>
      </c>
      <c r="AC40" s="716"/>
      <c r="AD40" s="755" t="s">
        <v>559</v>
      </c>
      <c r="AE40" s="756" t="s">
        <v>594</v>
      </c>
      <c r="AF40" s="448">
        <v>5.5800314024745088</v>
      </c>
      <c r="AG40" s="547">
        <v>5.5800314024745088</v>
      </c>
      <c r="AH40" s="448">
        <f t="shared" ref="AH40:AJ42" si="51">$AG40</f>
        <v>5.5800314024745088</v>
      </c>
      <c r="AI40" s="546">
        <f t="shared" ref="AI40:AI56" si="52">IF(L40=0,0,AP40/(L40*$C$4*E$20)*10^6)</f>
        <v>1.3623767767063721</v>
      </c>
      <c r="AJ40" s="448">
        <f t="shared" si="51"/>
        <v>5.5800314024745088</v>
      </c>
      <c r="AK40" s="741"/>
      <c r="AL40" s="755" t="s">
        <v>559</v>
      </c>
      <c r="AM40" s="756" t="s">
        <v>594</v>
      </c>
      <c r="AN40" s="543">
        <f>BC40-Y40</f>
        <v>43.042109902109885</v>
      </c>
      <c r="AO40" s="448">
        <f>IF(K40=0,0,$C$4*D$20*K40*AH40)/10^6</f>
        <v>44.855029802378205</v>
      </c>
      <c r="AP40" s="543">
        <f>BE40-AA40</f>
        <v>36.533074382743841</v>
      </c>
      <c r="AQ40" s="448">
        <f>IF(M40=0,0,$C$4*F$20*M40*AJ40)/10^6</f>
        <v>127.54505788495609</v>
      </c>
      <c r="AR40" s="716"/>
      <c r="AS40" s="755" t="s">
        <v>559</v>
      </c>
      <c r="AT40" s="756" t="s">
        <v>594</v>
      </c>
      <c r="AU40" s="448">
        <f>Q40+AF40</f>
        <v>5.5800314024745088</v>
      </c>
      <c r="AV40" s="546">
        <f t="shared" ref="AV40:AV46" si="53">IF(J40=0,0,BC40/(J40*$C$4*C$20)*10^6)</f>
        <v>4.9839818849264201</v>
      </c>
      <c r="AW40" s="448">
        <f>S40+AH40</f>
        <v>5.5800314024745088</v>
      </c>
      <c r="AX40" s="546">
        <f t="shared" ref="AX40:AX56" si="54">IF(L40=0,0,BE40/(L40*$C$4*E$20)*10^6)</f>
        <v>1.3623767767063721</v>
      </c>
      <c r="AY40" s="448">
        <f>U40+AJ40</f>
        <v>5.5800314024745088</v>
      </c>
      <c r="AZ40" s="741"/>
      <c r="BA40" s="755" t="s">
        <v>559</v>
      </c>
      <c r="BB40" s="756" t="s">
        <v>594</v>
      </c>
      <c r="BC40" s="543">
        <v>43.042109902109885</v>
      </c>
      <c r="BD40" s="448">
        <f>Z40+AO40</f>
        <v>44.855029802378205</v>
      </c>
      <c r="BE40" s="543">
        <v>36.533074382743841</v>
      </c>
      <c r="BF40" s="448">
        <f>AB40+AQ40</f>
        <v>127.54505788495609</v>
      </c>
      <c r="BG40" s="719"/>
      <c r="BH40" s="720" t="str">
        <f>BJ40</f>
        <v>vélo conventionnel</v>
      </c>
      <c r="BI40" s="755" t="s">
        <v>559</v>
      </c>
      <c r="BJ40" s="756" t="s">
        <v>594</v>
      </c>
      <c r="BK40" s="502">
        <f t="shared" ref="BK40:BK56" si="55">J40/J$56</f>
        <v>2.5535471839820806E-3</v>
      </c>
      <c r="BL40" s="502">
        <f t="shared" ref="BL40:BL56" si="56">K40/K$56</f>
        <v>2.2273875467914493E-3</v>
      </c>
      <c r="BM40" s="502">
        <f t="shared" ref="BM40:BM56" si="57">L40/L$56</f>
        <v>9.158864708605309E-3</v>
      </c>
      <c r="BN40" s="501">
        <f t="shared" ref="BN40:BN56" si="58">M40/M$56</f>
        <v>5.9993607126623757E-3</v>
      </c>
      <c r="BO40" s="721"/>
      <c r="BP40" s="755" t="s">
        <v>559</v>
      </c>
      <c r="BQ40" s="756" t="s">
        <v>594</v>
      </c>
      <c r="BR40" s="448">
        <f t="shared" ref="BR40:BR56" si="59">J40*C$20*$C$4/10^6</f>
        <v>8.6360887531085648</v>
      </c>
      <c r="BS40" s="448">
        <f t="shared" ref="BS40:BS56" si="60">K40*D$20*$C$4/10^6</f>
        <v>8.0384905687962416</v>
      </c>
      <c r="BT40" s="448">
        <f t="shared" ref="BT40:BT56" si="61">L40*E$20*$C$4/10^6</f>
        <v>26.815690789345911</v>
      </c>
      <c r="BU40" s="757">
        <f t="shared" ref="BU40:BU56" si="62">M40*F$20*$C$4/10^6</f>
        <v>22.857408621104753</v>
      </c>
      <c r="BV40" s="721"/>
    </row>
    <row r="41" spans="1:74" x14ac:dyDescent="0.35">
      <c r="A41" s="976"/>
      <c r="G41" s="716"/>
      <c r="H41" s="759"/>
      <c r="I41" s="760" t="s">
        <v>164</v>
      </c>
      <c r="J41" s="527">
        <v>5.0481575734400925E-3</v>
      </c>
      <c r="K41" s="527">
        <v>8.5335444053758879E-3</v>
      </c>
      <c r="L41" s="527">
        <v>3.5339657670047805E-2</v>
      </c>
      <c r="M41" s="554">
        <v>2.9241432152918165E-2</v>
      </c>
      <c r="N41" s="716"/>
      <c r="O41" s="759"/>
      <c r="P41" s="760" t="s">
        <v>164</v>
      </c>
      <c r="Q41" s="446">
        <v>0</v>
      </c>
      <c r="R41" s="542">
        <f t="shared" si="48"/>
        <v>0</v>
      </c>
      <c r="S41" s="446">
        <f t="shared" si="49"/>
        <v>0</v>
      </c>
      <c r="T41" s="542">
        <f t="shared" si="50"/>
        <v>0</v>
      </c>
      <c r="U41" s="446">
        <f t="shared" si="49"/>
        <v>0</v>
      </c>
      <c r="W41" s="759"/>
      <c r="X41" s="760" t="s">
        <v>164</v>
      </c>
      <c r="Y41" s="543">
        <v>0</v>
      </c>
      <c r="Z41" s="446">
        <f>IF(K41=0,0,$C$4*D$20*K41*S41)/10^6</f>
        <v>0</v>
      </c>
      <c r="AA41" s="543">
        <v>0</v>
      </c>
      <c r="AB41" s="446">
        <f>IF(M41=0,0,$C$4*F$20*M41*U41)/10^6</f>
        <v>0</v>
      </c>
      <c r="AC41" s="716"/>
      <c r="AD41" s="759"/>
      <c r="AE41" s="760" t="s">
        <v>164</v>
      </c>
      <c r="AF41" s="446">
        <v>10.566031327831809</v>
      </c>
      <c r="AG41" s="542">
        <v>10.566031327831809</v>
      </c>
      <c r="AH41" s="446">
        <f t="shared" si="51"/>
        <v>10.566031327831809</v>
      </c>
      <c r="AI41" s="542">
        <f t="shared" si="52"/>
        <v>2.5797194791066071</v>
      </c>
      <c r="AJ41" s="446">
        <f t="shared" si="51"/>
        <v>10.566031327831809</v>
      </c>
      <c r="AK41" s="741"/>
      <c r="AL41" s="759"/>
      <c r="AM41" s="760" t="s">
        <v>164</v>
      </c>
      <c r="AN41" s="543">
        <f>BC41-Y41</f>
        <v>12.593939708286205</v>
      </c>
      <c r="AO41" s="446">
        <f>IF(K41=0,0,$C$4*D$20*K41*AH41)/10^6</f>
        <v>24.83544981226359</v>
      </c>
      <c r="AP41" s="543">
        <f>BE41-AA41</f>
        <v>25.679892005071366</v>
      </c>
      <c r="AQ41" s="446">
        <f>IF(M41=0,0,$C$4*F$20*M41*AJ41)/10^6</f>
        <v>89.654193292129165</v>
      </c>
      <c r="AR41" s="716"/>
      <c r="AS41" s="759"/>
      <c r="AT41" s="760" t="s">
        <v>164</v>
      </c>
      <c r="AU41" s="446">
        <f>Q41+AF41</f>
        <v>10.566031327831809</v>
      </c>
      <c r="AV41" s="542">
        <f t="shared" si="53"/>
        <v>9.4373857305042925</v>
      </c>
      <c r="AW41" s="446">
        <f>S41+AH41</f>
        <v>10.566031327831809</v>
      </c>
      <c r="AX41" s="542">
        <f t="shared" si="54"/>
        <v>2.5797194791066071</v>
      </c>
      <c r="AY41" s="446">
        <f>U41+AJ41</f>
        <v>10.566031327831809</v>
      </c>
      <c r="AZ41" s="741"/>
      <c r="BA41" s="759"/>
      <c r="BB41" s="760" t="s">
        <v>164</v>
      </c>
      <c r="BC41" s="543">
        <v>12.593939708286205</v>
      </c>
      <c r="BD41" s="446">
        <f>Z41+AO41</f>
        <v>24.83544981226359</v>
      </c>
      <c r="BE41" s="543">
        <v>25.679892005071366</v>
      </c>
      <c r="BF41" s="446">
        <f>AB41+AQ41</f>
        <v>89.654193292129165</v>
      </c>
      <c r="BG41" s="719"/>
      <c r="BH41" s="720" t="str">
        <f>BJ41</f>
        <v>vélo électrique</v>
      </c>
      <c r="BI41" s="759"/>
      <c r="BJ41" s="760" t="s">
        <v>164</v>
      </c>
      <c r="BK41" s="496">
        <f t="shared" si="55"/>
        <v>3.9458147673621341E-4</v>
      </c>
      <c r="BL41" s="496">
        <f t="shared" si="56"/>
        <v>6.5130050790308889E-4</v>
      </c>
      <c r="BM41" s="496">
        <f t="shared" si="57"/>
        <v>3.3999565322200107E-3</v>
      </c>
      <c r="BN41" s="495">
        <f t="shared" si="58"/>
        <v>2.227084501531701E-3</v>
      </c>
      <c r="BO41" s="721"/>
      <c r="BP41" s="759"/>
      <c r="BQ41" s="760" t="s">
        <v>164</v>
      </c>
      <c r="BR41" s="446">
        <f t="shared" si="59"/>
        <v>1.3344733454709856</v>
      </c>
      <c r="BS41" s="446">
        <f t="shared" si="60"/>
        <v>2.3504993541751986</v>
      </c>
      <c r="BT41" s="446">
        <f t="shared" si="61"/>
        <v>9.95452885984513</v>
      </c>
      <c r="BU41" s="761">
        <f t="shared" si="62"/>
        <v>8.485134154010364</v>
      </c>
      <c r="BV41" s="721"/>
    </row>
    <row r="42" spans="1:74" x14ac:dyDescent="0.35">
      <c r="A42" s="976"/>
      <c r="G42" s="716"/>
      <c r="H42" s="759"/>
      <c r="I42" s="760" t="s">
        <v>593</v>
      </c>
      <c r="J42" s="527">
        <v>0.21879783763965888</v>
      </c>
      <c r="K42" s="527">
        <v>0.21879783763965888</v>
      </c>
      <c r="L42" s="527">
        <v>3.7508061173535445E-2</v>
      </c>
      <c r="M42" s="554">
        <v>0.41402592548364908</v>
      </c>
      <c r="N42" s="716"/>
      <c r="O42" s="759"/>
      <c r="P42" s="760" t="s">
        <v>593</v>
      </c>
      <c r="Q42" s="446">
        <v>0</v>
      </c>
      <c r="R42" s="542">
        <f t="shared" si="48"/>
        <v>0</v>
      </c>
      <c r="S42" s="446">
        <f t="shared" si="49"/>
        <v>0</v>
      </c>
      <c r="T42" s="542">
        <f t="shared" si="50"/>
        <v>0</v>
      </c>
      <c r="U42" s="446">
        <f t="shared" si="49"/>
        <v>0</v>
      </c>
      <c r="W42" s="759"/>
      <c r="X42" s="760" t="s">
        <v>593</v>
      </c>
      <c r="Y42" s="538">
        <v>0</v>
      </c>
      <c r="Z42" s="446">
        <f>IF(K42=0,0,$C$4*D$20*K42*S42)/10^6</f>
        <v>0</v>
      </c>
      <c r="AA42" s="538">
        <v>0</v>
      </c>
      <c r="AB42" s="446">
        <f>IF(M42=0,0,$C$4*F$20*M42*U42)/10^6</f>
        <v>0</v>
      </c>
      <c r="AC42" s="716"/>
      <c r="AD42" s="759"/>
      <c r="AE42" s="760" t="s">
        <v>593</v>
      </c>
      <c r="AF42" s="522">
        <v>0</v>
      </c>
      <c r="AG42" s="552">
        <v>2.2003226055435023</v>
      </c>
      <c r="AH42" s="522">
        <f t="shared" si="51"/>
        <v>2.2003226055435023</v>
      </c>
      <c r="AI42" s="552">
        <f t="shared" si="52"/>
        <v>3.9216260314851787</v>
      </c>
      <c r="AJ42" s="522">
        <f t="shared" si="51"/>
        <v>2.2003226055435023</v>
      </c>
      <c r="AK42" s="741"/>
      <c r="AL42" s="759"/>
      <c r="AM42" s="760" t="s">
        <v>593</v>
      </c>
      <c r="AN42" s="543">
        <f>BC42-Y42</f>
        <v>127.26423971742904</v>
      </c>
      <c r="AO42" s="446">
        <f>IF(K42=0,0,$C$4*D$20*K42*AH42)/10^6</f>
        <v>132.60505184229788</v>
      </c>
      <c r="AP42" s="543">
        <f>BE42-AA42</f>
        <v>41.433265619705608</v>
      </c>
      <c r="AQ42" s="446">
        <f>IF(M42=0,0,$C$4*F$20*M42*AJ42)/10^6</f>
        <v>264.34674745463445</v>
      </c>
      <c r="AR42" s="716"/>
      <c r="AS42" s="759"/>
      <c r="AT42" s="760" t="s">
        <v>593</v>
      </c>
      <c r="AU42" s="522">
        <f>Q42+AF42</f>
        <v>0</v>
      </c>
      <c r="AV42" s="552">
        <f t="shared" si="53"/>
        <v>2.2003226055435023</v>
      </c>
      <c r="AW42" s="522">
        <f>S42+AH42</f>
        <v>2.2003226055435023</v>
      </c>
      <c r="AX42" s="552">
        <f t="shared" si="54"/>
        <v>3.9216260314851787</v>
      </c>
      <c r="AY42" s="522">
        <f>U42+AJ42</f>
        <v>2.2003226055435023</v>
      </c>
      <c r="AZ42" s="741"/>
      <c r="BA42" s="759"/>
      <c r="BB42" s="760" t="s">
        <v>593</v>
      </c>
      <c r="BC42" s="538">
        <v>127.26423971742904</v>
      </c>
      <c r="BD42" s="446">
        <f>Z42+AO42</f>
        <v>132.60505184229788</v>
      </c>
      <c r="BE42" s="538">
        <v>41.433265619705608</v>
      </c>
      <c r="BF42" s="446">
        <f>AB42+AQ42</f>
        <v>264.34674745463445</v>
      </c>
      <c r="BG42" s="719"/>
      <c r="BH42" s="720" t="s">
        <v>844</v>
      </c>
      <c r="BI42" s="759"/>
      <c r="BJ42" s="760" t="s">
        <v>593</v>
      </c>
      <c r="BK42" s="496">
        <f t="shared" si="55"/>
        <v>1.7101996644632154E-2</v>
      </c>
      <c r="BL42" s="496">
        <f t="shared" si="56"/>
        <v>1.6699173990708308E-2</v>
      </c>
      <c r="BM42" s="496">
        <f t="shared" si="57"/>
        <v>3.6085742196069518E-3</v>
      </c>
      <c r="BN42" s="495">
        <f t="shared" si="58"/>
        <v>3.1533021948274696E-2</v>
      </c>
      <c r="BO42" s="721"/>
      <c r="BP42" s="759"/>
      <c r="BQ42" s="760" t="s">
        <v>593</v>
      </c>
      <c r="BR42" s="446">
        <f t="shared" si="59"/>
        <v>57.838900257988968</v>
      </c>
      <c r="BS42" s="446">
        <f t="shared" si="60"/>
        <v>60.266186198429338</v>
      </c>
      <c r="BT42" s="446">
        <f t="shared" si="61"/>
        <v>10.565328077449092</v>
      </c>
      <c r="BU42" s="761">
        <f t="shared" si="62"/>
        <v>120.13999528461784</v>
      </c>
      <c r="BV42" s="721"/>
    </row>
    <row r="43" spans="1:74" x14ac:dyDescent="0.35">
      <c r="A43" s="976"/>
      <c r="G43" s="716"/>
      <c r="H43" s="764"/>
      <c r="I43" s="765" t="s">
        <v>404</v>
      </c>
      <c r="J43" s="521">
        <v>0.25651531527997451</v>
      </c>
      <c r="K43" s="521">
        <v>0.25651531527997451</v>
      </c>
      <c r="L43" s="521">
        <v>0.1680463310555611</v>
      </c>
      <c r="M43" s="536">
        <v>0.52203845910108093</v>
      </c>
      <c r="N43" s="716"/>
      <c r="O43" s="764"/>
      <c r="P43" s="765" t="s">
        <v>404</v>
      </c>
      <c r="Q43" s="484">
        <v>0</v>
      </c>
      <c r="R43" s="484">
        <f t="shared" si="48"/>
        <v>0</v>
      </c>
      <c r="S43" s="484">
        <f>IF(K43=0,0,Z43/(K43*$C$4*D$20)*10^6)</f>
        <v>0</v>
      </c>
      <c r="T43" s="484">
        <f t="shared" si="50"/>
        <v>0</v>
      </c>
      <c r="U43" s="484">
        <f>IF(M43=0,0,AB43/(M43*$C$4*F$20)*10^6)</f>
        <v>0</v>
      </c>
      <c r="W43" s="764"/>
      <c r="X43" s="765" t="s">
        <v>404</v>
      </c>
      <c r="Y43" s="534">
        <f t="shared" ref="Y43:AB43" si="63">SUM(Y40:Y42)</f>
        <v>0</v>
      </c>
      <c r="Z43" s="484">
        <f t="shared" si="63"/>
        <v>0</v>
      </c>
      <c r="AA43" s="534">
        <f t="shared" si="63"/>
        <v>0</v>
      </c>
      <c r="AB43" s="484">
        <f t="shared" si="63"/>
        <v>0</v>
      </c>
      <c r="AC43" s="716"/>
      <c r="AD43" s="764"/>
      <c r="AE43" s="765" t="s">
        <v>404</v>
      </c>
      <c r="AF43" s="484">
        <v>0</v>
      </c>
      <c r="AG43" s="484">
        <f>IF(J43=0,0,AN43/(J43*$C$4*C$20)*10^6)</f>
        <v>2.697267947149681</v>
      </c>
      <c r="AH43" s="484">
        <f>IF(K43=0,0,AO43/(K43*$C$4*D$20)*10^6)</f>
        <v>2.8631381671082732</v>
      </c>
      <c r="AI43" s="484">
        <f t="shared" si="52"/>
        <v>2.1896066906433909</v>
      </c>
      <c r="AJ43" s="484">
        <f>IF(M43=0,0,AQ43/(M43*$C$4*F$20)*10^6)</f>
        <v>3.1788878427811622</v>
      </c>
      <c r="AK43" s="741"/>
      <c r="AL43" s="764"/>
      <c r="AM43" s="765" t="s">
        <v>404</v>
      </c>
      <c r="AN43" s="484">
        <f t="shared" ref="AN43:AQ43" si="64">SUM(AN40:AN42)</f>
        <v>182.90028932782513</v>
      </c>
      <c r="AO43" s="484">
        <f>SUM(AO40:AO42)</f>
        <v>202.29553145693967</v>
      </c>
      <c r="AP43" s="484">
        <f t="shared" si="64"/>
        <v>103.64623200752081</v>
      </c>
      <c r="AQ43" s="484">
        <f t="shared" si="64"/>
        <v>481.54599863171973</v>
      </c>
      <c r="AR43" s="716"/>
      <c r="AS43" s="764"/>
      <c r="AT43" s="765" t="s">
        <v>404</v>
      </c>
      <c r="AU43" s="484">
        <v>0</v>
      </c>
      <c r="AV43" s="484">
        <f t="shared" si="53"/>
        <v>2.697267947149681</v>
      </c>
      <c r="AW43" s="484">
        <f>IF(K43=0,0,BD43/(K43*$C$4*D$20)*10^6)</f>
        <v>2.8631381671082732</v>
      </c>
      <c r="AX43" s="484">
        <f t="shared" si="54"/>
        <v>2.1896066906433909</v>
      </c>
      <c r="AY43" s="484">
        <f>IF(M43=0,0,BF43/(M43*$C$4*F$20)*10^6)</f>
        <v>3.1788878427811622</v>
      </c>
      <c r="AZ43" s="741"/>
      <c r="BA43" s="764"/>
      <c r="BB43" s="765" t="s">
        <v>404</v>
      </c>
      <c r="BC43" s="534">
        <f t="shared" ref="BC43:BF43" si="65">SUM(BC40:BC42)</f>
        <v>182.90028932782513</v>
      </c>
      <c r="BD43" s="484">
        <f t="shared" si="65"/>
        <v>202.29553145693967</v>
      </c>
      <c r="BE43" s="534">
        <f t="shared" si="65"/>
        <v>103.64623200752081</v>
      </c>
      <c r="BF43" s="484">
        <f t="shared" si="65"/>
        <v>481.54599863171973</v>
      </c>
      <c r="BG43" s="719"/>
      <c r="BH43" s="720"/>
      <c r="BI43" s="764"/>
      <c r="BJ43" s="765" t="s">
        <v>404</v>
      </c>
      <c r="BK43" s="482">
        <f t="shared" si="55"/>
        <v>2.0050125305350448E-2</v>
      </c>
      <c r="BL43" s="482">
        <f t="shared" si="56"/>
        <v>1.9577862045402846E-2</v>
      </c>
      <c r="BM43" s="482">
        <f t="shared" si="57"/>
        <v>1.616739546043227E-2</v>
      </c>
      <c r="BN43" s="481">
        <f t="shared" si="58"/>
        <v>3.9759467162468767E-2</v>
      </c>
      <c r="BO43" s="721"/>
      <c r="BP43" s="764"/>
      <c r="BQ43" s="765" t="s">
        <v>404</v>
      </c>
      <c r="BR43" s="484">
        <f t="shared" si="59"/>
        <v>67.809462356568517</v>
      </c>
      <c r="BS43" s="484">
        <f t="shared" si="60"/>
        <v>70.655176121400771</v>
      </c>
      <c r="BT43" s="484">
        <f t="shared" si="61"/>
        <v>47.335547726640129</v>
      </c>
      <c r="BU43" s="766">
        <f t="shared" si="62"/>
        <v>151.48253805973295</v>
      </c>
      <c r="BV43" s="721"/>
    </row>
    <row r="44" spans="1:74" x14ac:dyDescent="0.35">
      <c r="A44" s="976"/>
      <c r="G44" s="716"/>
      <c r="H44" s="755" t="s">
        <v>558</v>
      </c>
      <c r="I44" s="756" t="s">
        <v>592</v>
      </c>
      <c r="J44" s="505">
        <v>0.16424554935201074</v>
      </c>
      <c r="K44" s="505">
        <v>0.164108388043397</v>
      </c>
      <c r="L44" s="505">
        <v>9.4032770924188894E-2</v>
      </c>
      <c r="M44" s="550">
        <v>0.16293165749492153</v>
      </c>
      <c r="N44" s="716"/>
      <c r="O44" s="755" t="s">
        <v>558</v>
      </c>
      <c r="P44" s="756" t="s">
        <v>592</v>
      </c>
      <c r="Q44" s="448">
        <v>100.01966209648529</v>
      </c>
      <c r="R44" s="546">
        <f t="shared" si="48"/>
        <v>99.707088886167568</v>
      </c>
      <c r="S44" s="448">
        <f t="shared" si="49"/>
        <v>100.01966209648529</v>
      </c>
      <c r="T44" s="546">
        <f t="shared" si="50"/>
        <v>96.65307629580677</v>
      </c>
      <c r="U44" s="448">
        <f t="shared" si="49"/>
        <v>100.01966209648529</v>
      </c>
      <c r="W44" s="755" t="s">
        <v>558</v>
      </c>
      <c r="X44" s="756" t="s">
        <v>592</v>
      </c>
      <c r="Y44" s="547">
        <v>4329.0903291636059</v>
      </c>
      <c r="Z44" s="504">
        <f>IF(K44=0,0,$C$4*D$20*K44*S44)/10^6</f>
        <v>4521.1284514085028</v>
      </c>
      <c r="AA44" s="547">
        <v>2560.0785281780413</v>
      </c>
      <c r="AB44" s="504">
        <f>IF(M44=0,0,$C$4*F$20*M44*U44)/10^6</f>
        <v>4728.7998496003247</v>
      </c>
      <c r="AC44" s="716"/>
      <c r="AD44" s="755" t="s">
        <v>558</v>
      </c>
      <c r="AE44" s="756" t="s">
        <v>592</v>
      </c>
      <c r="AF44" s="448">
        <v>63.621709980061325</v>
      </c>
      <c r="AG44" s="546">
        <f>IF(J44=0,0,AN44/(J44*$C$4*C$20)*10^6)</f>
        <v>62.732499302977267</v>
      </c>
      <c r="AH44" s="448">
        <f t="shared" ref="AH44:AH45" si="66">$AF44</f>
        <v>63.621709980061325</v>
      </c>
      <c r="AI44" s="546">
        <f t="shared" si="52"/>
        <v>60.826768817674207</v>
      </c>
      <c r="AJ44" s="448">
        <f t="shared" ref="AJ44:AJ45" si="67">$AF44</f>
        <v>63.621709980061325</v>
      </c>
      <c r="AK44" s="741"/>
      <c r="AL44" s="755" t="s">
        <v>558</v>
      </c>
      <c r="AM44" s="756" t="s">
        <v>592</v>
      </c>
      <c r="AN44" s="543">
        <f>BC44-Y44</f>
        <v>2723.7246527860198</v>
      </c>
      <c r="AO44" s="446">
        <f>IF(K44=0,0,$C$4*D$20*K44*AH44)/10^6</f>
        <v>2875.8537780365414</v>
      </c>
      <c r="AP44" s="543">
        <f>BE44-AA44</f>
        <v>1611.1365592957668</v>
      </c>
      <c r="AQ44" s="446">
        <v>3007.9518994455943</v>
      </c>
      <c r="AR44" s="716"/>
      <c r="AS44" s="755" t="s">
        <v>558</v>
      </c>
      <c r="AT44" s="756" t="s">
        <v>592</v>
      </c>
      <c r="AU44" s="448">
        <f>Q44+AF44</f>
        <v>163.64137207654662</v>
      </c>
      <c r="AV44" s="546">
        <f t="shared" si="53"/>
        <v>162.43958818914484</v>
      </c>
      <c r="AW44" s="448">
        <f>S44+AH44</f>
        <v>163.64137207654662</v>
      </c>
      <c r="AX44" s="546">
        <f t="shared" si="54"/>
        <v>157.47984511348099</v>
      </c>
      <c r="AY44" s="448">
        <f>U44+AJ44</f>
        <v>163.64137207654662</v>
      </c>
      <c r="AZ44" s="741"/>
      <c r="BA44" s="755" t="s">
        <v>558</v>
      </c>
      <c r="BB44" s="756" t="s">
        <v>592</v>
      </c>
      <c r="BC44" s="543">
        <v>7052.8149819496257</v>
      </c>
      <c r="BD44" s="446">
        <f>Z44+AO44</f>
        <v>7396.9822294450441</v>
      </c>
      <c r="BE44" s="543">
        <v>4171.2150874738081</v>
      </c>
      <c r="BF44" s="446">
        <f>AB44+AQ44</f>
        <v>7736.7517490459195</v>
      </c>
      <c r="BG44" s="719"/>
      <c r="BH44" s="720"/>
      <c r="BI44" s="755" t="s">
        <v>558</v>
      </c>
      <c r="BJ44" s="756" t="s">
        <v>592</v>
      </c>
      <c r="BK44" s="502">
        <f t="shared" si="55"/>
        <v>1.2838000888015687E-2</v>
      </c>
      <c r="BL44" s="502">
        <f t="shared" si="56"/>
        <v>1.2525144465937027E-2</v>
      </c>
      <c r="BM44" s="502">
        <f t="shared" si="57"/>
        <v>9.0467014913223811E-3</v>
      </c>
      <c r="BN44" s="501">
        <f t="shared" si="58"/>
        <v>1.2409192795969096E-2</v>
      </c>
      <c r="BO44" s="721"/>
      <c r="BP44" s="755" t="s">
        <v>558</v>
      </c>
      <c r="BQ44" s="756" t="s">
        <v>592</v>
      </c>
      <c r="BR44" s="448">
        <f t="shared" si="59"/>
        <v>43.418079672409171</v>
      </c>
      <c r="BS44" s="448">
        <f t="shared" si="60"/>
        <v>45.202396775217416</v>
      </c>
      <c r="BT44" s="448">
        <f t="shared" si="61"/>
        <v>26.487294831081428</v>
      </c>
      <c r="BU44" s="757">
        <f t="shared" si="62"/>
        <v>47.278702511898359</v>
      </c>
      <c r="BV44" s="721"/>
    </row>
    <row r="45" spans="1:74" x14ac:dyDescent="0.35">
      <c r="A45" s="976"/>
      <c r="G45" s="716"/>
      <c r="H45" s="759"/>
      <c r="I45" s="760" t="s">
        <v>544</v>
      </c>
      <c r="J45" s="522">
        <v>1.2978350218928408E-3</v>
      </c>
      <c r="K45" s="522">
        <v>1.4349963305065993E-3</v>
      </c>
      <c r="L45" s="522">
        <v>1.3175726474570731E-3</v>
      </c>
      <c r="M45" s="545">
        <v>3.0556573532528482E-3</v>
      </c>
      <c r="N45" s="716"/>
      <c r="O45" s="759"/>
      <c r="P45" s="760" t="s">
        <v>544</v>
      </c>
      <c r="Q45" s="446">
        <v>0</v>
      </c>
      <c r="R45" s="542">
        <f t="shared" si="48"/>
        <v>0</v>
      </c>
      <c r="S45" s="446">
        <f t="shared" si="49"/>
        <v>0</v>
      </c>
      <c r="T45" s="542">
        <f t="shared" si="50"/>
        <v>0</v>
      </c>
      <c r="U45" s="446">
        <f t="shared" si="49"/>
        <v>0</v>
      </c>
      <c r="W45" s="759"/>
      <c r="X45" s="760" t="s">
        <v>544</v>
      </c>
      <c r="Y45" s="543">
        <v>0</v>
      </c>
      <c r="Z45" s="498">
        <f>IF(K45=0,0,$C$4*D$20*K45*S45)/10^6</f>
        <v>0</v>
      </c>
      <c r="AA45" s="543">
        <v>0</v>
      </c>
      <c r="AB45" s="498">
        <f>IF(M45=0,0,$C$4*F$20*M45*U45)/10^6</f>
        <v>0</v>
      </c>
      <c r="AC45" s="716"/>
      <c r="AD45" s="759"/>
      <c r="AE45" s="760" t="s">
        <v>544</v>
      </c>
      <c r="AF45" s="446">
        <v>77.703220130850724</v>
      </c>
      <c r="AG45" s="542">
        <f>IF(J45=0,0,AN45/(J45*$C$4*C$20)*10^6)</f>
        <v>77.132566898312376</v>
      </c>
      <c r="AH45" s="446">
        <f t="shared" si="66"/>
        <v>77.703220130850724</v>
      </c>
      <c r="AI45" s="542">
        <f t="shared" si="52"/>
        <v>74.777490042683837</v>
      </c>
      <c r="AJ45" s="446">
        <f t="shared" si="67"/>
        <v>77.703220130850724</v>
      </c>
      <c r="AK45" s="741"/>
      <c r="AL45" s="759"/>
      <c r="AM45" s="760" t="s">
        <v>544</v>
      </c>
      <c r="AN45" s="543">
        <f>BC45-Y45</f>
        <v>26.46270741334105</v>
      </c>
      <c r="AO45" s="446">
        <f>IF(K45=0,0,$C$4*D$20*K45*AH45)/10^6</f>
        <v>30.712876324657351</v>
      </c>
      <c r="AP45" s="543">
        <f>BE45-AA45</f>
        <v>27.752609562257657</v>
      </c>
      <c r="AQ45" s="446">
        <v>68.897544473887237</v>
      </c>
      <c r="AR45" s="716"/>
      <c r="AS45" s="759"/>
      <c r="AT45" s="760" t="s">
        <v>544</v>
      </c>
      <c r="AU45" s="446">
        <f>Q45+AF45</f>
        <v>77.703220130850724</v>
      </c>
      <c r="AV45" s="542">
        <f t="shared" si="53"/>
        <v>77.132566898312376</v>
      </c>
      <c r="AW45" s="446">
        <f>S45+AH45</f>
        <v>77.703220130850724</v>
      </c>
      <c r="AX45" s="542">
        <f t="shared" si="54"/>
        <v>74.777490042683837</v>
      </c>
      <c r="AY45" s="446">
        <f>U45+AJ45</f>
        <v>77.703220130850724</v>
      </c>
      <c r="AZ45" s="741"/>
      <c r="BA45" s="759"/>
      <c r="BB45" s="760" t="s">
        <v>544</v>
      </c>
      <c r="BC45" s="543">
        <v>26.46270741334105</v>
      </c>
      <c r="BD45" s="446">
        <f>Z45+AO45</f>
        <v>30.712876324657351</v>
      </c>
      <c r="BE45" s="543">
        <v>27.752609562257657</v>
      </c>
      <c r="BF45" s="446">
        <f>AB45+AQ45</f>
        <v>68.897544473887237</v>
      </c>
      <c r="BG45" s="719"/>
      <c r="BH45" s="720"/>
      <c r="BI45" s="759"/>
      <c r="BJ45" s="760" t="s">
        <v>544</v>
      </c>
      <c r="BK45" s="496">
        <f t="shared" si="55"/>
        <v>1.0144327946353678E-4</v>
      </c>
      <c r="BL45" s="496">
        <f t="shared" si="56"/>
        <v>1.0952235020998276E-4</v>
      </c>
      <c r="BM45" s="496">
        <f t="shared" si="57"/>
        <v>1.2676098255453273E-4</v>
      </c>
      <c r="BN45" s="495">
        <f t="shared" si="58"/>
        <v>2.3272482338870898E-4</v>
      </c>
      <c r="BO45" s="721"/>
      <c r="BP45" s="759"/>
      <c r="BQ45" s="760" t="s">
        <v>544</v>
      </c>
      <c r="BR45" s="446">
        <f t="shared" si="59"/>
        <v>0.34308086036120283</v>
      </c>
      <c r="BS45" s="446">
        <f t="shared" si="60"/>
        <v>0.39525873281618779</v>
      </c>
      <c r="BT45" s="446">
        <f t="shared" si="61"/>
        <v>0.37113587988064528</v>
      </c>
      <c r="BU45" s="761">
        <f t="shared" si="62"/>
        <v>0.88667553748564221</v>
      </c>
      <c r="BV45" s="721"/>
    </row>
    <row r="46" spans="1:74" x14ac:dyDescent="0.35">
      <c r="A46" s="976"/>
      <c r="G46" s="716"/>
      <c r="H46" s="764"/>
      <c r="I46" s="765" t="s">
        <v>404</v>
      </c>
      <c r="J46" s="523">
        <v>0.16554338437390359</v>
      </c>
      <c r="K46" s="523">
        <v>0.16554338437390359</v>
      </c>
      <c r="L46" s="523">
        <v>9.5350343571645957E-2</v>
      </c>
      <c r="M46" s="551">
        <v>0.16598731484817439</v>
      </c>
      <c r="N46" s="716"/>
      <c r="O46" s="764"/>
      <c r="P46" s="765" t="s">
        <v>404</v>
      </c>
      <c r="Q46" s="484">
        <v>0</v>
      </c>
      <c r="R46" s="484">
        <f t="shared" si="48"/>
        <v>98.925400434062595</v>
      </c>
      <c r="S46" s="484">
        <f>IF(K46=0,0,Z46/(K46*$C$4*D$20)*10^6)</f>
        <v>99.152651622887731</v>
      </c>
      <c r="T46" s="484">
        <f t="shared" si="50"/>
        <v>95.317502192455521</v>
      </c>
      <c r="U46" s="484">
        <f>IF(M46=0,0,AB46/(M46*$C$4*F$20)*10^6)</f>
        <v>98.178402020469605</v>
      </c>
      <c r="W46" s="764"/>
      <c r="X46" s="765" t="s">
        <v>404</v>
      </c>
      <c r="Y46" s="534">
        <v>4329.090329163605</v>
      </c>
      <c r="Z46" s="484">
        <f>SUM(Z44:Z45)</f>
        <v>4521.1284514085028</v>
      </c>
      <c r="AA46" s="534">
        <v>2560.0785281780418</v>
      </c>
      <c r="AB46" s="484">
        <f>SUM(AB44:AB45)</f>
        <v>4728.7998496003247</v>
      </c>
      <c r="AC46" s="716"/>
      <c r="AD46" s="764"/>
      <c r="AE46" s="765" t="s">
        <v>404</v>
      </c>
      <c r="AF46" s="484">
        <v>0</v>
      </c>
      <c r="AG46" s="484">
        <f>IF(J46=0,0,AN46/(J46*$C$4*C$20)*10^6)</f>
        <v>62.84539364855037</v>
      </c>
      <c r="AH46" s="484">
        <f>IF(K46=0,0,AO46/(K46*$C$4*D$20)*10^6)</f>
        <v>63.743774147534992</v>
      </c>
      <c r="AI46" s="484">
        <f t="shared" si="52"/>
        <v>61.01954304385788</v>
      </c>
      <c r="AJ46" s="484">
        <f>IF(M46=0,0,AQ46/(M46*$C$4*F$20)*10^6)</f>
        <v>63.880936235251497</v>
      </c>
      <c r="AK46" s="741"/>
      <c r="AL46" s="764"/>
      <c r="AM46" s="765" t="s">
        <v>404</v>
      </c>
      <c r="AN46" s="484">
        <f t="shared" ref="AN46:AQ46" si="68">SUM(AN44:AN45)</f>
        <v>2750.1873601993607</v>
      </c>
      <c r="AO46" s="484">
        <f t="shared" si="68"/>
        <v>2906.5666543611987</v>
      </c>
      <c r="AP46" s="484">
        <f t="shared" si="68"/>
        <v>1638.8891688580245</v>
      </c>
      <c r="AQ46" s="484">
        <f t="shared" si="68"/>
        <v>3076.8494439194815</v>
      </c>
      <c r="AR46" s="716"/>
      <c r="AS46" s="764"/>
      <c r="AT46" s="765" t="s">
        <v>404</v>
      </c>
      <c r="AU46" s="484">
        <v>0</v>
      </c>
      <c r="AV46" s="484">
        <f t="shared" si="53"/>
        <v>161.77079408261298</v>
      </c>
      <c r="AW46" s="484">
        <f>IF(K46=0,0,BD46/(K46*$C$4*D$20)*10^6)</f>
        <v>162.89642577042272</v>
      </c>
      <c r="AX46" s="484">
        <f t="shared" si="54"/>
        <v>156.33704523631337</v>
      </c>
      <c r="AY46" s="484">
        <f>IF(M46=0,0,BF46/(M46*$C$4*F$20)*10^6)</f>
        <v>162.05933825572112</v>
      </c>
      <c r="AZ46" s="741"/>
      <c r="BA46" s="764"/>
      <c r="BB46" s="765" t="s">
        <v>404</v>
      </c>
      <c r="BC46" s="534">
        <v>7079.2776893629662</v>
      </c>
      <c r="BD46" s="484">
        <f>SUM(BD44:BD45)</f>
        <v>7427.6951057697015</v>
      </c>
      <c r="BE46" s="534">
        <v>4198.9676970360661</v>
      </c>
      <c r="BF46" s="484">
        <f>SUM(BF44:BF45)</f>
        <v>7805.6492935198066</v>
      </c>
      <c r="BG46" s="719"/>
      <c r="BH46" s="720" t="s">
        <v>846</v>
      </c>
      <c r="BI46" s="764"/>
      <c r="BJ46" s="765" t="s">
        <v>404</v>
      </c>
      <c r="BK46" s="482">
        <f t="shared" si="55"/>
        <v>1.2939444167479225E-2</v>
      </c>
      <c r="BL46" s="482">
        <f t="shared" si="56"/>
        <v>1.2634666816147009E-2</v>
      </c>
      <c r="BM46" s="482">
        <f t="shared" si="57"/>
        <v>9.173462473876912E-3</v>
      </c>
      <c r="BN46" s="481">
        <f t="shared" si="58"/>
        <v>1.2641917619357805E-2</v>
      </c>
      <c r="BO46" s="721"/>
      <c r="BP46" s="764"/>
      <c r="BQ46" s="765" t="s">
        <v>404</v>
      </c>
      <c r="BR46" s="484">
        <f t="shared" si="59"/>
        <v>43.761160532770376</v>
      </c>
      <c r="BS46" s="484">
        <f t="shared" si="60"/>
        <v>45.597655508033597</v>
      </c>
      <c r="BT46" s="484">
        <f t="shared" si="61"/>
        <v>26.858430710962072</v>
      </c>
      <c r="BU46" s="766">
        <f t="shared" si="62"/>
        <v>48.165378049383996</v>
      </c>
      <c r="BV46" s="721"/>
    </row>
    <row r="47" spans="1:74" x14ac:dyDescent="0.35">
      <c r="A47" s="976"/>
      <c r="G47" s="716"/>
      <c r="H47" s="755" t="s">
        <v>548</v>
      </c>
      <c r="I47" s="756" t="s">
        <v>173</v>
      </c>
      <c r="J47" s="505">
        <v>6.7822462355713604</v>
      </c>
      <c r="K47" s="505">
        <v>6.757478319522634</v>
      </c>
      <c r="L47" s="505">
        <v>5.32039319476646</v>
      </c>
      <c r="M47" s="550">
        <v>6.125557059137936</v>
      </c>
      <c r="N47" s="716"/>
      <c r="O47" s="755" t="s">
        <v>548</v>
      </c>
      <c r="P47" s="756" t="s">
        <v>173</v>
      </c>
      <c r="Q47" s="448">
        <v>112.89178391519464</v>
      </c>
      <c r="R47" s="546">
        <f>$Q47*$P$6*R$12</f>
        <v>102.88980001119907</v>
      </c>
      <c r="S47" s="448">
        <f t="shared" ref="S47:U51" si="69">$Q47*$P$6*S$12</f>
        <v>97.610318233573992</v>
      </c>
      <c r="T47" s="546">
        <f t="shared" si="50"/>
        <v>99.884918331780725</v>
      </c>
      <c r="U47" s="448">
        <f t="shared" si="69"/>
        <v>96.269394223870506</v>
      </c>
      <c r="W47" s="755" t="s">
        <v>548</v>
      </c>
      <c r="X47" s="756" t="s">
        <v>173</v>
      </c>
      <c r="Y47" s="546">
        <f t="shared" ref="Y47:Z51" si="70">IF(J47=0,0,$C$4*C$20*J47*R47)/10^6</f>
        <v>184468.78079941793</v>
      </c>
      <c r="Z47" s="448">
        <f t="shared" si="70"/>
        <v>181681.65323204585</v>
      </c>
      <c r="AA47" s="547">
        <v>149693.1819064868</v>
      </c>
      <c r="AB47" s="448">
        <f>IF(M47=0,0,$C$4*F$20*M47*U47)/10^6</f>
        <v>171117.29352220648</v>
      </c>
      <c r="AC47" s="716"/>
      <c r="AD47" s="755" t="s">
        <v>548</v>
      </c>
      <c r="AE47" s="756" t="s">
        <v>173</v>
      </c>
      <c r="AF47" s="448">
        <v>73.097234891906908</v>
      </c>
      <c r="AG47" s="546">
        <f t="shared" ref="AG47:AH51" si="71">$AF47*$Q$6*R$12</f>
        <v>62.664579502551518</v>
      </c>
      <c r="AH47" s="504">
        <f t="shared" si="71"/>
        <v>59.449134380194891</v>
      </c>
      <c r="AI47" s="542">
        <f t="shared" si="52"/>
        <v>62.287803814979362</v>
      </c>
      <c r="AJ47" s="504">
        <f>$AF47*$Q$6*U$12</f>
        <v>58.632450518395196</v>
      </c>
      <c r="AK47" s="741"/>
      <c r="AL47" s="755" t="s">
        <v>548</v>
      </c>
      <c r="AM47" s="756" t="s">
        <v>173</v>
      </c>
      <c r="AN47" s="546">
        <f t="shared" ref="AN47:AO51" si="72">IF(J47=0,0,$C$4*C$20*J47*AG47)/10^6</f>
        <v>112349.89842419422</v>
      </c>
      <c r="AO47" s="504">
        <f t="shared" si="72"/>
        <v>110652.41065562697</v>
      </c>
      <c r="AP47" s="543">
        <f>BE47-AA47</f>
        <v>93348.021931200812</v>
      </c>
      <c r="AQ47" s="504">
        <f>IF(M47=0,0,$C$4*F$20*M47*AJ47)/10^6</f>
        <v>104218.23390672937</v>
      </c>
      <c r="AR47" s="716"/>
      <c r="AS47" s="755" t="s">
        <v>548</v>
      </c>
      <c r="AT47" s="756" t="s">
        <v>173</v>
      </c>
      <c r="AU47" s="448">
        <f t="shared" ref="AU47:AW51" si="73">Q47+AF47</f>
        <v>185.98901880710156</v>
      </c>
      <c r="AV47" s="542">
        <f t="shared" si="73"/>
        <v>165.55437951375058</v>
      </c>
      <c r="AW47" s="446">
        <f t="shared" si="73"/>
        <v>157.05945261376888</v>
      </c>
      <c r="AX47" s="546">
        <f t="shared" si="54"/>
        <v>162.17272214676009</v>
      </c>
      <c r="AY47" s="446">
        <f>U47+AJ47</f>
        <v>154.90184474226569</v>
      </c>
      <c r="AZ47" s="741"/>
      <c r="BA47" s="755" t="s">
        <v>548</v>
      </c>
      <c r="BB47" s="756" t="s">
        <v>173</v>
      </c>
      <c r="BC47" s="546">
        <f t="shared" ref="BC47:BD51" si="74">Y47+AN47</f>
        <v>296818.67922361218</v>
      </c>
      <c r="BD47" s="504">
        <f t="shared" si="74"/>
        <v>292334.06388767285</v>
      </c>
      <c r="BE47" s="547">
        <v>243041.20383768762</v>
      </c>
      <c r="BF47" s="504">
        <f>AB47+AQ47</f>
        <v>275335.52742893586</v>
      </c>
      <c r="BG47" s="719"/>
      <c r="BH47" s="720"/>
      <c r="BI47" s="755" t="s">
        <v>548</v>
      </c>
      <c r="BJ47" s="756" t="s">
        <v>173</v>
      </c>
      <c r="BK47" s="502">
        <f t="shared" si="55"/>
        <v>0.53012385138300999</v>
      </c>
      <c r="BL47" s="502">
        <f t="shared" si="56"/>
        <v>0.51574689865990575</v>
      </c>
      <c r="BM47" s="502">
        <f t="shared" si="57"/>
        <v>0.51186419985773013</v>
      </c>
      <c r="BN47" s="501">
        <f t="shared" si="58"/>
        <v>0.4665343721303602</v>
      </c>
      <c r="BO47" s="721"/>
      <c r="BP47" s="755" t="s">
        <v>548</v>
      </c>
      <c r="BQ47" s="756" t="s">
        <v>173</v>
      </c>
      <c r="BR47" s="448">
        <f t="shared" si="59"/>
        <v>1792.8772412750279</v>
      </c>
      <c r="BS47" s="448">
        <f t="shared" si="60"/>
        <v>1861.2955732537987</v>
      </c>
      <c r="BT47" s="448">
        <f t="shared" si="61"/>
        <v>1498.6564979636012</v>
      </c>
      <c r="BU47" s="757">
        <f t="shared" si="62"/>
        <v>1777.4838504154318</v>
      </c>
      <c r="BV47" s="721"/>
    </row>
    <row r="48" spans="1:74" x14ac:dyDescent="0.35">
      <c r="A48" s="976"/>
      <c r="G48" s="716"/>
      <c r="H48" s="759"/>
      <c r="I48" s="760" t="s">
        <v>170</v>
      </c>
      <c r="J48" s="522">
        <v>2.6344648217869482</v>
      </c>
      <c r="K48" s="522">
        <v>2.7246444434755412</v>
      </c>
      <c r="L48" s="522">
        <v>2.0349952357560128</v>
      </c>
      <c r="M48" s="545">
        <v>2.1801980093709612</v>
      </c>
      <c r="N48" s="716"/>
      <c r="O48" s="759"/>
      <c r="P48" s="760" t="s">
        <v>170</v>
      </c>
      <c r="Q48" s="446">
        <v>115.41002524003623</v>
      </c>
      <c r="R48" s="542">
        <f t="shared" ref="R48:R51" si="75">$Q48*$P$6*R$12</f>
        <v>105.18493024394948</v>
      </c>
      <c r="S48" s="446">
        <f t="shared" si="69"/>
        <v>99.787680735803363</v>
      </c>
      <c r="T48" s="542">
        <f t="shared" si="50"/>
        <v>102.11301961912041</v>
      </c>
      <c r="U48" s="446">
        <f t="shared" si="69"/>
        <v>98.416845158246147</v>
      </c>
      <c r="W48" s="759"/>
      <c r="X48" s="760" t="s">
        <v>170</v>
      </c>
      <c r="Y48" s="542">
        <f t="shared" si="70"/>
        <v>73252.580471542955</v>
      </c>
      <c r="Z48" s="446">
        <f t="shared" si="70"/>
        <v>74888.89951932698</v>
      </c>
      <c r="AA48" s="543">
        <v>58533.283572715744</v>
      </c>
      <c r="AB48" s="446">
        <f>IF(M48=0,0,$C$4*F$20*M48*U48)/10^6</f>
        <v>62262.34189516402</v>
      </c>
      <c r="AC48" s="716"/>
      <c r="AD48" s="759"/>
      <c r="AE48" s="760" t="s">
        <v>170</v>
      </c>
      <c r="AF48" s="446">
        <v>73.56325269294247</v>
      </c>
      <c r="AG48" s="542">
        <f t="shared" si="71"/>
        <v>63.06408585304181</v>
      </c>
      <c r="AH48" s="498">
        <f t="shared" si="71"/>
        <v>59.828141259433131</v>
      </c>
      <c r="AI48" s="542">
        <f t="shared" si="52"/>
        <v>62.661820809347276</v>
      </c>
      <c r="AJ48" s="498">
        <f>$AF48*$Q$6*U$12</f>
        <v>59.006250781843114</v>
      </c>
      <c r="AK48" s="741"/>
      <c r="AL48" s="759"/>
      <c r="AM48" s="760" t="s">
        <v>170</v>
      </c>
      <c r="AN48" s="542">
        <f t="shared" si="72"/>
        <v>43918.905617945886</v>
      </c>
      <c r="AO48" s="498">
        <f t="shared" si="72"/>
        <v>44899.967873471367</v>
      </c>
      <c r="AP48" s="543">
        <f>BE48-AA48</f>
        <v>35919.044802485085</v>
      </c>
      <c r="AQ48" s="498">
        <f>IF(M48=0,0,$C$4*F$20*M48*AJ48)/10^6</f>
        <v>37329.659919738639</v>
      </c>
      <c r="AR48" s="716"/>
      <c r="AS48" s="759"/>
      <c r="AT48" s="760" t="s">
        <v>170</v>
      </c>
      <c r="AU48" s="446">
        <f t="shared" si="73"/>
        <v>188.9732779329787</v>
      </c>
      <c r="AV48" s="542">
        <f t="shared" si="73"/>
        <v>168.24901609699128</v>
      </c>
      <c r="AW48" s="446">
        <f t="shared" si="73"/>
        <v>159.6158219952365</v>
      </c>
      <c r="AX48" s="542">
        <f t="shared" si="54"/>
        <v>164.77484042846768</v>
      </c>
      <c r="AY48" s="446">
        <f>U48+AJ48</f>
        <v>157.42309594008927</v>
      </c>
      <c r="AZ48" s="741"/>
      <c r="BA48" s="759"/>
      <c r="BB48" s="760" t="s">
        <v>170</v>
      </c>
      <c r="BC48" s="542">
        <f t="shared" si="74"/>
        <v>117171.48608948884</v>
      </c>
      <c r="BD48" s="498">
        <f t="shared" si="74"/>
        <v>119788.86739279835</v>
      </c>
      <c r="BE48" s="543">
        <v>94452.328375200828</v>
      </c>
      <c r="BF48" s="498">
        <f>AB48+AQ48</f>
        <v>99592.001814902658</v>
      </c>
      <c r="BG48" s="719"/>
      <c r="BH48" s="720"/>
      <c r="BI48" s="759"/>
      <c r="BJ48" s="760" t="s">
        <v>170</v>
      </c>
      <c r="BK48" s="496">
        <f t="shared" si="55"/>
        <v>0.20591889311448716</v>
      </c>
      <c r="BL48" s="496">
        <f t="shared" si="56"/>
        <v>0.20795137701199817</v>
      </c>
      <c r="BM48" s="496">
        <f t="shared" si="57"/>
        <v>0.19578274949475186</v>
      </c>
      <c r="BN48" s="495">
        <f t="shared" si="58"/>
        <v>0.16604813237424756</v>
      </c>
      <c r="BO48" s="721"/>
      <c r="BP48" s="759"/>
      <c r="BQ48" s="760" t="s">
        <v>170</v>
      </c>
      <c r="BR48" s="446">
        <f t="shared" si="59"/>
        <v>696.41706565429445</v>
      </c>
      <c r="BS48" s="446">
        <f t="shared" si="60"/>
        <v>750.48241393245632</v>
      </c>
      <c r="BT48" s="446">
        <f t="shared" si="61"/>
        <v>573.22057256796199</v>
      </c>
      <c r="BU48" s="761">
        <f t="shared" si="62"/>
        <v>632.63907509991111</v>
      </c>
      <c r="BV48" s="721"/>
    </row>
    <row r="49" spans="1:74" x14ac:dyDescent="0.35">
      <c r="A49" s="976"/>
      <c r="G49" s="716"/>
      <c r="H49" s="759"/>
      <c r="I49" s="760" t="s">
        <v>545</v>
      </c>
      <c r="J49" s="522">
        <v>0.11431724353565983</v>
      </c>
      <c r="K49" s="522">
        <v>0.25404939800254589</v>
      </c>
      <c r="L49" s="522">
        <v>0.4338476218389134</v>
      </c>
      <c r="M49" s="545">
        <v>0.91723847939275716</v>
      </c>
      <c r="N49" s="716"/>
      <c r="O49" s="759"/>
      <c r="P49" s="760" t="s">
        <v>545</v>
      </c>
      <c r="Q49" s="446">
        <v>82.701369152032839</v>
      </c>
      <c r="R49" s="542">
        <f t="shared" si="75"/>
        <v>75.374194982135663</v>
      </c>
      <c r="S49" s="446">
        <f t="shared" si="69"/>
        <v>71.506594025888958</v>
      </c>
      <c r="T49" s="542">
        <f t="shared" si="50"/>
        <v>73.172902554916689</v>
      </c>
      <c r="U49" s="446">
        <f t="shared" si="69"/>
        <v>70.524270532669846</v>
      </c>
      <c r="W49" s="759"/>
      <c r="X49" s="760" t="s">
        <v>545</v>
      </c>
      <c r="Y49" s="542">
        <f t="shared" si="70"/>
        <v>2277.7781991627944</v>
      </c>
      <c r="Z49" s="446">
        <f t="shared" si="70"/>
        <v>5003.742428925133</v>
      </c>
      <c r="AA49" s="543">
        <v>8942.2308136955198</v>
      </c>
      <c r="AB49" s="446">
        <f>IF(M49=0,0,$C$4*F$20*M49*U49)/10^6</f>
        <v>18770.720471159337</v>
      </c>
      <c r="AC49" s="716"/>
      <c r="AD49" s="759"/>
      <c r="AE49" s="760" t="s">
        <v>545</v>
      </c>
      <c r="AF49" s="446">
        <v>67.508459862836986</v>
      </c>
      <c r="AG49" s="542">
        <f t="shared" si="71"/>
        <v>57.873451115151987</v>
      </c>
      <c r="AH49" s="498">
        <f t="shared" si="71"/>
        <v>54.903848389347637</v>
      </c>
      <c r="AI49" s="542">
        <f t="shared" si="52"/>
        <v>57.802232540589834</v>
      </c>
      <c r="AJ49" s="498">
        <f>$AF49*$Q$6*U$12</f>
        <v>54.149605499223824</v>
      </c>
      <c r="AK49" s="741"/>
      <c r="AL49" s="759"/>
      <c r="AM49" s="760" t="s">
        <v>545</v>
      </c>
      <c r="AN49" s="542">
        <f t="shared" si="72"/>
        <v>1748.9126788239673</v>
      </c>
      <c r="AO49" s="498">
        <f t="shared" si="72"/>
        <v>3841.9493955702537</v>
      </c>
      <c r="AP49" s="543">
        <f>BE49-AA49</f>
        <v>7063.8294625108538</v>
      </c>
      <c r="AQ49" s="498">
        <f>IF(M49=0,0,$C$4*F$20*M49*AJ49)/10^6</f>
        <v>14412.444124163332</v>
      </c>
      <c r="AR49" s="716"/>
      <c r="AS49" s="759"/>
      <c r="AT49" s="760" t="s">
        <v>545</v>
      </c>
      <c r="AU49" s="446">
        <f t="shared" si="73"/>
        <v>150.20982901486983</v>
      </c>
      <c r="AV49" s="542">
        <f t="shared" si="73"/>
        <v>133.24764609728766</v>
      </c>
      <c r="AW49" s="446">
        <f t="shared" si="73"/>
        <v>126.41044241523659</v>
      </c>
      <c r="AX49" s="542">
        <f t="shared" si="54"/>
        <v>130.97513509550652</v>
      </c>
      <c r="AY49" s="446">
        <f>U49+AJ49</f>
        <v>124.67387603189367</v>
      </c>
      <c r="AZ49" s="741"/>
      <c r="BA49" s="759"/>
      <c r="BB49" s="760" t="s">
        <v>545</v>
      </c>
      <c r="BC49" s="542">
        <f t="shared" si="74"/>
        <v>4026.6908779867617</v>
      </c>
      <c r="BD49" s="498">
        <f t="shared" si="74"/>
        <v>8845.6918244953868</v>
      </c>
      <c r="BE49" s="543">
        <v>16006.060276206374</v>
      </c>
      <c r="BF49" s="498">
        <f>AB49+AQ49</f>
        <v>33183.164595322669</v>
      </c>
      <c r="BG49" s="719"/>
      <c r="BH49" s="720"/>
      <c r="BI49" s="759"/>
      <c r="BJ49" s="760" t="s">
        <v>545</v>
      </c>
      <c r="BK49" s="496">
        <f t="shared" si="55"/>
        <v>8.9354316133153696E-3</v>
      </c>
      <c r="BL49" s="496">
        <f t="shared" si="56"/>
        <v>1.9389657344174069E-2</v>
      </c>
      <c r="BM49" s="496">
        <f t="shared" si="57"/>
        <v>4.1739596620640813E-2</v>
      </c>
      <c r="BN49" s="495">
        <f t="shared" si="58"/>
        <v>6.9858671455674745E-2</v>
      </c>
      <c r="BO49" s="721"/>
      <c r="BP49" s="759"/>
      <c r="BQ49" s="760" t="s">
        <v>545</v>
      </c>
      <c r="BR49" s="446">
        <f t="shared" si="59"/>
        <v>30.219602341393472</v>
      </c>
      <c r="BS49" s="446">
        <f t="shared" si="60"/>
        <v>69.975958120918591</v>
      </c>
      <c r="BT49" s="446">
        <f t="shared" si="61"/>
        <v>122.20686212337034</v>
      </c>
      <c r="BU49" s="761">
        <f t="shared" si="62"/>
        <v>266.15972528867121</v>
      </c>
      <c r="BV49" s="721"/>
    </row>
    <row r="50" spans="1:74" x14ac:dyDescent="0.35">
      <c r="A50" s="976"/>
      <c r="G50" s="716"/>
      <c r="H50" s="759"/>
      <c r="I50" s="760" t="s">
        <v>468</v>
      </c>
      <c r="J50" s="522">
        <v>3.1080445100632525E-2</v>
      </c>
      <c r="K50" s="522">
        <v>3.5609335842471876E-2</v>
      </c>
      <c r="L50" s="522">
        <v>2.8175818849063942E-2</v>
      </c>
      <c r="M50" s="545">
        <v>3.3189401601752808E-2</v>
      </c>
      <c r="N50" s="716"/>
      <c r="O50" s="759"/>
      <c r="P50" s="760" t="s">
        <v>468</v>
      </c>
      <c r="Q50" s="446">
        <v>67.289205460210027</v>
      </c>
      <c r="R50" s="542">
        <f t="shared" si="75"/>
        <v>61.327517845890334</v>
      </c>
      <c r="S50" s="446">
        <f t="shared" si="69"/>
        <v>58.180680035931395</v>
      </c>
      <c r="T50" s="542">
        <f t="shared" si="50"/>
        <v>59.536456586180833</v>
      </c>
      <c r="U50" s="446">
        <f t="shared" si="69"/>
        <v>57.381421595093499</v>
      </c>
      <c r="W50" s="759"/>
      <c r="X50" s="760" t="s">
        <v>468</v>
      </c>
      <c r="Y50" s="542">
        <f t="shared" si="70"/>
        <v>503.8712956604179</v>
      </c>
      <c r="Z50" s="446">
        <f t="shared" si="70"/>
        <v>570.65463651089044</v>
      </c>
      <c r="AA50" s="543">
        <v>472.51750432684446</v>
      </c>
      <c r="AB50" s="446">
        <f>IF(M50=0,0,$C$4*F$20*M50*U50)/10^6</f>
        <v>552.62534575531163</v>
      </c>
      <c r="AC50" s="716"/>
      <c r="AD50" s="759"/>
      <c r="AE50" s="760" t="s">
        <v>468</v>
      </c>
      <c r="AF50" s="446">
        <v>71.839920915906305</v>
      </c>
      <c r="AG50" s="542">
        <f t="shared" si="71"/>
        <v>61.586713127369627</v>
      </c>
      <c r="AH50" s="498">
        <f t="shared" si="71"/>
        <v>58.426575488221907</v>
      </c>
      <c r="AI50" s="542">
        <f t="shared" si="52"/>
        <v>61.776883841280352</v>
      </c>
      <c r="AJ50" s="498">
        <f>$AF50*$Q$6*U$12</f>
        <v>57.62393905290741</v>
      </c>
      <c r="AK50" s="741"/>
      <c r="AL50" s="759"/>
      <c r="AM50" s="760" t="s">
        <v>468</v>
      </c>
      <c r="AN50" s="542">
        <f t="shared" si="72"/>
        <v>506.00086272745989</v>
      </c>
      <c r="AO50" s="498">
        <f t="shared" si="72"/>
        <v>573.06645740847819</v>
      </c>
      <c r="AP50" s="543">
        <f>BE50-AA50</f>
        <v>490.29889670233888</v>
      </c>
      <c r="AQ50" s="498">
        <f>IF(M50=0,0,$C$4*F$20*M50*AJ50)/10^6</f>
        <v>554.96096746440458</v>
      </c>
      <c r="AR50" s="716"/>
      <c r="AS50" s="759"/>
      <c r="AT50" s="760" t="s">
        <v>468</v>
      </c>
      <c r="AU50" s="446">
        <f t="shared" si="73"/>
        <v>139.12912637611635</v>
      </c>
      <c r="AV50" s="542">
        <f t="shared" si="73"/>
        <v>122.91423097325996</v>
      </c>
      <c r="AW50" s="446">
        <f t="shared" si="73"/>
        <v>116.6072555241533</v>
      </c>
      <c r="AX50" s="542">
        <f t="shared" si="54"/>
        <v>121.31334042746118</v>
      </c>
      <c r="AY50" s="446">
        <f>U50+AJ50</f>
        <v>115.0053606480009</v>
      </c>
      <c r="AZ50" s="741"/>
      <c r="BA50" s="759"/>
      <c r="BB50" s="760" t="s">
        <v>468</v>
      </c>
      <c r="BC50" s="542">
        <f t="shared" si="74"/>
        <v>1009.8721583878778</v>
      </c>
      <c r="BD50" s="498">
        <f t="shared" si="74"/>
        <v>1143.7210939193687</v>
      </c>
      <c r="BE50" s="543">
        <v>962.81640102918334</v>
      </c>
      <c r="BF50" s="498">
        <f>AB50+AQ50</f>
        <v>1107.5863132197162</v>
      </c>
      <c r="BG50" s="719"/>
      <c r="BH50" s="720"/>
      <c r="BI50" s="759"/>
      <c r="BJ50" s="760" t="s">
        <v>468</v>
      </c>
      <c r="BK50" s="496">
        <f t="shared" si="55"/>
        <v>2.4293552146529341E-3</v>
      </c>
      <c r="BL50" s="496">
        <f t="shared" si="56"/>
        <v>2.7177896333067733E-3</v>
      </c>
      <c r="BM50" s="496">
        <f t="shared" si="57"/>
        <v>2.7107381809109939E-3</v>
      </c>
      <c r="BN50" s="495">
        <f t="shared" si="58"/>
        <v>2.5277695543717972E-3</v>
      </c>
      <c r="BO50" s="721"/>
      <c r="BP50" s="759"/>
      <c r="BQ50" s="760" t="s">
        <v>468</v>
      </c>
      <c r="BR50" s="446">
        <f t="shared" si="59"/>
        <v>8.2160718933153962</v>
      </c>
      <c r="BS50" s="446">
        <f t="shared" si="60"/>
        <v>9.8083184342029668</v>
      </c>
      <c r="BT50" s="446">
        <f t="shared" si="61"/>
        <v>7.9366077764950802</v>
      </c>
      <c r="BU50" s="761">
        <f t="shared" si="62"/>
        <v>9.6307364020163089</v>
      </c>
      <c r="BV50" s="721"/>
    </row>
    <row r="51" spans="1:74" x14ac:dyDescent="0.35">
      <c r="A51" s="976"/>
      <c r="G51" s="716"/>
      <c r="H51" s="759"/>
      <c r="I51" s="760" t="s">
        <v>544</v>
      </c>
      <c r="J51" s="522">
        <v>9.7437551001982974E-3</v>
      </c>
      <c r="K51" s="522">
        <v>5.4156355900728231E-2</v>
      </c>
      <c r="L51" s="522">
        <v>0.12651936221712079</v>
      </c>
      <c r="M51" s="545">
        <v>0.34133797100019153</v>
      </c>
      <c r="N51" s="716"/>
      <c r="O51" s="759"/>
      <c r="P51" s="760" t="s">
        <v>544</v>
      </c>
      <c r="Q51" s="446">
        <v>0</v>
      </c>
      <c r="R51" s="542">
        <f t="shared" si="75"/>
        <v>0</v>
      </c>
      <c r="S51" s="446">
        <f t="shared" si="69"/>
        <v>0</v>
      </c>
      <c r="T51" s="542">
        <f t="shared" si="50"/>
        <v>0</v>
      </c>
      <c r="U51" s="446">
        <f t="shared" si="69"/>
        <v>0</v>
      </c>
      <c r="W51" s="759"/>
      <c r="X51" s="760" t="s">
        <v>544</v>
      </c>
      <c r="Y51" s="542">
        <f t="shared" si="70"/>
        <v>0</v>
      </c>
      <c r="Z51" s="446">
        <f t="shared" si="70"/>
        <v>0</v>
      </c>
      <c r="AA51" s="543">
        <v>0</v>
      </c>
      <c r="AB51" s="446">
        <f>IF(M51=0,0,$C$4*F$20*M51*U51)/10^6</f>
        <v>0</v>
      </c>
      <c r="AC51" s="716"/>
      <c r="AD51" s="759"/>
      <c r="AE51" s="760" t="s">
        <v>544</v>
      </c>
      <c r="AF51" s="446">
        <v>89.788876273341828</v>
      </c>
      <c r="AG51" s="542">
        <f t="shared" si="71"/>
        <v>76.973940040220967</v>
      </c>
      <c r="AH51" s="498">
        <f t="shared" si="71"/>
        <v>73.024252959965011</v>
      </c>
      <c r="AI51" s="542">
        <f t="shared" si="52"/>
        <v>78.291216208031841</v>
      </c>
      <c r="AJ51" s="498">
        <f>$AF51*$Q$6*U$12</f>
        <v>72.021080591954046</v>
      </c>
      <c r="AK51" s="741"/>
      <c r="AL51" s="759"/>
      <c r="AM51" s="760" t="s">
        <v>544</v>
      </c>
      <c r="AN51" s="542">
        <f t="shared" si="72"/>
        <v>198.26546742256735</v>
      </c>
      <c r="AO51" s="498">
        <f t="shared" si="72"/>
        <v>1089.2993385735842</v>
      </c>
      <c r="AP51" s="543">
        <f>BE51-AA51</f>
        <v>2790.1554838277402</v>
      </c>
      <c r="AQ51" s="498">
        <f>IF(M51=0,0,$C$4*F$20*M51*AJ51)/10^6</f>
        <v>7133.5270055410019</v>
      </c>
      <c r="AR51" s="716"/>
      <c r="AS51" s="759"/>
      <c r="AT51" s="760" t="s">
        <v>544</v>
      </c>
      <c r="AU51" s="446">
        <f t="shared" si="73"/>
        <v>89.788876273341828</v>
      </c>
      <c r="AV51" s="542">
        <f t="shared" si="73"/>
        <v>76.973940040220967</v>
      </c>
      <c r="AW51" s="446">
        <f t="shared" si="73"/>
        <v>73.024252959965011</v>
      </c>
      <c r="AX51" s="542">
        <f t="shared" si="54"/>
        <v>78.291216208031841</v>
      </c>
      <c r="AY51" s="446">
        <f>U51+AJ51</f>
        <v>72.021080591954046</v>
      </c>
      <c r="AZ51" s="741"/>
      <c r="BA51" s="759"/>
      <c r="BB51" s="760" t="s">
        <v>544</v>
      </c>
      <c r="BC51" s="542">
        <f t="shared" si="74"/>
        <v>198.26546742256735</v>
      </c>
      <c r="BD51" s="498">
        <f t="shared" si="74"/>
        <v>1089.2993385735842</v>
      </c>
      <c r="BE51" s="543">
        <v>2790.1554838277402</v>
      </c>
      <c r="BF51" s="498">
        <f>AB51+AQ51</f>
        <v>7133.5270055410019</v>
      </c>
      <c r="BG51" s="719"/>
      <c r="BH51" s="720"/>
      <c r="BI51" s="759"/>
      <c r="BJ51" s="760" t="s">
        <v>544</v>
      </c>
      <c r="BK51" s="496">
        <f t="shared" si="55"/>
        <v>7.6160563937632028E-4</v>
      </c>
      <c r="BL51" s="496">
        <f t="shared" si="56"/>
        <v>4.1333425396022265E-3</v>
      </c>
      <c r="BM51" s="496">
        <f t="shared" si="57"/>
        <v>1.2172170314682833E-2</v>
      </c>
      <c r="BN51" s="495">
        <f t="shared" si="58"/>
        <v>2.5996965573484757E-2</v>
      </c>
      <c r="BO51" s="721"/>
      <c r="BP51" s="759"/>
      <c r="BQ51" s="760" t="s">
        <v>544</v>
      </c>
      <c r="BR51" s="446">
        <f t="shared" si="59"/>
        <v>2.5757479390942999</v>
      </c>
      <c r="BS51" s="446">
        <f t="shared" si="60"/>
        <v>14.916952853605832</v>
      </c>
      <c r="BT51" s="446">
        <f t="shared" si="61"/>
        <v>35.63816758720246</v>
      </c>
      <c r="BU51" s="761">
        <f t="shared" si="62"/>
        <v>99.047764167231009</v>
      </c>
      <c r="BV51" s="721"/>
    </row>
    <row r="52" spans="1:74" x14ac:dyDescent="0.35">
      <c r="A52" s="976"/>
      <c r="G52" s="716"/>
      <c r="H52" s="767"/>
      <c r="I52" s="765" t="s">
        <v>404</v>
      </c>
      <c r="J52" s="523">
        <v>9.5718525010947992</v>
      </c>
      <c r="K52" s="523">
        <v>9.8259378527439214</v>
      </c>
      <c r="L52" s="523">
        <v>7.9439312334275707</v>
      </c>
      <c r="M52" s="551">
        <v>9.5975209205035981</v>
      </c>
      <c r="N52" s="716"/>
      <c r="O52" s="767"/>
      <c r="P52" s="765" t="s">
        <v>404</v>
      </c>
      <c r="Q52" s="509">
        <v>112.96132059627642</v>
      </c>
      <c r="R52" s="484">
        <f>IF(J52=0,0,Y52/(J52*$C$4*C$20)*10^6)</f>
        <v>102.95317588286858</v>
      </c>
      <c r="S52" s="484">
        <f>IF(K52=0,0,Z52/(K52*$C$4*D$20)*10^6)</f>
        <v>96.85829036094097</v>
      </c>
      <c r="T52" s="484">
        <f t="shared" si="50"/>
        <v>97.262917270318951</v>
      </c>
      <c r="U52" s="484">
        <f>IF(M52=0,0,AB52/(M52*$C$4*F$20)*10^6)</f>
        <v>90.738422368900032</v>
      </c>
      <c r="W52" s="767"/>
      <c r="X52" s="765" t="s">
        <v>404</v>
      </c>
      <c r="Y52" s="534">
        <f>SUM(Y47:Y51)</f>
        <v>260503.0107657841</v>
      </c>
      <c r="Z52" s="484">
        <f>SUM(Z47:Z51)</f>
        <v>262144.94981680886</v>
      </c>
      <c r="AA52" s="534">
        <v>217641.21379722489</v>
      </c>
      <c r="AB52" s="484">
        <f>SUM(AB47:AB51)</f>
        <v>252702.98123428517</v>
      </c>
      <c r="AC52" s="716"/>
      <c r="AD52" s="767"/>
      <c r="AE52" s="765" t="s">
        <v>404</v>
      </c>
      <c r="AF52" s="509">
        <v>73.171658890275523</v>
      </c>
      <c r="AG52" s="484">
        <f>IF(J52=0,0,AN52/(J52*$C$4*C$20)*10^6)</f>
        <v>62.72838148589009</v>
      </c>
      <c r="AH52" s="484">
        <f>IF(K52=0,0,AO52/(K52*$C$4*D$20)*10^6)</f>
        <v>59.507825788248937</v>
      </c>
      <c r="AI52" s="484">
        <f t="shared" si="52"/>
        <v>62.391708832285609</v>
      </c>
      <c r="AJ52" s="484">
        <f>IF(M52=0,0,AQ52/(M52*$C$4*F$20)*10^6)</f>
        <v>58.761618934232409</v>
      </c>
      <c r="AK52" s="741"/>
      <c r="AL52" s="767"/>
      <c r="AM52" s="765" t="s">
        <v>404</v>
      </c>
      <c r="AN52" s="484">
        <f t="shared" ref="AN52:AQ52" si="76">SUM(AN47:AN51)</f>
        <v>158721.98305111413</v>
      </c>
      <c r="AO52" s="484">
        <f t="shared" si="76"/>
        <v>161056.69372065068</v>
      </c>
      <c r="AP52" s="484">
        <f t="shared" si="76"/>
        <v>139611.35057672684</v>
      </c>
      <c r="AQ52" s="484">
        <f t="shared" si="76"/>
        <v>163648.82592363673</v>
      </c>
      <c r="AR52" s="716"/>
      <c r="AS52" s="767"/>
      <c r="AT52" s="765" t="s">
        <v>404</v>
      </c>
      <c r="AU52" s="509">
        <v>186.1329794865519</v>
      </c>
      <c r="AV52" s="484">
        <f>IF(J52=0,0,BC52/(J52*$C$4*C$20)*10^6)</f>
        <v>165.68155736875866</v>
      </c>
      <c r="AW52" s="484">
        <f>IF(K52=0,0,BD52/(K52*$C$4*D$20)*10^6)</f>
        <v>156.36611614918988</v>
      </c>
      <c r="AX52" s="484">
        <f t="shared" si="54"/>
        <v>159.6546261026046</v>
      </c>
      <c r="AY52" s="484">
        <f>IF(M52=0,0,BF52/(M52*$C$4*F$20)*10^6)</f>
        <v>149.50004130313246</v>
      </c>
      <c r="AZ52" s="741"/>
      <c r="BA52" s="767"/>
      <c r="BB52" s="765" t="s">
        <v>404</v>
      </c>
      <c r="BC52" s="534">
        <f t="shared" ref="BC52:BD52" si="77">SUM(BC47:BC51)</f>
        <v>419224.9938168982</v>
      </c>
      <c r="BD52" s="484">
        <f t="shared" si="77"/>
        <v>423201.64353745955</v>
      </c>
      <c r="BE52" s="534">
        <v>357252.56437395175</v>
      </c>
      <c r="BF52" s="484">
        <f t="shared" ref="BF52" si="78">SUM(BF47:BF51)</f>
        <v>416351.80715792195</v>
      </c>
      <c r="BG52" s="719"/>
      <c r="BH52" s="720" t="s">
        <v>548</v>
      </c>
      <c r="BI52" s="767"/>
      <c r="BJ52" s="765" t="s">
        <v>404</v>
      </c>
      <c r="BK52" s="482">
        <f t="shared" si="55"/>
        <v>0.74816913696484177</v>
      </c>
      <c r="BL52" s="482">
        <f t="shared" si="56"/>
        <v>0.74993906518898701</v>
      </c>
      <c r="BM52" s="482">
        <f t="shared" si="57"/>
        <v>0.76426945446871664</v>
      </c>
      <c r="BN52" s="481">
        <f t="shared" si="58"/>
        <v>0.73096591108813902</v>
      </c>
      <c r="BO52" s="721"/>
      <c r="BP52" s="767"/>
      <c r="BQ52" s="765" t="s">
        <v>404</v>
      </c>
      <c r="BR52" s="484">
        <f t="shared" si="59"/>
        <v>2530.3057291031255</v>
      </c>
      <c r="BS52" s="484">
        <f t="shared" si="60"/>
        <v>2706.4792165949825</v>
      </c>
      <c r="BT52" s="484">
        <f t="shared" si="61"/>
        <v>2237.6587080186309</v>
      </c>
      <c r="BU52" s="766">
        <f t="shared" si="62"/>
        <v>2784.9611513732616</v>
      </c>
      <c r="BV52" s="721"/>
    </row>
    <row r="53" spans="1:74" x14ac:dyDescent="0.35">
      <c r="A53" s="976"/>
      <c r="G53" s="716"/>
      <c r="H53" s="755" t="s">
        <v>591</v>
      </c>
      <c r="I53" s="768"/>
      <c r="J53" s="505">
        <v>2.4835466806486952</v>
      </c>
      <c r="K53" s="505">
        <v>2.5050786239761615</v>
      </c>
      <c r="L53" s="505">
        <v>1.6951810119242796</v>
      </c>
      <c r="M53" s="550">
        <v>2.5397114398990661</v>
      </c>
      <c r="N53" s="716"/>
      <c r="O53" s="755" t="s">
        <v>591</v>
      </c>
      <c r="P53" s="768"/>
      <c r="Q53" s="505">
        <v>5.1828753057843707E-2</v>
      </c>
      <c r="R53" s="549">
        <f>IF(J53=0,0,Y53/(J53*$C$4*C$20)*10^6)</f>
        <v>5.1999588571384009E-2</v>
      </c>
      <c r="S53" s="505">
        <f t="shared" ref="S53:U55" si="79">$R53</f>
        <v>5.1999588571384009E-2</v>
      </c>
      <c r="T53" s="549">
        <f t="shared" si="50"/>
        <v>5.2167504629959532E-2</v>
      </c>
      <c r="U53" s="505">
        <f t="shared" si="79"/>
        <v>5.1999588571384009E-2</v>
      </c>
      <c r="W53" s="755" t="s">
        <v>591</v>
      </c>
      <c r="X53" s="768"/>
      <c r="Y53" s="548">
        <v>34.138877401927594</v>
      </c>
      <c r="Z53" s="448">
        <f>IF(K53=0,0,$C$4*D$20*K53*S53)/10^6</f>
        <v>35.879960149425884</v>
      </c>
      <c r="AA53" s="548">
        <v>24.910045118276869</v>
      </c>
      <c r="AB53" s="448">
        <f>IF(M53=0,0,$C$4*F$20*M53*U53)/10^6</f>
        <v>38.321663812485859</v>
      </c>
      <c r="AC53" s="716"/>
      <c r="AD53" s="755" t="s">
        <v>591</v>
      </c>
      <c r="AE53" s="768"/>
      <c r="AF53" s="448">
        <v>6.9730960686619339</v>
      </c>
      <c r="AG53" s="546">
        <v>6.9758119267975145</v>
      </c>
      <c r="AH53" s="504">
        <f t="shared" ref="AH53:AJ55" si="80">$AG53</f>
        <v>6.9758119267975145</v>
      </c>
      <c r="AI53" s="546">
        <f t="shared" si="52"/>
        <v>6.9784813972472408</v>
      </c>
      <c r="AJ53" s="504">
        <f t="shared" si="80"/>
        <v>6.9758119267975145</v>
      </c>
      <c r="AK53" s="741"/>
      <c r="AL53" s="755" t="s">
        <v>591</v>
      </c>
      <c r="AM53" s="768"/>
      <c r="AN53" s="543">
        <f>BC53-Y53</f>
        <v>4579.7744691945381</v>
      </c>
      <c r="AO53" s="504">
        <f>IF(K53=0,0,$C$4*D$20*K53*AH53)/10^6</f>
        <v>4813.3429671234599</v>
      </c>
      <c r="AP53" s="543">
        <f>BE53-AA53</f>
        <v>3332.2331151460221</v>
      </c>
      <c r="AQ53" s="504">
        <f>IF(M53=0,0,$C$4*F$20*M53*AJ53)/10^6</f>
        <v>5140.9006652213302</v>
      </c>
      <c r="AR53" s="716"/>
      <c r="AS53" s="755" t="s">
        <v>591</v>
      </c>
      <c r="AT53" s="768"/>
      <c r="AU53" s="448">
        <f>Q53+AF53</f>
        <v>7.0249248217197779</v>
      </c>
      <c r="AV53" s="546">
        <f>IF(J53=0,0,BC53/(J53*$C$4*C$20)*10^6)</f>
        <v>7.0278115153688976</v>
      </c>
      <c r="AW53" s="504">
        <f>S53+AH53</f>
        <v>7.0278115153688985</v>
      </c>
      <c r="AX53" s="546">
        <f t="shared" si="54"/>
        <v>7.0306489018772007</v>
      </c>
      <c r="AY53" s="504">
        <f>U53+AJ53</f>
        <v>7.0278115153688985</v>
      </c>
      <c r="AZ53" s="741"/>
      <c r="BA53" s="755" t="s">
        <v>591</v>
      </c>
      <c r="BB53" s="768"/>
      <c r="BC53" s="538">
        <v>4613.913346596466</v>
      </c>
      <c r="BD53" s="504">
        <f>Z53+AO53</f>
        <v>4849.2229272728855</v>
      </c>
      <c r="BE53" s="538">
        <v>3357.1431602642988</v>
      </c>
      <c r="BF53" s="504">
        <f>AB53+AQ53</f>
        <v>5179.2223290338161</v>
      </c>
      <c r="BG53" s="719"/>
      <c r="BH53" s="720" t="str">
        <f>BI53</f>
        <v>Train</v>
      </c>
      <c r="BI53" s="755" t="s">
        <v>591</v>
      </c>
      <c r="BJ53" s="768"/>
      <c r="BK53" s="502">
        <f t="shared" si="55"/>
        <v>0.19412260860270325</v>
      </c>
      <c r="BL53" s="502">
        <f t="shared" si="56"/>
        <v>0.19119358880994514</v>
      </c>
      <c r="BM53" s="502">
        <f t="shared" si="57"/>
        <v>0.16308991469581163</v>
      </c>
      <c r="BN53" s="501">
        <f t="shared" si="58"/>
        <v>0.19342937639247987</v>
      </c>
      <c r="BO53" s="721"/>
      <c r="BP53" s="755" t="s">
        <v>591</v>
      </c>
      <c r="BQ53" s="768"/>
      <c r="BR53" s="448">
        <f t="shared" si="59"/>
        <v>656.52206757486954</v>
      </c>
      <c r="BS53" s="448">
        <f t="shared" si="60"/>
        <v>690.00469302118779</v>
      </c>
      <c r="BT53" s="448">
        <f t="shared" si="61"/>
        <v>477.50118191336992</v>
      </c>
      <c r="BU53" s="757">
        <f t="shared" si="62"/>
        <v>736.96090421712927</v>
      </c>
      <c r="BV53" s="721"/>
    </row>
    <row r="54" spans="1:74" x14ac:dyDescent="0.35">
      <c r="A54" s="976"/>
      <c r="G54" s="716"/>
      <c r="H54" s="759" t="s">
        <v>590</v>
      </c>
      <c r="J54" s="522">
        <v>0.26889736795966379</v>
      </c>
      <c r="K54" s="522">
        <v>0.29471278253733962</v>
      </c>
      <c r="L54" s="522">
        <v>0.47243405791055615</v>
      </c>
      <c r="M54" s="545">
        <v>0.25624091613409489</v>
      </c>
      <c r="N54" s="716"/>
      <c r="O54" s="759" t="s">
        <v>590</v>
      </c>
      <c r="Q54" s="446">
        <v>63.533074223942634</v>
      </c>
      <c r="R54" s="542">
        <f>IF(J54=0,0,Y54/(J54*$C$4*C$20)*10^6)</f>
        <v>47.202725807908621</v>
      </c>
      <c r="S54" s="446">
        <f t="shared" si="79"/>
        <v>47.202725807908621</v>
      </c>
      <c r="T54" s="542">
        <f t="shared" si="50"/>
        <v>34.289722947434207</v>
      </c>
      <c r="U54" s="446">
        <f t="shared" si="79"/>
        <v>47.202725807908621</v>
      </c>
      <c r="W54" s="759" t="s">
        <v>590</v>
      </c>
      <c r="Y54" s="544">
        <v>3355.2943913675267</v>
      </c>
      <c r="Z54" s="446">
        <f>IF(K54=0,0,$C$4*D$20*K54*S54)/10^6</f>
        <v>3831.7461949417147</v>
      </c>
      <c r="AA54" s="544">
        <v>4563.137404777287</v>
      </c>
      <c r="AB54" s="446">
        <f>IF(M54=0,0,$C$4*F$20*M54*U54)/10^6</f>
        <v>3509.7455398059942</v>
      </c>
      <c r="AC54" s="716"/>
      <c r="AD54" s="759" t="s">
        <v>590</v>
      </c>
      <c r="AF54" s="446">
        <v>26.947748950756736</v>
      </c>
      <c r="AG54" s="542">
        <v>21.781627231643967</v>
      </c>
      <c r="AH54" s="498">
        <f t="shared" si="80"/>
        <v>21.781627231643967</v>
      </c>
      <c r="AI54" s="542">
        <f t="shared" si="52"/>
        <v>17.696586265233083</v>
      </c>
      <c r="AJ54" s="498">
        <f t="shared" si="80"/>
        <v>21.781627231643967</v>
      </c>
      <c r="AK54" s="741"/>
      <c r="AL54" s="759" t="s">
        <v>590</v>
      </c>
      <c r="AN54" s="543">
        <f>BC54-Y54</f>
        <v>1548.2955790012516</v>
      </c>
      <c r="AO54" s="498">
        <f>IF(K54=0,0,$C$4*D$20*K54*AH54)/10^6</f>
        <v>1768.1535512194289</v>
      </c>
      <c r="AP54" s="543">
        <f>BE54-AA54</f>
        <v>2354.9900023264991</v>
      </c>
      <c r="AQ54" s="498">
        <f>IF(M54=0,0,$C$4*F$20*M54*AJ54)/10^6</f>
        <v>1619.5668304640715</v>
      </c>
      <c r="AR54" s="716"/>
      <c r="AS54" s="759" t="s">
        <v>590</v>
      </c>
      <c r="AU54" s="446">
        <f>Q54+AF54</f>
        <v>90.480823174699367</v>
      </c>
      <c r="AV54" s="542">
        <f>IF(J54=0,0,BC54/(J54*$C$4*C$20)*10^6)</f>
        <v>68.984353039552587</v>
      </c>
      <c r="AW54" s="498">
        <f>S54+AH54</f>
        <v>68.984353039552587</v>
      </c>
      <c r="AX54" s="542">
        <f t="shared" si="54"/>
        <v>51.986309212667294</v>
      </c>
      <c r="AY54" s="498">
        <f>U54+AJ54</f>
        <v>68.984353039552587</v>
      </c>
      <c r="AZ54" s="741"/>
      <c r="BA54" s="759" t="s">
        <v>590</v>
      </c>
      <c r="BC54" s="538">
        <v>4903.5899703687783</v>
      </c>
      <c r="BD54" s="498">
        <f>Z54+AO54</f>
        <v>5599.8997461611434</v>
      </c>
      <c r="BE54" s="538">
        <v>6918.127407103786</v>
      </c>
      <c r="BF54" s="498">
        <f>AB54+AQ54</f>
        <v>5129.3123702700659</v>
      </c>
      <c r="BG54" s="719"/>
      <c r="BH54" s="720" t="str">
        <f>BI54</f>
        <v>Bus</v>
      </c>
      <c r="BI54" s="759" t="s">
        <v>590</v>
      </c>
      <c r="BK54" s="496">
        <f t="shared" si="55"/>
        <v>2.1017949419455503E-2</v>
      </c>
      <c r="BL54" s="496">
        <f t="shared" si="56"/>
        <v>2.2493184055054669E-2</v>
      </c>
      <c r="BM54" s="496">
        <f t="shared" si="57"/>
        <v>4.5451919094213152E-2</v>
      </c>
      <c r="BN54" s="495">
        <f t="shared" si="58"/>
        <v>1.9515807912423907E-2</v>
      </c>
      <c r="BO54" s="721"/>
      <c r="BP54" s="759" t="s">
        <v>590</v>
      </c>
      <c r="BR54" s="446">
        <f t="shared" si="59"/>
        <v>71.082640545418698</v>
      </c>
      <c r="BS54" s="446">
        <f t="shared" si="60"/>
        <v>81.176375502868126</v>
      </c>
      <c r="BT54" s="446">
        <f t="shared" si="61"/>
        <v>133.07594849257109</v>
      </c>
      <c r="BU54" s="761">
        <f t="shared" si="62"/>
        <v>74.354721676220464</v>
      </c>
      <c r="BV54" s="721"/>
    </row>
    <row r="55" spans="1:74" x14ac:dyDescent="0.35">
      <c r="A55" s="976"/>
      <c r="G55" s="716"/>
      <c r="H55" s="764" t="s">
        <v>492</v>
      </c>
      <c r="I55" s="769"/>
      <c r="J55" s="491">
        <v>4.7346105293474439E-2</v>
      </c>
      <c r="K55" s="491">
        <v>5.4527027530636367E-2</v>
      </c>
      <c r="L55" s="491">
        <v>1.9206869365252205E-2</v>
      </c>
      <c r="M55" s="541">
        <v>4.8416825093496929E-2</v>
      </c>
      <c r="N55" s="716"/>
      <c r="O55" s="764" t="s">
        <v>492</v>
      </c>
      <c r="P55" s="769"/>
      <c r="Q55" s="491">
        <v>0.18742182767857141</v>
      </c>
      <c r="R55" s="540">
        <f>IF(J55=0,0,Y55/(J55*$C$4*C$20)*10^6)</f>
        <v>0.18742182767857118</v>
      </c>
      <c r="S55" s="491">
        <f t="shared" si="79"/>
        <v>0.18742182767857118</v>
      </c>
      <c r="T55" s="540">
        <f t="shared" si="50"/>
        <v>0.1874218211384146</v>
      </c>
      <c r="U55" s="491">
        <f t="shared" si="79"/>
        <v>0.18742182767857118</v>
      </c>
      <c r="W55" s="764" t="s">
        <v>492</v>
      </c>
      <c r="X55" s="769"/>
      <c r="Y55" s="534">
        <v>2.3457484034938272</v>
      </c>
      <c r="Z55" s="445">
        <f>IF(K55=0,0,$C$4*D$20*K55*S55)/10^6</f>
        <v>2.8148980841925928</v>
      </c>
      <c r="AA55" s="534">
        <v>1.0139933524285021</v>
      </c>
      <c r="AB55" s="445">
        <f>IF(M55=0,0,$C$4*F$20*M55*U55)/10^6</f>
        <v>2.6331557610705216</v>
      </c>
      <c r="AC55" s="716"/>
      <c r="AD55" s="764" t="s">
        <v>492</v>
      </c>
      <c r="AE55" s="769"/>
      <c r="AF55" s="445">
        <v>36.015470702126663</v>
      </c>
      <c r="AG55" s="509">
        <v>36.015470702126656</v>
      </c>
      <c r="AH55" s="490">
        <f t="shared" si="80"/>
        <v>36.015470702126656</v>
      </c>
      <c r="AI55" s="509">
        <f t="shared" si="52"/>
        <v>36.015469445353169</v>
      </c>
      <c r="AJ55" s="490">
        <f t="shared" si="80"/>
        <v>36.015470702126656</v>
      </c>
      <c r="AK55" s="741"/>
      <c r="AL55" s="764" t="s">
        <v>492</v>
      </c>
      <c r="AM55" s="769"/>
      <c r="AN55" s="539">
        <f>BC55-Y55</f>
        <v>450.76517472383858</v>
      </c>
      <c r="AO55" s="490">
        <f>IF(K55=0,0,$C$4*D$20*K55*AH55)/10^6</f>
        <v>540.91820966860644</v>
      </c>
      <c r="AP55" s="539">
        <f>BE55-AA55</f>
        <v>194.85162602923185</v>
      </c>
      <c r="AQ55" s="490">
        <f>IF(M55=0,0,$C$4*F$20*M55*AJ55)/10^6</f>
        <v>505.99412748024463</v>
      </c>
      <c r="AR55" s="716"/>
      <c r="AS55" s="764" t="s">
        <v>492</v>
      </c>
      <c r="AT55" s="769"/>
      <c r="AU55" s="445">
        <f>Q55+AF55</f>
        <v>36.202892529805233</v>
      </c>
      <c r="AV55" s="509">
        <f>IF(J55=0,0,BC55/(J55*$C$4*C$20)*10^6)</f>
        <v>36.202892529805219</v>
      </c>
      <c r="AW55" s="490">
        <f>S55+AH55</f>
        <v>36.202892529805226</v>
      </c>
      <c r="AX55" s="509">
        <f t="shared" si="54"/>
        <v>36.202891266491591</v>
      </c>
      <c r="AY55" s="490">
        <f>U55+AJ55</f>
        <v>36.202892529805226</v>
      </c>
      <c r="AZ55" s="741"/>
      <c r="BA55" s="764" t="s">
        <v>492</v>
      </c>
      <c r="BB55" s="769"/>
      <c r="BC55" s="537">
        <v>453.1109231273324</v>
      </c>
      <c r="BD55" s="490">
        <f>Z55+AO55</f>
        <v>543.73310775279901</v>
      </c>
      <c r="BE55" s="537">
        <v>195.86561938166037</v>
      </c>
      <c r="BF55" s="490">
        <f>AB55+AQ55</f>
        <v>508.62728324131513</v>
      </c>
      <c r="BG55" s="719"/>
      <c r="BH55" s="720" t="str">
        <f>BI55</f>
        <v>Tram/métro</v>
      </c>
      <c r="BI55" s="764" t="s">
        <v>492</v>
      </c>
      <c r="BJ55" s="769"/>
      <c r="BK55" s="488">
        <f t="shared" si="55"/>
        <v>3.7007355401698608E-3</v>
      </c>
      <c r="BL55" s="488">
        <f t="shared" si="56"/>
        <v>4.1616330844633214E-3</v>
      </c>
      <c r="BM55" s="488">
        <f t="shared" si="57"/>
        <v>1.8478538069493784E-3</v>
      </c>
      <c r="BN55" s="487">
        <f t="shared" si="58"/>
        <v>3.6875198251306363E-3</v>
      </c>
      <c r="BO55" s="721"/>
      <c r="BP55" s="764" t="s">
        <v>492</v>
      </c>
      <c r="BQ55" s="769"/>
      <c r="BR55" s="445">
        <f t="shared" si="59"/>
        <v>12.515876259177187</v>
      </c>
      <c r="BS55" s="445">
        <f t="shared" si="60"/>
        <v>15.019051511012627</v>
      </c>
      <c r="BT55" s="445">
        <f t="shared" si="61"/>
        <v>5.4102203589178046</v>
      </c>
      <c r="BU55" s="770">
        <f t="shared" si="62"/>
        <v>14.049354836014027</v>
      </c>
      <c r="BV55" s="721"/>
    </row>
    <row r="56" spans="1:74" x14ac:dyDescent="0.35">
      <c r="A56" s="976"/>
      <c r="G56" s="716"/>
      <c r="H56" s="771" t="s">
        <v>7</v>
      </c>
      <c r="I56" s="772"/>
      <c r="J56" s="521">
        <v>12.79370135465051</v>
      </c>
      <c r="K56" s="521">
        <v>13.102314986441938</v>
      </c>
      <c r="L56" s="521">
        <v>10.394149847254866</v>
      </c>
      <c r="M56" s="536">
        <v>13.129915875579512</v>
      </c>
      <c r="N56" s="716"/>
      <c r="O56" s="771" t="s">
        <v>7</v>
      </c>
      <c r="P56" s="772"/>
      <c r="Q56" s="484"/>
      <c r="R56" s="484">
        <f>IF(J56=0,0,Y56/(J56*$C$4*C$20)*10^6)</f>
        <v>79.309320841626914</v>
      </c>
      <c r="S56" s="484">
        <f>IF(K56=0,0,Z56/(K56*$C$4*D$20)*10^6)</f>
        <v>74.963038014612209</v>
      </c>
      <c r="T56" s="484">
        <f t="shared" si="50"/>
        <v>76.776856286864202</v>
      </c>
      <c r="U56" s="484">
        <f>IF(M56=0,0,AB56/(M56*$C$4*F$20)*10^6)</f>
        <v>68.499805547431578</v>
      </c>
      <c r="W56" s="771" t="s">
        <v>7</v>
      </c>
      <c r="X56" s="772"/>
      <c r="Y56" s="534">
        <f>SUM(Y43,Y46,Y52,Y53:Y55)</f>
        <v>268223.88011212071</v>
      </c>
      <c r="Z56" s="484">
        <f t="shared" ref="Z56:AB56" si="81">SUM(Z43,Z46,Z52,Z53:Z55)</f>
        <v>270536.5193213927</v>
      </c>
      <c r="AA56" s="534">
        <f t="shared" si="81"/>
        <v>224790.35376865091</v>
      </c>
      <c r="AB56" s="484">
        <f t="shared" si="81"/>
        <v>260982.48144326505</v>
      </c>
      <c r="AC56" s="716"/>
      <c r="AD56" s="771" t="s">
        <v>7</v>
      </c>
      <c r="AE56" s="772"/>
      <c r="AF56" s="484"/>
      <c r="AG56" s="484">
        <f>IF(J56=0,0,AN56/(J56*$C$4*C$20)*10^6)</f>
        <v>49.743955742324083</v>
      </c>
      <c r="AH56" s="484">
        <f>IF(K56=0,0,AO56/(K56*$C$4*D$20)*10^6)</f>
        <v>47.462230556992992</v>
      </c>
      <c r="AI56" s="484">
        <f t="shared" si="52"/>
        <v>50.288253063456494</v>
      </c>
      <c r="AJ56" s="484">
        <f>IF(M56=0,0,AQ56/(M56*$C$4*F$20)*10^6)</f>
        <v>45.793929507536923</v>
      </c>
      <c r="AK56" s="741"/>
      <c r="AL56" s="771" t="s">
        <v>7</v>
      </c>
      <c r="AM56" s="772"/>
      <c r="AN56" s="484">
        <f>SUM(AN43,AN46,AN52,AN53:AN55)</f>
        <v>168233.90592356093</v>
      </c>
      <c r="AO56" s="484">
        <f>SUM(AO43,AO46,AO52,AO53:AO55)</f>
        <v>171287.97063448033</v>
      </c>
      <c r="AP56" s="484">
        <f>SUM(AP43,AP46,AP52,AP53:AP55)</f>
        <v>147235.96072109413</v>
      </c>
      <c r="AQ56" s="484">
        <f t="shared" ref="AQ56" si="82">SUM(AQ43,AQ46,AQ52,AQ53:AQ55)</f>
        <v>174473.68298935361</v>
      </c>
      <c r="AR56" s="716"/>
      <c r="AS56" s="771" t="s">
        <v>7</v>
      </c>
      <c r="AT56" s="772"/>
      <c r="AU56" s="484"/>
      <c r="AV56" s="484">
        <f>IF(J56=0,0,BC56/(J56*$C$4*C$20)*10^6)</f>
        <v>129.05327658395098</v>
      </c>
      <c r="AW56" s="484">
        <f>IF(K56=0,0,BD56/(K56*$C$4*D$20)*10^6)</f>
        <v>122.4252685716052</v>
      </c>
      <c r="AX56" s="484">
        <f t="shared" si="54"/>
        <v>127.0651093503207</v>
      </c>
      <c r="AY56" s="484">
        <f>IF(M56=0,0,BF56/(M56*$C$4*F$20)*10^6)</f>
        <v>114.29373505496852</v>
      </c>
      <c r="AZ56" s="741"/>
      <c r="BA56" s="773" t="s">
        <v>7</v>
      </c>
      <c r="BB56" s="774"/>
      <c r="BC56" s="535">
        <f t="shared" ref="BC56:BF56" si="83">SUM(BC43,BC46,BC52,BC53:BC55)</f>
        <v>436457.78603568155</v>
      </c>
      <c r="BD56" s="520">
        <f t="shared" si="83"/>
        <v>441824.489955873</v>
      </c>
      <c r="BE56" s="535">
        <f t="shared" si="83"/>
        <v>372026.31448974507</v>
      </c>
      <c r="BF56" s="520">
        <f t="shared" si="83"/>
        <v>435456.16443261871</v>
      </c>
      <c r="BG56" s="719"/>
      <c r="BH56" s="720"/>
      <c r="BI56" s="771" t="s">
        <v>7</v>
      </c>
      <c r="BJ56" s="772"/>
      <c r="BK56" s="482">
        <f t="shared" si="55"/>
        <v>1</v>
      </c>
      <c r="BL56" s="482">
        <f t="shared" si="56"/>
        <v>1</v>
      </c>
      <c r="BM56" s="482">
        <f t="shared" si="57"/>
        <v>1</v>
      </c>
      <c r="BN56" s="781">
        <f t="shared" si="58"/>
        <v>1</v>
      </c>
      <c r="BO56" s="721"/>
      <c r="BP56" s="771" t="s">
        <v>7</v>
      </c>
      <c r="BQ56" s="772"/>
      <c r="BR56" s="484">
        <f t="shared" si="59"/>
        <v>3381.9969363719297</v>
      </c>
      <c r="BS56" s="484">
        <f t="shared" si="60"/>
        <v>3608.9321682594859</v>
      </c>
      <c r="BT56" s="484">
        <f t="shared" si="61"/>
        <v>2927.8400372210917</v>
      </c>
      <c r="BU56" s="782">
        <f t="shared" si="62"/>
        <v>3809.9740482117418</v>
      </c>
      <c r="BV56" s="721"/>
    </row>
    <row r="57" spans="1:74" x14ac:dyDescent="0.35">
      <c r="A57" s="976"/>
      <c r="B57" s="783"/>
      <c r="C57" s="747"/>
      <c r="G57" s="716"/>
      <c r="J57" s="758">
        <f t="shared" ref="J57:M57" si="84">J56/$J56-1</f>
        <v>0</v>
      </c>
      <c r="K57" s="758">
        <f t="shared" si="84"/>
        <v>2.4122310130308522E-2</v>
      </c>
      <c r="L57" s="758">
        <f t="shared" si="84"/>
        <v>-0.18755725500215836</v>
      </c>
      <c r="M57" s="758">
        <f t="shared" si="84"/>
        <v>2.6279691201857469E-2</v>
      </c>
      <c r="N57" s="716"/>
      <c r="V57" s="747"/>
      <c r="Y57" s="758">
        <f>Y56/$Y56-1</f>
        <v>0</v>
      </c>
      <c r="Z57" s="758">
        <f t="shared" ref="Z57:AB57" si="85">Z56/$Y56-1</f>
        <v>8.6220481498713308E-3</v>
      </c>
      <c r="AA57" s="758">
        <f t="shared" si="85"/>
        <v>-0.16193012466046675</v>
      </c>
      <c r="AB57" s="758">
        <f t="shared" si="85"/>
        <v>-2.6997591213089089E-2</v>
      </c>
      <c r="AC57" s="716"/>
      <c r="AK57" s="747"/>
      <c r="AN57" s="758">
        <f>AN56/$AN56-1</f>
        <v>0</v>
      </c>
      <c r="AO57" s="758">
        <f t="shared" ref="AO57:AQ57" si="86">AO56/$AN56-1</f>
        <v>1.815368129363315E-2</v>
      </c>
      <c r="AP57" s="758">
        <f t="shared" si="86"/>
        <v>-0.12481399089674272</v>
      </c>
      <c r="AQ57" s="758">
        <f t="shared" si="86"/>
        <v>3.7089890004859072E-2</v>
      </c>
      <c r="AR57" s="716"/>
      <c r="AZ57" s="747"/>
      <c r="BC57" s="758">
        <f>BC56/$BC56-1</f>
        <v>0</v>
      </c>
      <c r="BD57" s="758">
        <f t="shared" ref="BD57:BF57" si="87">BD56/$BC56-1</f>
        <v>1.2296043493545739E-2</v>
      </c>
      <c r="BE57" s="758">
        <f t="shared" si="87"/>
        <v>-0.14762360440665623</v>
      </c>
      <c r="BF57" s="758">
        <f t="shared" si="87"/>
        <v>-2.294887696151604E-3</v>
      </c>
      <c r="BG57" s="719"/>
      <c r="BH57" s="720" t="str">
        <f>BI57</f>
        <v>TP</v>
      </c>
      <c r="BI57" s="776" t="s">
        <v>600</v>
      </c>
      <c r="BJ57" s="765" t="s">
        <v>404</v>
      </c>
      <c r="BK57" s="777">
        <f>SUM(BK53:BK55)</f>
        <v>0.21884129356232862</v>
      </c>
      <c r="BL57" s="777">
        <f>SUM(BL53:BL55)</f>
        <v>0.21784840594946314</v>
      </c>
      <c r="BM57" s="777">
        <f t="shared" ref="BM57" si="88">SUM(BM53:BM55)</f>
        <v>0.21038968759697416</v>
      </c>
      <c r="BN57" s="778">
        <f>SUM(BN53:BN55)</f>
        <v>0.21663270413003441</v>
      </c>
      <c r="BO57" s="721"/>
      <c r="BP57" s="776" t="s">
        <v>600</v>
      </c>
      <c r="BQ57" s="765" t="s">
        <v>404</v>
      </c>
      <c r="BR57" s="779">
        <f>SUM(BR53:BR55)</f>
        <v>740.12058437946541</v>
      </c>
      <c r="BS57" s="779">
        <f>SUM(BS53:BS55)</f>
        <v>786.20012003506861</v>
      </c>
      <c r="BT57" s="779">
        <f t="shared" ref="BT57" si="89">SUM(BT53:BT55)</f>
        <v>615.98735076485889</v>
      </c>
      <c r="BU57" s="780">
        <f>SUM(BU53:BU55)</f>
        <v>825.36498072936377</v>
      </c>
      <c r="BV57" s="721"/>
    </row>
    <row r="58" spans="1:74" hidden="1" outlineLevel="1" x14ac:dyDescent="0.35">
      <c r="A58" s="976"/>
      <c r="B58" s="741" t="s">
        <v>642</v>
      </c>
      <c r="C58" s="784"/>
      <c r="D58" s="784"/>
      <c r="E58" s="784"/>
      <c r="F58" s="784"/>
      <c r="G58" s="716"/>
      <c r="H58" s="743" t="s">
        <v>632</v>
      </c>
      <c r="I58" s="743"/>
      <c r="J58" s="743"/>
      <c r="K58" s="743"/>
      <c r="L58" s="743"/>
      <c r="M58" s="556" t="s">
        <v>563</v>
      </c>
      <c r="N58" s="716"/>
      <c r="O58" s="743" t="s">
        <v>608</v>
      </c>
      <c r="P58" s="743"/>
      <c r="Q58" s="745"/>
      <c r="R58" s="743"/>
      <c r="S58" s="743"/>
      <c r="T58" s="743"/>
      <c r="U58" s="743"/>
      <c r="V58" s="747"/>
      <c r="W58" s="747" t="s">
        <v>641</v>
      </c>
      <c r="X58" s="747"/>
      <c r="Y58" s="747"/>
      <c r="Z58" s="747"/>
      <c r="AA58" s="747"/>
      <c r="AB58" s="747"/>
      <c r="AC58" s="716"/>
      <c r="AD58" s="743" t="s">
        <v>606</v>
      </c>
      <c r="AE58" s="743"/>
      <c r="AF58" s="745"/>
      <c r="AG58" s="743"/>
      <c r="AH58" s="743"/>
      <c r="AI58" s="743"/>
      <c r="AJ58" s="743"/>
      <c r="AK58" s="747"/>
      <c r="AL58" s="747" t="s">
        <v>847</v>
      </c>
      <c r="AM58" s="747"/>
      <c r="AN58" s="747"/>
      <c r="AO58" s="747"/>
      <c r="AP58" s="747"/>
      <c r="AQ58" s="747"/>
      <c r="AR58" s="716"/>
      <c r="AS58" s="743" t="s">
        <v>605</v>
      </c>
      <c r="AT58" s="743"/>
      <c r="AU58" s="745"/>
      <c r="AV58" s="743"/>
      <c r="AW58" s="743"/>
      <c r="AX58" s="743"/>
      <c r="AY58" s="743"/>
      <c r="AZ58" s="747"/>
      <c r="BA58" s="747" t="s">
        <v>640</v>
      </c>
      <c r="BB58" s="747"/>
      <c r="BC58" s="747"/>
      <c r="BD58" s="747"/>
      <c r="BE58" s="747"/>
      <c r="BF58" s="747"/>
      <c r="BG58" s="719"/>
      <c r="BH58" s="720"/>
      <c r="BI58" s="749" t="s">
        <v>604</v>
      </c>
      <c r="BJ58" s="721"/>
      <c r="BK58" s="721"/>
      <c r="BL58" s="721"/>
      <c r="BM58" s="721"/>
      <c r="BN58" s="750" t="s">
        <v>563</v>
      </c>
      <c r="BO58" s="721"/>
      <c r="BP58" s="749" t="s">
        <v>564</v>
      </c>
      <c r="BQ58" s="721"/>
      <c r="BR58" s="721"/>
      <c r="BS58" s="721"/>
      <c r="BT58" s="721"/>
      <c r="BU58" s="750" t="s">
        <v>563</v>
      </c>
      <c r="BV58" s="721"/>
    </row>
    <row r="59" spans="1:74" hidden="1" outlineLevel="1" x14ac:dyDescent="0.35">
      <c r="A59" s="976"/>
      <c r="C59" s="784"/>
      <c r="D59" s="784"/>
      <c r="E59" s="784"/>
      <c r="F59" s="784"/>
      <c r="G59" s="716"/>
      <c r="H59" s="977" t="s">
        <v>603</v>
      </c>
      <c r="I59" s="978"/>
      <c r="J59" s="728">
        <f t="shared" ref="J59:M59" si="90">J$39</f>
        <v>2015</v>
      </c>
      <c r="K59" s="728">
        <f t="shared" si="90"/>
        <v>2019</v>
      </c>
      <c r="L59" s="728">
        <f t="shared" si="90"/>
        <v>2021</v>
      </c>
      <c r="M59" s="728">
        <f t="shared" si="90"/>
        <v>2023</v>
      </c>
      <c r="N59" s="716"/>
      <c r="O59" s="977" t="s">
        <v>603</v>
      </c>
      <c r="P59" s="978"/>
      <c r="Q59" s="751" t="s">
        <v>602</v>
      </c>
      <c r="R59" s="728">
        <f t="shared" ref="R59:U59" si="91">R$39</f>
        <v>2015</v>
      </c>
      <c r="S59" s="728">
        <f t="shared" si="91"/>
        <v>2019</v>
      </c>
      <c r="T59" s="728">
        <f t="shared" si="91"/>
        <v>2021</v>
      </c>
      <c r="U59" s="728">
        <f t="shared" si="91"/>
        <v>2023</v>
      </c>
      <c r="W59" s="977" t="s">
        <v>603</v>
      </c>
      <c r="X59" s="978"/>
      <c r="Y59" s="728">
        <f t="shared" ref="Y59:AB59" si="92">Y$39</f>
        <v>2015</v>
      </c>
      <c r="Z59" s="728">
        <f t="shared" si="92"/>
        <v>2019</v>
      </c>
      <c r="AA59" s="728">
        <f t="shared" si="92"/>
        <v>2021</v>
      </c>
      <c r="AB59" s="728">
        <f t="shared" si="92"/>
        <v>2023</v>
      </c>
      <c r="AC59" s="716"/>
      <c r="AD59" s="977" t="s">
        <v>603</v>
      </c>
      <c r="AE59" s="978"/>
      <c r="AF59" s="751" t="s">
        <v>602</v>
      </c>
      <c r="AG59" s="728">
        <f t="shared" ref="AG59:AJ59" si="93">AG$39</f>
        <v>2015</v>
      </c>
      <c r="AH59" s="728">
        <f t="shared" si="93"/>
        <v>2019</v>
      </c>
      <c r="AI59" s="728">
        <f t="shared" si="93"/>
        <v>2021</v>
      </c>
      <c r="AJ59" s="728">
        <f t="shared" si="93"/>
        <v>2023</v>
      </c>
      <c r="AL59" s="977" t="s">
        <v>603</v>
      </c>
      <c r="AM59" s="978"/>
      <c r="AN59" s="728">
        <f t="shared" ref="AN59:AQ59" si="94">AN$39</f>
        <v>2015</v>
      </c>
      <c r="AO59" s="728">
        <f t="shared" si="94"/>
        <v>2019</v>
      </c>
      <c r="AP59" s="728">
        <f t="shared" si="94"/>
        <v>2021</v>
      </c>
      <c r="AQ59" s="728">
        <f t="shared" si="94"/>
        <v>2023</v>
      </c>
      <c r="AR59" s="716"/>
      <c r="AS59" s="977" t="s">
        <v>603</v>
      </c>
      <c r="AT59" s="978"/>
      <c r="AU59" s="751" t="s">
        <v>602</v>
      </c>
      <c r="AV59" s="728">
        <f t="shared" ref="AV59:AY59" si="95">AV$39</f>
        <v>2015</v>
      </c>
      <c r="AW59" s="728">
        <f t="shared" si="95"/>
        <v>2019</v>
      </c>
      <c r="AX59" s="728">
        <f t="shared" si="95"/>
        <v>2021</v>
      </c>
      <c r="AY59" s="728">
        <f t="shared" si="95"/>
        <v>2023</v>
      </c>
      <c r="BA59" s="977" t="s">
        <v>603</v>
      </c>
      <c r="BB59" s="978"/>
      <c r="BC59" s="728">
        <f t="shared" ref="BC59:BF59" si="96">BC$39</f>
        <v>2015</v>
      </c>
      <c r="BD59" s="728">
        <f t="shared" si="96"/>
        <v>2019</v>
      </c>
      <c r="BE59" s="728">
        <f t="shared" si="96"/>
        <v>2021</v>
      </c>
      <c r="BF59" s="728">
        <f t="shared" si="96"/>
        <v>2023</v>
      </c>
      <c r="BG59" s="719"/>
      <c r="BH59" s="752" t="s">
        <v>843</v>
      </c>
      <c r="BI59" s="984" t="s">
        <v>603</v>
      </c>
      <c r="BJ59" s="985"/>
      <c r="BK59" s="753">
        <f>R$19</f>
        <v>2015</v>
      </c>
      <c r="BL59" s="753">
        <f>S$19</f>
        <v>2019</v>
      </c>
      <c r="BM59" s="753">
        <f>T$19</f>
        <v>2021</v>
      </c>
      <c r="BN59" s="753">
        <f>U$19</f>
        <v>2023</v>
      </c>
      <c r="BO59" s="721"/>
      <c r="BP59" s="984" t="s">
        <v>603</v>
      </c>
      <c r="BQ59" s="985"/>
      <c r="BR59" s="753">
        <f>Y$19</f>
        <v>2015</v>
      </c>
      <c r="BS59" s="753">
        <f>Z$19</f>
        <v>2019</v>
      </c>
      <c r="BT59" s="753">
        <f>AA$19</f>
        <v>2021</v>
      </c>
      <c r="BU59" s="753">
        <f>AB$19</f>
        <v>2023</v>
      </c>
      <c r="BV59" s="721"/>
    </row>
    <row r="60" spans="1:74" hidden="1" outlineLevel="1" x14ac:dyDescent="0.35">
      <c r="A60" s="976"/>
      <c r="B60" s="785" t="s">
        <v>639</v>
      </c>
      <c r="G60" s="716"/>
      <c r="H60" s="755" t="s">
        <v>559</v>
      </c>
      <c r="I60" s="756" t="s">
        <v>594</v>
      </c>
      <c r="J60" s="528">
        <f t="shared" ref="J60:M75" si="97">J20+J40</f>
        <v>0.34917595114952277</v>
      </c>
      <c r="K60" s="528">
        <f t="shared" si="97"/>
        <v>0.31192346901417606</v>
      </c>
      <c r="L60" s="528">
        <f t="shared" si="97"/>
        <v>0.49405841875678608</v>
      </c>
      <c r="M60" s="555">
        <f t="shared" si="97"/>
        <v>0.49198904337751059</v>
      </c>
      <c r="N60" s="716"/>
      <c r="O60" s="755" t="s">
        <v>559</v>
      </c>
      <c r="P60" s="756" t="s">
        <v>594</v>
      </c>
      <c r="Q60" s="448">
        <f t="shared" ref="Q60:Q75" si="98">Q40</f>
        <v>0</v>
      </c>
      <c r="R60" s="448">
        <f t="shared" ref="R60:R76" si="99">IF(J60=0,0,Y60/(J60*$C$4*C$20)*10^6)</f>
        <v>0</v>
      </c>
      <c r="S60" s="448">
        <f t="shared" ref="S60:S76" si="100">IF(K60=0,0,Z60/(K60*$C$4*D$20)*10^6)</f>
        <v>0</v>
      </c>
      <c r="T60" s="448">
        <f t="shared" ref="T60:T76" si="101">IF(L60=0,0,AA60/(L60*$C$4*E$20)*10^6)</f>
        <v>0</v>
      </c>
      <c r="U60" s="448">
        <f t="shared" ref="U60:U76" si="102">IF(M60=0,0,AB60/(M60*$C$4*F$20)*10^6)</f>
        <v>0</v>
      </c>
      <c r="W60" s="755" t="s">
        <v>559</v>
      </c>
      <c r="X60" s="756" t="s">
        <v>594</v>
      </c>
      <c r="Y60" s="448">
        <f t="shared" ref="Y60:AB72" si="103">Y20+Y40</f>
        <v>0</v>
      </c>
      <c r="Z60" s="448">
        <f t="shared" si="103"/>
        <v>0</v>
      </c>
      <c r="AA60" s="448">
        <f t="shared" si="103"/>
        <v>0</v>
      </c>
      <c r="AB60" s="448">
        <f t="shared" si="103"/>
        <v>0</v>
      </c>
      <c r="AC60" s="716"/>
      <c r="AD60" s="755" t="s">
        <v>559</v>
      </c>
      <c r="AE60" s="756" t="s">
        <v>594</v>
      </c>
      <c r="AF60" s="448">
        <f>AF40</f>
        <v>5.5800314024745088</v>
      </c>
      <c r="AG60" s="511">
        <f t="shared" ref="AG60:AG76" si="104">IF(J60=0,0,AN60/(J60*$C$4*C$20)*10^6)</f>
        <v>5.6223183232309628</v>
      </c>
      <c r="AH60" s="504">
        <f t="shared" ref="AH60:AH76" si="105">IF(K60=0,0,AO60/(K60*$C$4*D$20)*10^6)</f>
        <v>5.5800314024745097</v>
      </c>
      <c r="AI60" s="511">
        <f t="shared" ref="AI60:AI76" si="106">IF(L60=0,0,AP60/(L60*$C$4*E$20)*10^6)</f>
        <v>4.918497278068366</v>
      </c>
      <c r="AJ60" s="504">
        <f t="shared" ref="AJ60:AJ76" si="107">IF(M60=0,0,AQ60/(M60*$C$4*F$20)*10^6)</f>
        <v>5.5800314024745088</v>
      </c>
      <c r="AL60" s="755" t="s">
        <v>559</v>
      </c>
      <c r="AM60" s="756" t="s">
        <v>594</v>
      </c>
      <c r="AN60" s="448">
        <f>AN20+AN40</f>
        <v>518.96343169535828</v>
      </c>
      <c r="AO60" s="448">
        <f t="shared" ref="AO60:AQ60" si="108">AO20+AO40</f>
        <v>479.41915114927957</v>
      </c>
      <c r="AP60" s="448">
        <f t="shared" si="108"/>
        <v>684.49315773421574</v>
      </c>
      <c r="AQ60" s="448">
        <f t="shared" si="108"/>
        <v>796.62172865029549</v>
      </c>
      <c r="AR60" s="716"/>
      <c r="AS60" s="755" t="s">
        <v>559</v>
      </c>
      <c r="AT60" s="756" t="s">
        <v>594</v>
      </c>
      <c r="AU60" s="448">
        <f t="shared" ref="AU60:AU75" si="109">AU40</f>
        <v>5.5800314024745088</v>
      </c>
      <c r="AV60" s="511">
        <f t="shared" ref="AV60:AV76" si="110">IF(J60=0,0,BC60/(J60*$C$4*C$20)*10^6)</f>
        <v>5.6223183232309628</v>
      </c>
      <c r="AW60" s="504">
        <f t="shared" ref="AW60:AW76" si="111">IF(K60=0,0,BD60/(K60*$C$4*D$20)*10^6)</f>
        <v>5.5800314024745097</v>
      </c>
      <c r="AX60" s="511">
        <f t="shared" ref="AX60:AX76" si="112">IF(L60=0,0,BE60/(L60*$C$4*E$20)*10^6)</f>
        <v>4.918497278068366</v>
      </c>
      <c r="AY60" s="448">
        <f t="shared" ref="AY60:AY76" si="113">IF(M60=0,0,BF60/(M60*$C$4*F$20)*10^6)</f>
        <v>5.5800314024745088</v>
      </c>
      <c r="BA60" s="755" t="s">
        <v>559</v>
      </c>
      <c r="BB60" s="756" t="s">
        <v>594</v>
      </c>
      <c r="BC60" s="448">
        <f>BC20+BC40</f>
        <v>518.96343169535828</v>
      </c>
      <c r="BD60" s="448">
        <f t="shared" ref="BD60:BF60" si="114">BD20+BD40</f>
        <v>479.41915114927957</v>
      </c>
      <c r="BE60" s="448">
        <f t="shared" si="114"/>
        <v>684.49315773421574</v>
      </c>
      <c r="BF60" s="448">
        <f t="shared" si="114"/>
        <v>796.62172865029549</v>
      </c>
      <c r="BG60" s="719"/>
      <c r="BH60" s="720" t="str">
        <f>BJ60</f>
        <v>vélo conventionnel</v>
      </c>
      <c r="BI60" s="755" t="s">
        <v>559</v>
      </c>
      <c r="BJ60" s="756" t="s">
        <v>594</v>
      </c>
      <c r="BK60" s="502">
        <f t="shared" ref="BK60:BK76" si="115">J60/J$76</f>
        <v>8.1850195939245675E-3</v>
      </c>
      <c r="BL60" s="502">
        <f t="shared" ref="BL60:BL76" si="116">K60/K$76</f>
        <v>7.1358100898066892E-3</v>
      </c>
      <c r="BM60" s="502">
        <f t="shared" ref="BM60:BM76" si="117">L60/L$76</f>
        <v>1.3889236249284906E-2</v>
      </c>
      <c r="BN60" s="501">
        <f t="shared" ref="BN60:BN76" si="118">M60/M$76</f>
        <v>1.104385957244541E-2</v>
      </c>
      <c r="BO60" s="721"/>
      <c r="BP60" s="755" t="s">
        <v>559</v>
      </c>
      <c r="BQ60" s="756" t="s">
        <v>594</v>
      </c>
      <c r="BR60" s="448">
        <f t="shared" ref="BR60:BR76" si="119">J60*C$20*$C$4/10^6</f>
        <v>92.304170959343139</v>
      </c>
      <c r="BS60" s="448">
        <f t="shared" ref="BS60:BS76" si="120">K60*D$20*$C$4/10^6</f>
        <v>85.916927086947453</v>
      </c>
      <c r="BT60" s="448">
        <f t="shared" ref="BT60:BT76" si="121">L60*E$20*$C$4/10^6</f>
        <v>139.1671315518214</v>
      </c>
      <c r="BU60" s="757">
        <f t="shared" ref="BU60:BU76" si="122">M60*F$20*$C$4/10^6</f>
        <v>142.76294722947748</v>
      </c>
      <c r="BV60" s="721"/>
    </row>
    <row r="61" spans="1:74" hidden="1" outlineLevel="1" x14ac:dyDescent="0.35">
      <c r="A61" s="976"/>
      <c r="B61" s="785" t="s">
        <v>638</v>
      </c>
      <c r="G61" s="716"/>
      <c r="H61" s="759"/>
      <c r="I61" s="760" t="s">
        <v>164</v>
      </c>
      <c r="J61" s="527">
        <f t="shared" si="97"/>
        <v>5.3955675191595533E-2</v>
      </c>
      <c r="K61" s="527">
        <f t="shared" si="97"/>
        <v>9.1208157326942194E-2</v>
      </c>
      <c r="L61" s="527">
        <f t="shared" si="97"/>
        <v>0.18340451590819679</v>
      </c>
      <c r="M61" s="554">
        <f t="shared" si="97"/>
        <v>0.18263632175289141</v>
      </c>
      <c r="N61" s="716"/>
      <c r="O61" s="759"/>
      <c r="P61" s="760" t="s">
        <v>164</v>
      </c>
      <c r="Q61" s="446">
        <f t="shared" si="98"/>
        <v>0</v>
      </c>
      <c r="R61" s="446">
        <f t="shared" si="99"/>
        <v>0</v>
      </c>
      <c r="S61" s="446">
        <f t="shared" si="100"/>
        <v>0</v>
      </c>
      <c r="T61" s="446">
        <f t="shared" si="101"/>
        <v>0</v>
      </c>
      <c r="U61" s="446">
        <f t="shared" si="102"/>
        <v>0</v>
      </c>
      <c r="W61" s="759"/>
      <c r="X61" s="760" t="s">
        <v>164</v>
      </c>
      <c r="Y61" s="446">
        <f t="shared" si="103"/>
        <v>0</v>
      </c>
      <c r="Z61" s="446">
        <f t="shared" si="103"/>
        <v>0</v>
      </c>
      <c r="AA61" s="446">
        <f t="shared" si="103"/>
        <v>0</v>
      </c>
      <c r="AB61" s="446">
        <f t="shared" si="103"/>
        <v>0</v>
      </c>
      <c r="AC61" s="716"/>
      <c r="AD61" s="759"/>
      <c r="AE61" s="760" t="s">
        <v>164</v>
      </c>
      <c r="AF61" s="446">
        <f t="shared" ref="AF61:AF75" si="123">AF41</f>
        <v>10.566031327831809</v>
      </c>
      <c r="AG61" s="510">
        <f t="shared" si="104"/>
        <v>10.646103445216685</v>
      </c>
      <c r="AH61" s="498">
        <f t="shared" si="105"/>
        <v>10.566031327831807</v>
      </c>
      <c r="AI61" s="510">
        <f t="shared" si="106"/>
        <v>9.3133877889790657</v>
      </c>
      <c r="AJ61" s="498">
        <f t="shared" si="107"/>
        <v>10.566031327831809</v>
      </c>
      <c r="AL61" s="759"/>
      <c r="AM61" s="760" t="s">
        <v>164</v>
      </c>
      <c r="AN61" s="446">
        <f t="shared" ref="AN61:AQ76" si="124">AN21+AN41</f>
        <v>151.84650995132253</v>
      </c>
      <c r="AO61" s="446">
        <f t="shared" si="124"/>
        <v>265.44604517851997</v>
      </c>
      <c r="AP61" s="446">
        <f t="shared" si="124"/>
        <v>481.14511756305012</v>
      </c>
      <c r="AQ61" s="446">
        <f t="shared" si="124"/>
        <v>559.96272709793243</v>
      </c>
      <c r="AR61" s="716"/>
      <c r="AS61" s="759"/>
      <c r="AT61" s="760" t="s">
        <v>164</v>
      </c>
      <c r="AU61" s="446">
        <f t="shared" si="109"/>
        <v>10.566031327831809</v>
      </c>
      <c r="AV61" s="510">
        <f t="shared" si="110"/>
        <v>10.646103445216685</v>
      </c>
      <c r="AW61" s="498">
        <f t="shared" si="111"/>
        <v>10.566031327831807</v>
      </c>
      <c r="AX61" s="510">
        <f t="shared" si="112"/>
        <v>9.3133877889790657</v>
      </c>
      <c r="AY61" s="446">
        <f t="shared" si="113"/>
        <v>10.566031327831809</v>
      </c>
      <c r="BA61" s="759"/>
      <c r="BB61" s="760" t="s">
        <v>164</v>
      </c>
      <c r="BC61" s="446">
        <f t="shared" ref="BC61:BF76" si="125">BC21+BC41</f>
        <v>151.84650995132253</v>
      </c>
      <c r="BD61" s="446">
        <f t="shared" si="125"/>
        <v>265.44604517851997</v>
      </c>
      <c r="BE61" s="446">
        <f t="shared" si="125"/>
        <v>481.14511756305012</v>
      </c>
      <c r="BF61" s="446">
        <f t="shared" si="125"/>
        <v>559.96272709793243</v>
      </c>
      <c r="BG61" s="719"/>
      <c r="BH61" s="720" t="str">
        <f>BJ61</f>
        <v>vélo électrique</v>
      </c>
      <c r="BI61" s="759"/>
      <c r="BJ61" s="760" t="s">
        <v>164</v>
      </c>
      <c r="BK61" s="496">
        <f t="shared" si="115"/>
        <v>1.2647728378565417E-3</v>
      </c>
      <c r="BL61" s="496">
        <f t="shared" si="116"/>
        <v>2.086550561210548E-3</v>
      </c>
      <c r="BM61" s="496">
        <f t="shared" si="117"/>
        <v>5.1559664888307056E-3</v>
      </c>
      <c r="BN61" s="495">
        <f t="shared" si="118"/>
        <v>4.0997048967190263E-3</v>
      </c>
      <c r="BO61" s="721"/>
      <c r="BP61" s="759"/>
      <c r="BQ61" s="760" t="s">
        <v>164</v>
      </c>
      <c r="BR61" s="446">
        <f t="shared" si="119"/>
        <v>14.263106753818692</v>
      </c>
      <c r="BS61" s="446">
        <f t="shared" si="120"/>
        <v>25.122587369139527</v>
      </c>
      <c r="BT61" s="446">
        <f t="shared" si="121"/>
        <v>51.661664741632471</v>
      </c>
      <c r="BU61" s="761">
        <f t="shared" si="122"/>
        <v>52.996504527006635</v>
      </c>
      <c r="BV61" s="721"/>
    </row>
    <row r="62" spans="1:74" hidden="1" outlineLevel="1" x14ac:dyDescent="0.35">
      <c r="A62" s="976"/>
      <c r="G62" s="716"/>
      <c r="H62" s="759"/>
      <c r="I62" s="760" t="s">
        <v>593</v>
      </c>
      <c r="J62" s="527">
        <f t="shared" si="97"/>
        <v>2.0000819941506052</v>
      </c>
      <c r="K62" s="527">
        <f t="shared" si="97"/>
        <v>2.0000819941506052</v>
      </c>
      <c r="L62" s="527">
        <f t="shared" si="97"/>
        <v>1.472070303686311</v>
      </c>
      <c r="M62" s="554">
        <f t="shared" si="97"/>
        <v>2.3523467287096005</v>
      </c>
      <c r="N62" s="716"/>
      <c r="O62" s="759"/>
      <c r="P62" s="760" t="s">
        <v>593</v>
      </c>
      <c r="Q62" s="446">
        <f t="shared" si="98"/>
        <v>0</v>
      </c>
      <c r="R62" s="446">
        <f t="shared" si="99"/>
        <v>0</v>
      </c>
      <c r="S62" s="446">
        <f t="shared" si="100"/>
        <v>0</v>
      </c>
      <c r="T62" s="446">
        <f t="shared" si="101"/>
        <v>0</v>
      </c>
      <c r="U62" s="446">
        <f t="shared" si="102"/>
        <v>0</v>
      </c>
      <c r="W62" s="759"/>
      <c r="X62" s="760" t="s">
        <v>593</v>
      </c>
      <c r="Y62" s="446">
        <f t="shared" si="103"/>
        <v>0</v>
      </c>
      <c r="Z62" s="446">
        <f t="shared" si="103"/>
        <v>0</v>
      </c>
      <c r="AA62" s="446">
        <f t="shared" si="103"/>
        <v>0</v>
      </c>
      <c r="AB62" s="446">
        <f t="shared" si="103"/>
        <v>0</v>
      </c>
      <c r="AC62" s="716"/>
      <c r="AD62" s="759"/>
      <c r="AE62" s="760" t="s">
        <v>593</v>
      </c>
      <c r="AF62" s="446">
        <f t="shared" si="123"/>
        <v>0</v>
      </c>
      <c r="AG62" s="510">
        <f t="shared" si="104"/>
        <v>0.68190860180826496</v>
      </c>
      <c r="AH62" s="498">
        <f t="shared" si="105"/>
        <v>0.68190860180826485</v>
      </c>
      <c r="AI62" s="510">
        <f t="shared" si="106"/>
        <v>1.7548411994311501</v>
      </c>
      <c r="AJ62" s="498">
        <f t="shared" si="107"/>
        <v>0.7954753205109818</v>
      </c>
      <c r="AL62" s="759"/>
      <c r="AM62" s="760" t="s">
        <v>593</v>
      </c>
      <c r="AN62" s="446">
        <f t="shared" si="124"/>
        <v>360.53793757547589</v>
      </c>
      <c r="AO62" s="446">
        <f t="shared" si="124"/>
        <v>375.66838893206864</v>
      </c>
      <c r="AP62" s="446">
        <f t="shared" si="124"/>
        <v>727.65370588371911</v>
      </c>
      <c r="AQ62" s="446">
        <f t="shared" si="124"/>
        <v>542.98535966825523</v>
      </c>
      <c r="AR62" s="716"/>
      <c r="AS62" s="759"/>
      <c r="AT62" s="760" t="s">
        <v>593</v>
      </c>
      <c r="AU62" s="446">
        <f t="shared" si="109"/>
        <v>0</v>
      </c>
      <c r="AV62" s="510">
        <f t="shared" si="110"/>
        <v>0.68190860180826496</v>
      </c>
      <c r="AW62" s="498">
        <f t="shared" si="111"/>
        <v>0.68190860180826485</v>
      </c>
      <c r="AX62" s="510">
        <f t="shared" si="112"/>
        <v>1.7548411994311501</v>
      </c>
      <c r="AY62" s="446">
        <f t="shared" si="113"/>
        <v>0.7954753205109818</v>
      </c>
      <c r="BA62" s="759"/>
      <c r="BB62" s="760" t="s">
        <v>593</v>
      </c>
      <c r="BC62" s="446">
        <f t="shared" si="125"/>
        <v>360.53793757547589</v>
      </c>
      <c r="BD62" s="446">
        <f t="shared" si="125"/>
        <v>375.66838893206864</v>
      </c>
      <c r="BE62" s="446">
        <f t="shared" si="125"/>
        <v>727.65370588371911</v>
      </c>
      <c r="BF62" s="446">
        <f t="shared" si="125"/>
        <v>542.98535966825523</v>
      </c>
      <c r="BG62" s="719"/>
      <c r="BH62" s="720" t="s">
        <v>844</v>
      </c>
      <c r="BI62" s="759"/>
      <c r="BJ62" s="760" t="s">
        <v>593</v>
      </c>
      <c r="BK62" s="496">
        <f t="shared" si="115"/>
        <v>4.6883842537506895E-2</v>
      </c>
      <c r="BL62" s="496">
        <f t="shared" si="116"/>
        <v>4.5755471107728478E-2</v>
      </c>
      <c r="BM62" s="496">
        <f t="shared" si="117"/>
        <v>4.1383632880711674E-2</v>
      </c>
      <c r="BN62" s="495">
        <f t="shared" si="118"/>
        <v>5.2803994900423222E-2</v>
      </c>
      <c r="BO62" s="721"/>
      <c r="BP62" s="759"/>
      <c r="BQ62" s="760" t="s">
        <v>593</v>
      </c>
      <c r="BR62" s="446">
        <f t="shared" si="119"/>
        <v>528.71885853824426</v>
      </c>
      <c r="BS62" s="446">
        <f t="shared" si="120"/>
        <v>550.9072446598891</v>
      </c>
      <c r="BT62" s="446">
        <f t="shared" si="121"/>
        <v>414.65501614595985</v>
      </c>
      <c r="BU62" s="761">
        <f t="shared" si="122"/>
        <v>682.59233903003167</v>
      </c>
      <c r="BV62" s="721"/>
    </row>
    <row r="63" spans="1:74" hidden="1" outlineLevel="1" x14ac:dyDescent="0.35">
      <c r="A63" s="976"/>
      <c r="G63" s="716"/>
      <c r="H63" s="764"/>
      <c r="I63" s="765" t="s">
        <v>404</v>
      </c>
      <c r="J63" s="521">
        <f t="shared" si="97"/>
        <v>2.4032136204917234</v>
      </c>
      <c r="K63" s="521">
        <f t="shared" si="97"/>
        <v>2.4032136204917234</v>
      </c>
      <c r="L63" s="521">
        <f t="shared" si="97"/>
        <v>2.1495332383512937</v>
      </c>
      <c r="M63" s="536">
        <f t="shared" si="97"/>
        <v>3.0269720938400027</v>
      </c>
      <c r="N63" s="716"/>
      <c r="O63" s="764"/>
      <c r="P63" s="765" t="s">
        <v>404</v>
      </c>
      <c r="Q63" s="484">
        <f t="shared" si="98"/>
        <v>0</v>
      </c>
      <c r="R63" s="484">
        <f t="shared" si="99"/>
        <v>0</v>
      </c>
      <c r="S63" s="484">
        <f t="shared" si="100"/>
        <v>0</v>
      </c>
      <c r="T63" s="484">
        <f t="shared" si="101"/>
        <v>0</v>
      </c>
      <c r="U63" s="484">
        <f t="shared" si="102"/>
        <v>0</v>
      </c>
      <c r="W63" s="764"/>
      <c r="X63" s="765" t="s">
        <v>404</v>
      </c>
      <c r="Y63" s="484">
        <f t="shared" si="103"/>
        <v>0</v>
      </c>
      <c r="Z63" s="484">
        <f t="shared" si="103"/>
        <v>0</v>
      </c>
      <c r="AA63" s="484">
        <f t="shared" si="103"/>
        <v>0</v>
      </c>
      <c r="AB63" s="484">
        <f t="shared" si="103"/>
        <v>0</v>
      </c>
      <c r="AC63" s="716"/>
      <c r="AD63" s="764"/>
      <c r="AE63" s="765" t="s">
        <v>404</v>
      </c>
      <c r="AF63" s="484">
        <f t="shared" si="123"/>
        <v>0</v>
      </c>
      <c r="AG63" s="484">
        <f t="shared" si="104"/>
        <v>1.6234383537908887</v>
      </c>
      <c r="AH63" s="484">
        <f t="shared" si="105"/>
        <v>1.6927850613791522</v>
      </c>
      <c r="AI63" s="484">
        <f t="shared" si="106"/>
        <v>3.1269076766118049</v>
      </c>
      <c r="AJ63" s="484">
        <f t="shared" si="107"/>
        <v>2.1626526357002387</v>
      </c>
      <c r="AL63" s="764"/>
      <c r="AM63" s="765" t="s">
        <v>404</v>
      </c>
      <c r="AN63" s="484">
        <f t="shared" si="124"/>
        <v>1031.3478792221567</v>
      </c>
      <c r="AO63" s="484">
        <f t="shared" si="124"/>
        <v>1120.5335852598682</v>
      </c>
      <c r="AP63" s="484">
        <f t="shared" si="124"/>
        <v>1893.291981180985</v>
      </c>
      <c r="AQ63" s="484">
        <f t="shared" si="124"/>
        <v>1899.5698154164829</v>
      </c>
      <c r="AR63" s="716"/>
      <c r="AS63" s="764"/>
      <c r="AT63" s="765" t="s">
        <v>404</v>
      </c>
      <c r="AU63" s="484">
        <f t="shared" si="109"/>
        <v>0</v>
      </c>
      <c r="AV63" s="484">
        <f t="shared" si="110"/>
        <v>1.6234383537908887</v>
      </c>
      <c r="AW63" s="484">
        <f t="shared" si="111"/>
        <v>1.6927850613791522</v>
      </c>
      <c r="AX63" s="484">
        <f t="shared" si="112"/>
        <v>3.1269076766118049</v>
      </c>
      <c r="AY63" s="484">
        <f t="shared" si="113"/>
        <v>2.1626526357002387</v>
      </c>
      <c r="BA63" s="764"/>
      <c r="BB63" s="765" t="s">
        <v>404</v>
      </c>
      <c r="BC63" s="484">
        <f t="shared" si="125"/>
        <v>1031.3478792221567</v>
      </c>
      <c r="BD63" s="484">
        <f t="shared" si="125"/>
        <v>1120.5335852598682</v>
      </c>
      <c r="BE63" s="484">
        <f t="shared" si="125"/>
        <v>1893.291981180985</v>
      </c>
      <c r="BF63" s="484">
        <f t="shared" si="125"/>
        <v>1899.5698154164829</v>
      </c>
      <c r="BG63" s="719"/>
      <c r="BH63" s="720"/>
      <c r="BI63" s="764"/>
      <c r="BJ63" s="765" t="s">
        <v>404</v>
      </c>
      <c r="BK63" s="482">
        <f t="shared" si="115"/>
        <v>5.6333634969287998E-2</v>
      </c>
      <c r="BL63" s="482">
        <f t="shared" si="116"/>
        <v>5.497783175874571E-2</v>
      </c>
      <c r="BM63" s="482">
        <f t="shared" si="117"/>
        <v>6.0428835618827281E-2</v>
      </c>
      <c r="BN63" s="481">
        <f t="shared" si="118"/>
        <v>6.7947559369587657E-2</v>
      </c>
      <c r="BO63" s="721"/>
      <c r="BP63" s="764"/>
      <c r="BQ63" s="765" t="s">
        <v>404</v>
      </c>
      <c r="BR63" s="484">
        <f t="shared" si="119"/>
        <v>635.28613625140611</v>
      </c>
      <c r="BS63" s="484">
        <f t="shared" si="120"/>
        <v>661.94675911597596</v>
      </c>
      <c r="BT63" s="484">
        <f t="shared" si="121"/>
        <v>605.48381243941378</v>
      </c>
      <c r="BU63" s="766">
        <f t="shared" si="122"/>
        <v>878.35179078651572</v>
      </c>
      <c r="BV63" s="721"/>
    </row>
    <row r="64" spans="1:74" hidden="1" outlineLevel="1" x14ac:dyDescent="0.35">
      <c r="A64" s="976"/>
      <c r="G64" s="716"/>
      <c r="H64" s="755" t="s">
        <v>558</v>
      </c>
      <c r="I64" s="756" t="s">
        <v>592</v>
      </c>
      <c r="J64" s="505">
        <f t="shared" si="97"/>
        <v>0.74218951649093989</v>
      </c>
      <c r="K64" s="505">
        <f t="shared" si="97"/>
        <v>0.74156971470195421</v>
      </c>
      <c r="L64" s="505">
        <f t="shared" si="97"/>
        <v>0.37038501079971164</v>
      </c>
      <c r="M64" s="550">
        <f t="shared" si="97"/>
        <v>0.71427288453557447</v>
      </c>
      <c r="N64" s="716"/>
      <c r="O64" s="755" t="s">
        <v>558</v>
      </c>
      <c r="P64" s="756" t="s">
        <v>592</v>
      </c>
      <c r="Q64" s="448">
        <f t="shared" si="98"/>
        <v>100.01966209648529</v>
      </c>
      <c r="R64" s="511">
        <f t="shared" si="99"/>
        <v>98.168871075021627</v>
      </c>
      <c r="S64" s="511">
        <f t="shared" si="100"/>
        <v>100.01966209648529</v>
      </c>
      <c r="T64" s="511">
        <f t="shared" si="101"/>
        <v>97.094937289076469</v>
      </c>
      <c r="U64" s="448">
        <f t="shared" si="102"/>
        <v>100.01966209648531</v>
      </c>
      <c r="W64" s="755" t="s">
        <v>558</v>
      </c>
      <c r="X64" s="756" t="s">
        <v>592</v>
      </c>
      <c r="Y64" s="511">
        <f t="shared" si="103"/>
        <v>19260.413799285972</v>
      </c>
      <c r="Z64" s="511">
        <f t="shared" si="103"/>
        <v>20429.985181228461</v>
      </c>
      <c r="AA64" s="511">
        <f t="shared" si="103"/>
        <v>10129.974687401938</v>
      </c>
      <c r="AB64" s="511">
        <f t="shared" si="103"/>
        <v>20730.492532248951</v>
      </c>
      <c r="AC64" s="716"/>
      <c r="AD64" s="755" t="s">
        <v>558</v>
      </c>
      <c r="AE64" s="756" t="s">
        <v>592</v>
      </c>
      <c r="AF64" s="448">
        <f t="shared" si="123"/>
        <v>63.621709980061325</v>
      </c>
      <c r="AG64" s="511">
        <f t="shared" si="104"/>
        <v>62.551824431341423</v>
      </c>
      <c r="AH64" s="511">
        <f t="shared" si="105"/>
        <v>63.621709980061318</v>
      </c>
      <c r="AI64" s="511">
        <f t="shared" si="106"/>
        <v>61.525804132476011</v>
      </c>
      <c r="AJ64" s="511">
        <f t="shared" si="107"/>
        <v>63.621709980061333</v>
      </c>
      <c r="AL64" s="755" t="s">
        <v>558</v>
      </c>
      <c r="AM64" s="756" t="s">
        <v>592</v>
      </c>
      <c r="AN64" s="511">
        <f t="shared" si="124"/>
        <v>12272.464878680548</v>
      </c>
      <c r="AO64" s="511">
        <f t="shared" si="124"/>
        <v>12995.35076256514</v>
      </c>
      <c r="AP64" s="511">
        <f t="shared" si="124"/>
        <v>6419.0250891088417</v>
      </c>
      <c r="AQ64" s="511">
        <f t="shared" si="124"/>
        <v>13186.501093737612</v>
      </c>
      <c r="AR64" s="716"/>
      <c r="AS64" s="755" t="s">
        <v>558</v>
      </c>
      <c r="AT64" s="756" t="s">
        <v>592</v>
      </c>
      <c r="AU64" s="448">
        <f t="shared" si="109"/>
        <v>163.64137207654662</v>
      </c>
      <c r="AV64" s="511">
        <f t="shared" si="110"/>
        <v>160.72069550636306</v>
      </c>
      <c r="AW64" s="511">
        <f t="shared" si="111"/>
        <v>163.64137207654662</v>
      </c>
      <c r="AX64" s="511">
        <f t="shared" si="112"/>
        <v>158.62074142155248</v>
      </c>
      <c r="AY64" s="448">
        <f t="shared" si="113"/>
        <v>163.64137207654665</v>
      </c>
      <c r="BA64" s="755" t="s">
        <v>558</v>
      </c>
      <c r="BB64" s="756" t="s">
        <v>592</v>
      </c>
      <c r="BC64" s="511">
        <f t="shared" si="125"/>
        <v>31532.878677966521</v>
      </c>
      <c r="BD64" s="511">
        <f t="shared" si="125"/>
        <v>33425.335943793601</v>
      </c>
      <c r="BE64" s="511">
        <f t="shared" si="125"/>
        <v>16548.99977651078</v>
      </c>
      <c r="BF64" s="511">
        <f t="shared" si="125"/>
        <v>33916.993625986564</v>
      </c>
      <c r="BG64" s="719"/>
      <c r="BH64" s="720"/>
      <c r="BI64" s="755" t="s">
        <v>558</v>
      </c>
      <c r="BJ64" s="756" t="s">
        <v>592</v>
      </c>
      <c r="BK64" s="502">
        <f t="shared" si="115"/>
        <v>1.739763495992426E-2</v>
      </c>
      <c r="BL64" s="502">
        <f t="shared" si="116"/>
        <v>1.6964740322969348E-2</v>
      </c>
      <c r="BM64" s="502">
        <f t="shared" si="117"/>
        <v>1.0412462824003798E-2</v>
      </c>
      <c r="BN64" s="501">
        <f t="shared" si="118"/>
        <v>1.6033546964913943E-2</v>
      </c>
      <c r="BO64" s="721"/>
      <c r="BP64" s="755" t="s">
        <v>558</v>
      </c>
      <c r="BQ64" s="756" t="s">
        <v>592</v>
      </c>
      <c r="BR64" s="448">
        <f t="shared" si="119"/>
        <v>196.19675349599333</v>
      </c>
      <c r="BS64" s="448">
        <f t="shared" si="120"/>
        <v>204.25969007494152</v>
      </c>
      <c r="BT64" s="448">
        <f t="shared" si="121"/>
        <v>104.3306167163218</v>
      </c>
      <c r="BU64" s="757">
        <f t="shared" si="122"/>
        <v>207.2641728408461</v>
      </c>
      <c r="BV64" s="721"/>
    </row>
    <row r="65" spans="1:74" hidden="1" outlineLevel="1" x14ac:dyDescent="0.35">
      <c r="A65" s="976"/>
      <c r="G65" s="716"/>
      <c r="H65" s="759"/>
      <c r="I65" s="760" t="s">
        <v>544</v>
      </c>
      <c r="J65" s="522">
        <f t="shared" si="97"/>
        <v>5.864631042873757E-3</v>
      </c>
      <c r="K65" s="522">
        <f t="shared" si="97"/>
        <v>6.4844328318594243E-3</v>
      </c>
      <c r="L65" s="522">
        <f t="shared" si="97"/>
        <v>5.1897775048151615E-3</v>
      </c>
      <c r="M65" s="545">
        <f t="shared" si="97"/>
        <v>1.339563609317778E-2</v>
      </c>
      <c r="N65" s="716"/>
      <c r="O65" s="759"/>
      <c r="P65" s="760" t="s">
        <v>544</v>
      </c>
      <c r="Q65" s="446">
        <f t="shared" si="98"/>
        <v>0</v>
      </c>
      <c r="R65" s="510">
        <f t="shared" si="99"/>
        <v>0</v>
      </c>
      <c r="S65" s="510">
        <f t="shared" si="100"/>
        <v>0</v>
      </c>
      <c r="T65" s="510">
        <f t="shared" si="101"/>
        <v>0</v>
      </c>
      <c r="U65" s="446">
        <f t="shared" si="102"/>
        <v>0</v>
      </c>
      <c r="W65" s="759"/>
      <c r="X65" s="760" t="s">
        <v>544</v>
      </c>
      <c r="Y65" s="510">
        <f t="shared" si="103"/>
        <v>0</v>
      </c>
      <c r="Z65" s="510">
        <f t="shared" si="103"/>
        <v>0</v>
      </c>
      <c r="AA65" s="510">
        <f t="shared" si="103"/>
        <v>0</v>
      </c>
      <c r="AB65" s="510">
        <f t="shared" si="103"/>
        <v>0</v>
      </c>
      <c r="AC65" s="716"/>
      <c r="AD65" s="759"/>
      <c r="AE65" s="760" t="s">
        <v>544</v>
      </c>
      <c r="AF65" s="446">
        <f t="shared" si="123"/>
        <v>77.703220130850724</v>
      </c>
      <c r="AG65" s="510">
        <f t="shared" si="104"/>
        <v>76.316370512174629</v>
      </c>
      <c r="AH65" s="510">
        <f t="shared" si="105"/>
        <v>77.703220130850724</v>
      </c>
      <c r="AI65" s="510">
        <f t="shared" si="106"/>
        <v>75.319231509695527</v>
      </c>
      <c r="AJ65" s="510">
        <f t="shared" si="107"/>
        <v>77.703220130850724</v>
      </c>
      <c r="AL65" s="759"/>
      <c r="AM65" s="760" t="s">
        <v>544</v>
      </c>
      <c r="AN65" s="510">
        <f t="shared" si="124"/>
        <v>118.31380016220714</v>
      </c>
      <c r="AO65" s="510">
        <f t="shared" si="124"/>
        <v>138.78473370739414</v>
      </c>
      <c r="AP65" s="510">
        <f t="shared" si="124"/>
        <v>110.10650849020185</v>
      </c>
      <c r="AQ65" s="510">
        <f t="shared" si="124"/>
        <v>302.03858835914298</v>
      </c>
      <c r="AR65" s="716"/>
      <c r="AS65" s="759"/>
      <c r="AT65" s="760" t="s">
        <v>544</v>
      </c>
      <c r="AU65" s="446">
        <f t="shared" si="109"/>
        <v>77.703220130850724</v>
      </c>
      <c r="AV65" s="510">
        <f t="shared" si="110"/>
        <v>76.316370512174629</v>
      </c>
      <c r="AW65" s="510">
        <f t="shared" si="111"/>
        <v>77.703220130850724</v>
      </c>
      <c r="AX65" s="510">
        <f t="shared" si="112"/>
        <v>75.319231509695527</v>
      </c>
      <c r="AY65" s="446">
        <f t="shared" si="113"/>
        <v>77.703220130850724</v>
      </c>
      <c r="BA65" s="759"/>
      <c r="BB65" s="760" t="s">
        <v>544</v>
      </c>
      <c r="BC65" s="510">
        <f t="shared" si="125"/>
        <v>118.31380016220714</v>
      </c>
      <c r="BD65" s="510">
        <f t="shared" si="125"/>
        <v>138.78473370739414</v>
      </c>
      <c r="BE65" s="510">
        <f t="shared" si="125"/>
        <v>110.10650849020185</v>
      </c>
      <c r="BF65" s="510">
        <f t="shared" si="125"/>
        <v>302.03858835914298</v>
      </c>
      <c r="BG65" s="719"/>
      <c r="BH65" s="720"/>
      <c r="BI65" s="759"/>
      <c r="BJ65" s="760" t="s">
        <v>544</v>
      </c>
      <c r="BK65" s="496">
        <f t="shared" si="115"/>
        <v>1.3747258320348838E-4</v>
      </c>
      <c r="BL65" s="496">
        <f t="shared" si="116"/>
        <v>1.4834305791255905E-4</v>
      </c>
      <c r="BM65" s="496">
        <f t="shared" si="117"/>
        <v>1.4589781918297094E-4</v>
      </c>
      <c r="BN65" s="495">
        <f t="shared" si="118"/>
        <v>3.0069678560528523E-4</v>
      </c>
      <c r="BO65" s="721"/>
      <c r="BP65" s="759"/>
      <c r="BQ65" s="760" t="s">
        <v>544</v>
      </c>
      <c r="BR65" s="446">
        <f t="shared" si="119"/>
        <v>1.5503069573170116</v>
      </c>
      <c r="BS65" s="446">
        <f t="shared" si="120"/>
        <v>1.786087287935858</v>
      </c>
      <c r="BT65" s="446">
        <f t="shared" si="121"/>
        <v>1.4618644705108059</v>
      </c>
      <c r="BU65" s="761">
        <f t="shared" si="122"/>
        <v>3.8870794267022113</v>
      </c>
      <c r="BV65" s="721"/>
    </row>
    <row r="66" spans="1:74" hidden="1" outlineLevel="1" x14ac:dyDescent="0.35">
      <c r="A66" s="976"/>
      <c r="G66" s="716"/>
      <c r="H66" s="764"/>
      <c r="I66" s="765" t="s">
        <v>404</v>
      </c>
      <c r="J66" s="523">
        <f t="shared" si="97"/>
        <v>0.74805414753381361</v>
      </c>
      <c r="K66" s="523">
        <f t="shared" si="97"/>
        <v>0.74805414753381361</v>
      </c>
      <c r="L66" s="523">
        <f t="shared" si="97"/>
        <v>0.37557478830452679</v>
      </c>
      <c r="M66" s="551">
        <f t="shared" si="97"/>
        <v>0.72766852062875231</v>
      </c>
      <c r="N66" s="716"/>
      <c r="O66" s="764"/>
      <c r="P66" s="765" t="s">
        <v>404</v>
      </c>
      <c r="Q66" s="484">
        <f t="shared" si="98"/>
        <v>0</v>
      </c>
      <c r="R66" s="484">
        <f t="shared" si="99"/>
        <v>97.399242017220814</v>
      </c>
      <c r="S66" s="484">
        <f t="shared" si="100"/>
        <v>99.152651622887703</v>
      </c>
      <c r="T66" s="484">
        <f t="shared" si="101"/>
        <v>95.753257450424172</v>
      </c>
      <c r="U66" s="484">
        <f t="shared" si="102"/>
        <v>98.178402020469576</v>
      </c>
      <c r="W66" s="764"/>
      <c r="X66" s="765" t="s">
        <v>404</v>
      </c>
      <c r="Y66" s="484">
        <f t="shared" si="103"/>
        <v>19260.413799285972</v>
      </c>
      <c r="Z66" s="484">
        <f t="shared" si="103"/>
        <v>20429.985181228461</v>
      </c>
      <c r="AA66" s="484">
        <f t="shared" si="103"/>
        <v>10129.974687401938</v>
      </c>
      <c r="AB66" s="484">
        <f t="shared" si="103"/>
        <v>20730.492532248951</v>
      </c>
      <c r="AC66" s="716"/>
      <c r="AD66" s="764"/>
      <c r="AE66" s="765" t="s">
        <v>404</v>
      </c>
      <c r="AF66" s="484">
        <f t="shared" si="123"/>
        <v>0</v>
      </c>
      <c r="AG66" s="484">
        <f t="shared" si="104"/>
        <v>62.65973638464434</v>
      </c>
      <c r="AH66" s="484">
        <f t="shared" si="105"/>
        <v>63.743774147534992</v>
      </c>
      <c r="AI66" s="484">
        <f t="shared" si="106"/>
        <v>61.716404836638688</v>
      </c>
      <c r="AJ66" s="484">
        <f t="shared" si="107"/>
        <v>63.880936235251482</v>
      </c>
      <c r="AL66" s="764"/>
      <c r="AM66" s="765" t="s">
        <v>404</v>
      </c>
      <c r="AN66" s="484">
        <f t="shared" si="124"/>
        <v>12390.778678842757</v>
      </c>
      <c r="AO66" s="484">
        <f t="shared" si="124"/>
        <v>13134.135496272535</v>
      </c>
      <c r="AP66" s="484">
        <f t="shared" si="124"/>
        <v>6529.1315975990428</v>
      </c>
      <c r="AQ66" s="484">
        <f t="shared" si="124"/>
        <v>13488.539682096756</v>
      </c>
      <c r="AR66" s="716"/>
      <c r="AS66" s="764"/>
      <c r="AT66" s="765" t="s">
        <v>404</v>
      </c>
      <c r="AU66" s="484">
        <f t="shared" si="109"/>
        <v>0</v>
      </c>
      <c r="AV66" s="484">
        <f t="shared" si="110"/>
        <v>160.05897840186518</v>
      </c>
      <c r="AW66" s="484">
        <f t="shared" si="111"/>
        <v>162.89642577042272</v>
      </c>
      <c r="AX66" s="484">
        <f t="shared" si="112"/>
        <v>157.46966228706287</v>
      </c>
      <c r="AY66" s="484">
        <f t="shared" si="113"/>
        <v>162.05933825572103</v>
      </c>
      <c r="BA66" s="764"/>
      <c r="BB66" s="765" t="s">
        <v>404</v>
      </c>
      <c r="BC66" s="484">
        <f t="shared" si="125"/>
        <v>31651.192478128731</v>
      </c>
      <c r="BD66" s="484">
        <f t="shared" si="125"/>
        <v>33564.120677501</v>
      </c>
      <c r="BE66" s="484">
        <f t="shared" si="125"/>
        <v>16659.106285000984</v>
      </c>
      <c r="BF66" s="484">
        <f t="shared" si="125"/>
        <v>34219.032214345702</v>
      </c>
      <c r="BG66" s="719"/>
      <c r="BH66" s="720" t="s">
        <v>846</v>
      </c>
      <c r="BI66" s="764"/>
      <c r="BJ66" s="765" t="s">
        <v>404</v>
      </c>
      <c r="BK66" s="482">
        <f t="shared" si="115"/>
        <v>1.7535107543127749E-2</v>
      </c>
      <c r="BL66" s="482">
        <f t="shared" si="116"/>
        <v>1.7113083380881907E-2</v>
      </c>
      <c r="BM66" s="482">
        <f t="shared" si="117"/>
        <v>1.0558360643186769E-2</v>
      </c>
      <c r="BN66" s="481">
        <f t="shared" si="118"/>
        <v>1.6334243750519232E-2</v>
      </c>
      <c r="BO66" s="721"/>
      <c r="BP66" s="764"/>
      <c r="BQ66" s="765" t="s">
        <v>404</v>
      </c>
      <c r="BR66" s="484">
        <f t="shared" si="119"/>
        <v>197.74706045331035</v>
      </c>
      <c r="BS66" s="484">
        <f t="shared" si="120"/>
        <v>206.0457773628774</v>
      </c>
      <c r="BT66" s="484">
        <f t="shared" si="121"/>
        <v>105.7924811868326</v>
      </c>
      <c r="BU66" s="766">
        <f t="shared" si="122"/>
        <v>211.15125226754833</v>
      </c>
      <c r="BV66" s="721"/>
    </row>
    <row r="67" spans="1:74" hidden="1" outlineLevel="1" x14ac:dyDescent="0.35">
      <c r="A67" s="976"/>
      <c r="G67" s="716"/>
      <c r="H67" s="755" t="s">
        <v>548</v>
      </c>
      <c r="I67" s="756" t="s">
        <v>173</v>
      </c>
      <c r="J67" s="505">
        <f t="shared" si="97"/>
        <v>22.107951893662872</v>
      </c>
      <c r="K67" s="505">
        <f t="shared" si="97"/>
        <v>22.027216414959721</v>
      </c>
      <c r="L67" s="505">
        <f t="shared" si="97"/>
        <v>17.983433941440552</v>
      </c>
      <c r="M67" s="550">
        <f t="shared" si="97"/>
        <v>19.436701162794268</v>
      </c>
      <c r="N67" s="716"/>
      <c r="O67" s="755" t="s">
        <v>548</v>
      </c>
      <c r="P67" s="756" t="s">
        <v>173</v>
      </c>
      <c r="Q67" s="448">
        <f t="shared" si="98"/>
        <v>112.89178391519464</v>
      </c>
      <c r="R67" s="448">
        <f t="shared" si="99"/>
        <v>123.97582905819145</v>
      </c>
      <c r="S67" s="448">
        <f t="shared" si="100"/>
        <v>117.61438088444201</v>
      </c>
      <c r="T67" s="448">
        <f t="shared" si="101"/>
        <v>119.87895490627304</v>
      </c>
      <c r="U67" s="448">
        <f t="shared" si="102"/>
        <v>115.76027991629988</v>
      </c>
      <c r="W67" s="755" t="s">
        <v>548</v>
      </c>
      <c r="X67" s="756" t="s">
        <v>173</v>
      </c>
      <c r="Y67" s="511">
        <f t="shared" si="103"/>
        <v>724540.27778432495</v>
      </c>
      <c r="Z67" s="511">
        <f t="shared" si="103"/>
        <v>713593.24288154708</v>
      </c>
      <c r="AA67" s="511">
        <f t="shared" si="103"/>
        <v>607258.97738088865</v>
      </c>
      <c r="AB67" s="511">
        <f t="shared" si="103"/>
        <v>652893.28164797509</v>
      </c>
      <c r="AC67" s="716"/>
      <c r="AD67" s="755" t="s">
        <v>548</v>
      </c>
      <c r="AE67" s="756" t="s">
        <v>173</v>
      </c>
      <c r="AF67" s="448">
        <f t="shared" si="123"/>
        <v>73.097234891906908</v>
      </c>
      <c r="AG67" s="448">
        <f t="shared" si="104"/>
        <v>74.094451466819478</v>
      </c>
      <c r="AH67" s="448">
        <f t="shared" si="105"/>
        <v>70.292516714301513</v>
      </c>
      <c r="AI67" s="448">
        <f t="shared" si="106"/>
        <v>73.418426261514739</v>
      </c>
      <c r="AJ67" s="448">
        <f t="shared" si="107"/>
        <v>69.19766066005657</v>
      </c>
      <c r="AL67" s="755" t="s">
        <v>548</v>
      </c>
      <c r="AM67" s="756" t="s">
        <v>173</v>
      </c>
      <c r="AN67" s="511">
        <f t="shared" si="124"/>
        <v>433023.23409225454</v>
      </c>
      <c r="AO67" s="511">
        <f t="shared" si="124"/>
        <v>426480.71243725729</v>
      </c>
      <c r="AP67" s="511">
        <f t="shared" si="124"/>
        <v>371908.46789863554</v>
      </c>
      <c r="AQ67" s="511">
        <f t="shared" si="124"/>
        <v>390277.97603265673</v>
      </c>
      <c r="AR67" s="716"/>
      <c r="AS67" s="755" t="s">
        <v>548</v>
      </c>
      <c r="AT67" s="756" t="s">
        <v>173</v>
      </c>
      <c r="AU67" s="448">
        <f t="shared" si="109"/>
        <v>185.98901880710156</v>
      </c>
      <c r="AV67" s="448">
        <f t="shared" si="110"/>
        <v>198.0702805250109</v>
      </c>
      <c r="AW67" s="448">
        <f t="shared" si="111"/>
        <v>187.90689759874354</v>
      </c>
      <c r="AX67" s="448">
        <f t="shared" si="112"/>
        <v>193.29738116778779</v>
      </c>
      <c r="AY67" s="448">
        <f t="shared" si="113"/>
        <v>184.95794057635644</v>
      </c>
      <c r="BA67" s="755" t="s">
        <v>548</v>
      </c>
      <c r="BB67" s="756" t="s">
        <v>173</v>
      </c>
      <c r="BC67" s="511">
        <f t="shared" si="125"/>
        <v>1157563.5118765794</v>
      </c>
      <c r="BD67" s="511">
        <f t="shared" si="125"/>
        <v>1140073.9553188044</v>
      </c>
      <c r="BE67" s="511">
        <f t="shared" si="125"/>
        <v>979167.4452795242</v>
      </c>
      <c r="BF67" s="511">
        <f t="shared" si="125"/>
        <v>1043171.2576806318</v>
      </c>
      <c r="BG67" s="719"/>
      <c r="BH67" s="720"/>
      <c r="BI67" s="755" t="s">
        <v>548</v>
      </c>
      <c r="BJ67" s="756" t="s">
        <v>173</v>
      </c>
      <c r="BK67" s="502">
        <f t="shared" si="115"/>
        <v>0.51823162172381365</v>
      </c>
      <c r="BL67" s="502">
        <f t="shared" si="116"/>
        <v>0.50391217320387527</v>
      </c>
      <c r="BM67" s="502">
        <f t="shared" si="117"/>
        <v>0.50555997651977236</v>
      </c>
      <c r="BN67" s="501">
        <f t="shared" si="118"/>
        <v>0.43630280202963256</v>
      </c>
      <c r="BO67" s="721"/>
      <c r="BP67" s="755" t="s">
        <v>548</v>
      </c>
      <c r="BQ67" s="756" t="s">
        <v>173</v>
      </c>
      <c r="BR67" s="448">
        <f t="shared" si="119"/>
        <v>5844.2059495665253</v>
      </c>
      <c r="BS67" s="448">
        <f t="shared" si="120"/>
        <v>6067.2278127507525</v>
      </c>
      <c r="BT67" s="448">
        <f t="shared" si="121"/>
        <v>5065.6011962706225</v>
      </c>
      <c r="BU67" s="757">
        <f t="shared" si="122"/>
        <v>5640.0458094956894</v>
      </c>
      <c r="BV67" s="721"/>
    </row>
    <row r="68" spans="1:74" hidden="1" outlineLevel="1" x14ac:dyDescent="0.35">
      <c r="A68" s="976"/>
      <c r="G68" s="716"/>
      <c r="H68" s="759"/>
      <c r="I68" s="760" t="s">
        <v>170</v>
      </c>
      <c r="J68" s="522">
        <f t="shared" si="97"/>
        <v>8.5875120900423081</v>
      </c>
      <c r="K68" s="522">
        <f t="shared" si="97"/>
        <v>8.8814687924138163</v>
      </c>
      <c r="L68" s="522">
        <f t="shared" si="97"/>
        <v>6.8784770323673214</v>
      </c>
      <c r="M68" s="545">
        <f t="shared" si="97"/>
        <v>6.9178781251653163</v>
      </c>
      <c r="N68" s="716"/>
      <c r="O68" s="759"/>
      <c r="P68" s="760" t="s">
        <v>170</v>
      </c>
      <c r="Q68" s="446">
        <f t="shared" si="98"/>
        <v>115.41002524003623</v>
      </c>
      <c r="R68" s="446">
        <f t="shared" si="99"/>
        <v>126.7413186730102</v>
      </c>
      <c r="S68" s="446">
        <f t="shared" si="100"/>
        <v>120.23796768648386</v>
      </c>
      <c r="T68" s="446">
        <f t="shared" si="101"/>
        <v>122.55305684490993</v>
      </c>
      <c r="U68" s="446">
        <f t="shared" si="102"/>
        <v>118.34250787435433</v>
      </c>
      <c r="W68" s="759"/>
      <c r="X68" s="760" t="s">
        <v>170</v>
      </c>
      <c r="Y68" s="510">
        <f t="shared" si="103"/>
        <v>287715.05277622468</v>
      </c>
      <c r="Z68" s="510">
        <f t="shared" si="103"/>
        <v>294142.04303597152</v>
      </c>
      <c r="AA68" s="510">
        <f t="shared" si="103"/>
        <v>237451.44215932136</v>
      </c>
      <c r="AB68" s="510">
        <f t="shared" si="103"/>
        <v>237560.23652715419</v>
      </c>
      <c r="AC68" s="716"/>
      <c r="AD68" s="759"/>
      <c r="AE68" s="760" t="s">
        <v>170</v>
      </c>
      <c r="AF68" s="446">
        <f t="shared" si="123"/>
        <v>73.56325269294247</v>
      </c>
      <c r="AG68" s="446">
        <f t="shared" si="104"/>
        <v>74.56682683631962</v>
      </c>
      <c r="AH68" s="446">
        <f t="shared" si="105"/>
        <v>70.740653557191621</v>
      </c>
      <c r="AI68" s="446">
        <f t="shared" si="106"/>
        <v>73.845848689520267</v>
      </c>
      <c r="AJ68" s="446">
        <f t="shared" si="107"/>
        <v>69.638817452174493</v>
      </c>
      <c r="AL68" s="759"/>
      <c r="AM68" s="760" t="s">
        <v>170</v>
      </c>
      <c r="AN68" s="510">
        <f t="shared" si="124"/>
        <v>169273.90959153697</v>
      </c>
      <c r="AO68" s="510">
        <f t="shared" si="124"/>
        <v>173055.15689742687</v>
      </c>
      <c r="AP68" s="510">
        <f t="shared" si="124"/>
        <v>143079.28109044064</v>
      </c>
      <c r="AQ68" s="510">
        <f t="shared" si="124"/>
        <v>139792.65981902488</v>
      </c>
      <c r="AR68" s="716"/>
      <c r="AS68" s="759"/>
      <c r="AT68" s="760" t="s">
        <v>170</v>
      </c>
      <c r="AU68" s="446">
        <f t="shared" si="109"/>
        <v>188.9732779329787</v>
      </c>
      <c r="AV68" s="446">
        <f t="shared" si="110"/>
        <v>201.30814550932979</v>
      </c>
      <c r="AW68" s="446">
        <f t="shared" si="111"/>
        <v>190.97862124367549</v>
      </c>
      <c r="AX68" s="446">
        <f t="shared" si="112"/>
        <v>196.39890553443018</v>
      </c>
      <c r="AY68" s="446">
        <f t="shared" si="113"/>
        <v>187.98132532652883</v>
      </c>
      <c r="BA68" s="759"/>
      <c r="BB68" s="760" t="s">
        <v>170</v>
      </c>
      <c r="BC68" s="510">
        <f t="shared" si="125"/>
        <v>456988.96236776165</v>
      </c>
      <c r="BD68" s="510">
        <f t="shared" si="125"/>
        <v>467197.1999333984</v>
      </c>
      <c r="BE68" s="510">
        <f t="shared" si="125"/>
        <v>380530.72324976197</v>
      </c>
      <c r="BF68" s="510">
        <f t="shared" si="125"/>
        <v>377352.89634617907</v>
      </c>
      <c r="BG68" s="719"/>
      <c r="BH68" s="720"/>
      <c r="BI68" s="759"/>
      <c r="BJ68" s="760" t="s">
        <v>170</v>
      </c>
      <c r="BK68" s="496">
        <f t="shared" si="115"/>
        <v>0.20129952961726605</v>
      </c>
      <c r="BL68" s="496">
        <f t="shared" si="116"/>
        <v>0.20317956459483161</v>
      </c>
      <c r="BM68" s="496">
        <f t="shared" si="117"/>
        <v>0.19337144942946613</v>
      </c>
      <c r="BN68" s="495">
        <f t="shared" si="118"/>
        <v>0.15528816257600023</v>
      </c>
      <c r="BO68" s="721"/>
      <c r="BP68" s="759"/>
      <c r="BQ68" s="760" t="s">
        <v>170</v>
      </c>
      <c r="BR68" s="446">
        <f t="shared" si="119"/>
        <v>2270.0967276387828</v>
      </c>
      <c r="BS68" s="446">
        <f t="shared" si="120"/>
        <v>2446.3324580047479</v>
      </c>
      <c r="BT68" s="446">
        <f t="shared" si="121"/>
        <v>1937.5399379863252</v>
      </c>
      <c r="BU68" s="761">
        <f t="shared" si="122"/>
        <v>2007.3956585352641</v>
      </c>
      <c r="BV68" s="721"/>
    </row>
    <row r="69" spans="1:74" hidden="1" outlineLevel="1" x14ac:dyDescent="0.35">
      <c r="A69" s="976"/>
      <c r="G69" s="716"/>
      <c r="H69" s="759"/>
      <c r="I69" s="760" t="s">
        <v>545</v>
      </c>
      <c r="J69" s="522">
        <f t="shared" si="97"/>
        <v>0.37263762371930464</v>
      </c>
      <c r="K69" s="522">
        <f t="shared" si="97"/>
        <v>0.82811972237117437</v>
      </c>
      <c r="L69" s="522">
        <f t="shared" si="97"/>
        <v>1.4664461370384962</v>
      </c>
      <c r="M69" s="545">
        <f t="shared" si="97"/>
        <v>2.9104439068733186</v>
      </c>
      <c r="N69" s="716"/>
      <c r="O69" s="759"/>
      <c r="P69" s="760" t="s">
        <v>545</v>
      </c>
      <c r="Q69" s="446">
        <f t="shared" si="98"/>
        <v>82.701369152032839</v>
      </c>
      <c r="R69" s="446">
        <f t="shared" si="99"/>
        <v>90.821231176335516</v>
      </c>
      <c r="S69" s="446">
        <f t="shared" si="100"/>
        <v>86.161011844927089</v>
      </c>
      <c r="T69" s="446">
        <f t="shared" si="101"/>
        <v>87.819975550312762</v>
      </c>
      <c r="U69" s="446">
        <f t="shared" si="102"/>
        <v>84.802749238972936</v>
      </c>
      <c r="W69" s="759"/>
      <c r="X69" s="760" t="s">
        <v>545</v>
      </c>
      <c r="Y69" s="510">
        <f t="shared" si="103"/>
        <v>8946.4571837062758</v>
      </c>
      <c r="Z69" s="510">
        <f t="shared" si="103"/>
        <v>19653.260100183135</v>
      </c>
      <c r="AA69" s="510">
        <f t="shared" si="103"/>
        <v>36275.866878298337</v>
      </c>
      <c r="AB69" s="510">
        <f t="shared" si="103"/>
        <v>71619.162710294011</v>
      </c>
      <c r="AC69" s="716"/>
      <c r="AD69" s="759"/>
      <c r="AE69" s="760" t="s">
        <v>545</v>
      </c>
      <c r="AF69" s="446">
        <f t="shared" si="123"/>
        <v>67.508459862836986</v>
      </c>
      <c r="AG69" s="446">
        <f t="shared" si="104"/>
        <v>68.429432526462236</v>
      </c>
      <c r="AH69" s="446">
        <f t="shared" si="105"/>
        <v>64.918181245602909</v>
      </c>
      <c r="AI69" s="446">
        <f t="shared" si="106"/>
        <v>68.292287208325405</v>
      </c>
      <c r="AJ69" s="446">
        <f t="shared" si="107"/>
        <v>63.907034297255599</v>
      </c>
      <c r="AL69" s="759"/>
      <c r="AM69" s="760" t="s">
        <v>545</v>
      </c>
      <c r="AN69" s="510">
        <f t="shared" si="124"/>
        <v>6740.7254919797615</v>
      </c>
      <c r="AO69" s="510">
        <f t="shared" si="124"/>
        <v>14807.786885638616</v>
      </c>
      <c r="AP69" s="510">
        <f t="shared" si="124"/>
        <v>28209.549183538864</v>
      </c>
      <c r="AQ69" s="510">
        <f t="shared" si="124"/>
        <v>53971.932852903825</v>
      </c>
      <c r="AR69" s="716"/>
      <c r="AS69" s="759"/>
      <c r="AT69" s="760" t="s">
        <v>545</v>
      </c>
      <c r="AU69" s="446">
        <f t="shared" si="109"/>
        <v>150.20982901486983</v>
      </c>
      <c r="AV69" s="446">
        <f t="shared" si="110"/>
        <v>159.25066370279771</v>
      </c>
      <c r="AW69" s="446">
        <f t="shared" si="111"/>
        <v>151.07919309052997</v>
      </c>
      <c r="AX69" s="446">
        <f t="shared" si="112"/>
        <v>156.11226275863814</v>
      </c>
      <c r="AY69" s="446">
        <f t="shared" si="113"/>
        <v>148.70978353622854</v>
      </c>
      <c r="BA69" s="759"/>
      <c r="BB69" s="760" t="s">
        <v>545</v>
      </c>
      <c r="BC69" s="510">
        <f t="shared" si="125"/>
        <v>15687.182675686036</v>
      </c>
      <c r="BD69" s="510">
        <f t="shared" si="125"/>
        <v>34461.046985821748</v>
      </c>
      <c r="BE69" s="510">
        <f t="shared" si="125"/>
        <v>64485.416061837197</v>
      </c>
      <c r="BF69" s="510">
        <f t="shared" si="125"/>
        <v>125591.09556319784</v>
      </c>
      <c r="BG69" s="719"/>
      <c r="BH69" s="720"/>
      <c r="BI69" s="759"/>
      <c r="BJ69" s="760" t="s">
        <v>545</v>
      </c>
      <c r="BK69" s="496">
        <f t="shared" si="115"/>
        <v>8.734983728217639E-3</v>
      </c>
      <c r="BL69" s="496">
        <f t="shared" si="116"/>
        <v>1.8944727336933979E-2</v>
      </c>
      <c r="BM69" s="496">
        <f t="shared" si="117"/>
        <v>4.1225523280083047E-2</v>
      </c>
      <c r="BN69" s="495">
        <f t="shared" si="118"/>
        <v>6.5331808164526273E-2</v>
      </c>
      <c r="BO69" s="721"/>
      <c r="BP69" s="759"/>
      <c r="BQ69" s="760" t="s">
        <v>545</v>
      </c>
      <c r="BR69" s="446">
        <f t="shared" si="119"/>
        <v>98.506231063264579</v>
      </c>
      <c r="BS69" s="446">
        <f t="shared" si="120"/>
        <v>228.09922584886939</v>
      </c>
      <c r="BT69" s="446">
        <f t="shared" si="121"/>
        <v>413.07079227681635</v>
      </c>
      <c r="BU69" s="761">
        <f t="shared" si="122"/>
        <v>844.53821784093623</v>
      </c>
      <c r="BV69" s="721"/>
    </row>
    <row r="70" spans="1:74" hidden="1" outlineLevel="1" x14ac:dyDescent="0.35">
      <c r="A70" s="976"/>
      <c r="G70" s="716"/>
      <c r="H70" s="759"/>
      <c r="I70" s="760" t="s">
        <v>468</v>
      </c>
      <c r="J70" s="522">
        <f t="shared" si="97"/>
        <v>0.10131230292327009</v>
      </c>
      <c r="K70" s="522">
        <f t="shared" si="97"/>
        <v>0.11607503715239745</v>
      </c>
      <c r="L70" s="522">
        <f t="shared" si="97"/>
        <v>9.5236941795310032E-2</v>
      </c>
      <c r="M70" s="545">
        <f t="shared" si="97"/>
        <v>0.10531164341092925</v>
      </c>
      <c r="N70" s="716"/>
      <c r="O70" s="759"/>
      <c r="P70" s="760" t="s">
        <v>468</v>
      </c>
      <c r="Q70" s="446">
        <f t="shared" si="98"/>
        <v>67.289205460210027</v>
      </c>
      <c r="R70" s="446">
        <f t="shared" si="99"/>
        <v>73.895856228680756</v>
      </c>
      <c r="S70" s="446">
        <f t="shared" si="100"/>
        <v>70.104111795715994</v>
      </c>
      <c r="T70" s="446">
        <f t="shared" si="101"/>
        <v>71.453912298021038</v>
      </c>
      <c r="U70" s="446">
        <f t="shared" si="102"/>
        <v>68.998973966704327</v>
      </c>
      <c r="W70" s="759"/>
      <c r="X70" s="760" t="s">
        <v>468</v>
      </c>
      <c r="Y70" s="510">
        <f t="shared" si="103"/>
        <v>1979.061426780454</v>
      </c>
      <c r="Z70" s="510">
        <f t="shared" si="103"/>
        <v>2241.3671682803151</v>
      </c>
      <c r="AA70" s="510">
        <f t="shared" si="103"/>
        <v>1916.8574868783312</v>
      </c>
      <c r="AB70" s="510">
        <f t="shared" si="103"/>
        <v>2108.5266607796675</v>
      </c>
      <c r="AC70" s="716"/>
      <c r="AD70" s="759"/>
      <c r="AE70" s="760" t="s">
        <v>468</v>
      </c>
      <c r="AF70" s="446">
        <f t="shared" si="123"/>
        <v>71.839920915906305</v>
      </c>
      <c r="AG70" s="446">
        <f t="shared" si="104"/>
        <v>72.819984799084466</v>
      </c>
      <c r="AH70" s="446">
        <f t="shared" si="105"/>
        <v>69.08344548467376</v>
      </c>
      <c r="AI70" s="446">
        <f t="shared" si="106"/>
        <v>73.142236147483999</v>
      </c>
      <c r="AJ70" s="446">
        <f t="shared" si="107"/>
        <v>68.00742157668914</v>
      </c>
      <c r="AL70" s="759"/>
      <c r="AM70" s="760" t="s">
        <v>468</v>
      </c>
      <c r="AN70" s="510">
        <f t="shared" si="124"/>
        <v>1950.2476914080671</v>
      </c>
      <c r="AO70" s="510">
        <f t="shared" si="124"/>
        <v>2208.7344467360181</v>
      </c>
      <c r="AP70" s="510">
        <f t="shared" si="124"/>
        <v>1962.1492855641811</v>
      </c>
      <c r="AQ70" s="510">
        <f t="shared" si="124"/>
        <v>2078.2259978898728</v>
      </c>
      <c r="AR70" s="716"/>
      <c r="AS70" s="759"/>
      <c r="AT70" s="760" t="s">
        <v>468</v>
      </c>
      <c r="AU70" s="446">
        <f t="shared" si="109"/>
        <v>139.12912637611635</v>
      </c>
      <c r="AV70" s="446">
        <f t="shared" si="110"/>
        <v>146.71584102776521</v>
      </c>
      <c r="AW70" s="446">
        <f t="shared" si="111"/>
        <v>139.18755728038977</v>
      </c>
      <c r="AX70" s="446">
        <f t="shared" si="112"/>
        <v>144.59614844550507</v>
      </c>
      <c r="AY70" s="446">
        <f t="shared" si="113"/>
        <v>137.00639554339352</v>
      </c>
      <c r="BA70" s="759"/>
      <c r="BB70" s="760" t="s">
        <v>468</v>
      </c>
      <c r="BC70" s="510">
        <f t="shared" si="125"/>
        <v>3929.3091181885211</v>
      </c>
      <c r="BD70" s="510">
        <f t="shared" si="125"/>
        <v>4450.1016150163332</v>
      </c>
      <c r="BE70" s="510">
        <f t="shared" si="125"/>
        <v>3879.0067724425126</v>
      </c>
      <c r="BF70" s="510">
        <f t="shared" si="125"/>
        <v>4186.7526586695412</v>
      </c>
      <c r="BG70" s="719"/>
      <c r="BH70" s="720"/>
      <c r="BI70" s="759"/>
      <c r="BJ70" s="760" t="s">
        <v>468</v>
      </c>
      <c r="BK70" s="496">
        <f t="shared" si="115"/>
        <v>2.3748576664648119E-3</v>
      </c>
      <c r="BL70" s="496">
        <f t="shared" si="116"/>
        <v>2.6554251397131021E-3</v>
      </c>
      <c r="BM70" s="496">
        <f t="shared" si="117"/>
        <v>2.6773521794911993E-3</v>
      </c>
      <c r="BN70" s="495">
        <f t="shared" si="118"/>
        <v>2.36396931360385E-3</v>
      </c>
      <c r="BO70" s="721"/>
      <c r="BP70" s="759"/>
      <c r="BQ70" s="760" t="s">
        <v>468</v>
      </c>
      <c r="BR70" s="446">
        <f t="shared" si="119"/>
        <v>26.781764604715857</v>
      </c>
      <c r="BS70" s="446">
        <f t="shared" si="120"/>
        <v>31.971978688092918</v>
      </c>
      <c r="BT70" s="446">
        <f t="shared" si="121"/>
        <v>26.826487525042349</v>
      </c>
      <c r="BU70" s="761">
        <f t="shared" si="122"/>
        <v>30.558811813595138</v>
      </c>
      <c r="BV70" s="721"/>
    </row>
    <row r="71" spans="1:74" hidden="1" outlineLevel="1" x14ac:dyDescent="0.35">
      <c r="A71" s="976"/>
      <c r="G71" s="716"/>
      <c r="H71" s="759"/>
      <c r="I71" s="760" t="s">
        <v>544</v>
      </c>
      <c r="J71" s="522">
        <f t="shared" si="97"/>
        <v>3.1761522884411905E-2</v>
      </c>
      <c r="K71" s="522">
        <f t="shared" si="97"/>
        <v>0.17653238608617428</v>
      </c>
      <c r="L71" s="522">
        <f t="shared" si="97"/>
        <v>0.42764745188060377</v>
      </c>
      <c r="M71" s="545">
        <f t="shared" si="97"/>
        <v>1.0830825790689713</v>
      </c>
      <c r="N71" s="716"/>
      <c r="O71" s="759"/>
      <c r="P71" s="760" t="s">
        <v>544</v>
      </c>
      <c r="Q71" s="446">
        <f t="shared" si="98"/>
        <v>0</v>
      </c>
      <c r="R71" s="446">
        <f t="shared" si="99"/>
        <v>0</v>
      </c>
      <c r="S71" s="446">
        <f t="shared" si="100"/>
        <v>0</v>
      </c>
      <c r="T71" s="446">
        <f t="shared" si="101"/>
        <v>0</v>
      </c>
      <c r="U71" s="446">
        <f t="shared" si="102"/>
        <v>0</v>
      </c>
      <c r="W71" s="759"/>
      <c r="X71" s="760" t="s">
        <v>544</v>
      </c>
      <c r="Y71" s="510">
        <f t="shared" si="103"/>
        <v>0</v>
      </c>
      <c r="Z71" s="510">
        <f t="shared" si="103"/>
        <v>0</v>
      </c>
      <c r="AA71" s="510">
        <f t="shared" si="103"/>
        <v>0</v>
      </c>
      <c r="AB71" s="510">
        <f t="shared" si="103"/>
        <v>0</v>
      </c>
      <c r="AC71" s="716"/>
      <c r="AD71" s="759"/>
      <c r="AE71" s="760" t="s">
        <v>544</v>
      </c>
      <c r="AF71" s="446">
        <f t="shared" si="123"/>
        <v>89.788876273341828</v>
      </c>
      <c r="AG71" s="446">
        <f t="shared" si="104"/>
        <v>91.0138057223826</v>
      </c>
      <c r="AH71" s="446">
        <f t="shared" si="105"/>
        <v>86.343705005194622</v>
      </c>
      <c r="AI71" s="446">
        <f t="shared" si="106"/>
        <v>93.317093412037522</v>
      </c>
      <c r="AJ71" s="446">
        <f t="shared" si="107"/>
        <v>84.998840251594999</v>
      </c>
      <c r="AL71" s="759"/>
      <c r="AM71" s="760" t="s">
        <v>544</v>
      </c>
      <c r="AN71" s="510">
        <f t="shared" si="124"/>
        <v>764.16227443285652</v>
      </c>
      <c r="AO71" s="510">
        <f t="shared" si="124"/>
        <v>4198.4187711745162</v>
      </c>
      <c r="AP71" s="510">
        <f t="shared" si="124"/>
        <v>11241.013350381605</v>
      </c>
      <c r="AQ71" s="510">
        <f t="shared" si="124"/>
        <v>26713.736908921797</v>
      </c>
      <c r="AR71" s="716"/>
      <c r="AS71" s="759"/>
      <c r="AT71" s="760" t="s">
        <v>544</v>
      </c>
      <c r="AU71" s="446">
        <f t="shared" si="109"/>
        <v>89.788876273341828</v>
      </c>
      <c r="AV71" s="446">
        <f t="shared" si="110"/>
        <v>91.0138057223826</v>
      </c>
      <c r="AW71" s="446">
        <f t="shared" si="111"/>
        <v>86.343705005194622</v>
      </c>
      <c r="AX71" s="446">
        <f t="shared" si="112"/>
        <v>93.317093412037522</v>
      </c>
      <c r="AY71" s="446">
        <f t="shared" si="113"/>
        <v>84.998840251594999</v>
      </c>
      <c r="BA71" s="759"/>
      <c r="BB71" s="760" t="s">
        <v>544</v>
      </c>
      <c r="BC71" s="510">
        <f t="shared" si="125"/>
        <v>764.16227443285652</v>
      </c>
      <c r="BD71" s="510">
        <f t="shared" si="125"/>
        <v>4198.4187711745162</v>
      </c>
      <c r="BE71" s="510">
        <f t="shared" si="125"/>
        <v>11241.013350381605</v>
      </c>
      <c r="BF71" s="510">
        <f t="shared" si="125"/>
        <v>26713.736908921797</v>
      </c>
      <c r="BG71" s="719"/>
      <c r="BH71" s="720"/>
      <c r="BI71" s="759"/>
      <c r="BJ71" s="760" t="s">
        <v>544</v>
      </c>
      <c r="BK71" s="496">
        <f t="shared" si="115"/>
        <v>7.4452059566516989E-4</v>
      </c>
      <c r="BL71" s="496">
        <f t="shared" si="116"/>
        <v>4.0384956790606944E-3</v>
      </c>
      <c r="BM71" s="496">
        <f t="shared" si="117"/>
        <v>1.2022255395466471E-2</v>
      </c>
      <c r="BN71" s="495">
        <f t="shared" si="118"/>
        <v>2.4312354247737894E-2</v>
      </c>
      <c r="BO71" s="721"/>
      <c r="BP71" s="759"/>
      <c r="BQ71" s="760" t="s">
        <v>544</v>
      </c>
      <c r="BR71" s="446">
        <f t="shared" si="119"/>
        <v>8.3961138463296852</v>
      </c>
      <c r="BS71" s="446">
        <f t="shared" si="120"/>
        <v>48.624491744035431</v>
      </c>
      <c r="BT71" s="446">
        <f t="shared" si="121"/>
        <v>120.46038876015358</v>
      </c>
      <c r="BU71" s="761">
        <f t="shared" si="122"/>
        <v>314.28354586779801</v>
      </c>
      <c r="BV71" s="721"/>
    </row>
    <row r="72" spans="1:74" hidden="1" outlineLevel="1" x14ac:dyDescent="0.35">
      <c r="A72" s="976"/>
      <c r="G72" s="716"/>
      <c r="H72" s="767"/>
      <c r="I72" s="765" t="s">
        <v>404</v>
      </c>
      <c r="J72" s="523">
        <f t="shared" si="97"/>
        <v>31.201175433232169</v>
      </c>
      <c r="K72" s="523">
        <f t="shared" si="97"/>
        <v>32.029412352983286</v>
      </c>
      <c r="L72" s="523">
        <f t="shared" si="97"/>
        <v>26.851241504522282</v>
      </c>
      <c r="M72" s="551">
        <f t="shared" si="97"/>
        <v>30.453417417312803</v>
      </c>
      <c r="N72" s="716"/>
      <c r="O72" s="767"/>
      <c r="P72" s="765" t="s">
        <v>404</v>
      </c>
      <c r="Q72" s="509">
        <v>112.96132059627642</v>
      </c>
      <c r="R72" s="484">
        <f t="shared" si="99"/>
        <v>124.0521930537639</v>
      </c>
      <c r="S72" s="484">
        <f t="shared" si="100"/>
        <v>116.70823392940467</v>
      </c>
      <c r="T72" s="484">
        <f t="shared" si="101"/>
        <v>116.73210598993204</v>
      </c>
      <c r="U72" s="484">
        <f t="shared" si="102"/>
        <v>109.10949692028719</v>
      </c>
      <c r="W72" s="767"/>
      <c r="X72" s="765" t="s">
        <v>404</v>
      </c>
      <c r="Y72" s="484">
        <f>Y32+Y52</f>
        <v>1023180.8491710362</v>
      </c>
      <c r="Z72" s="484">
        <f t="shared" si="103"/>
        <v>1029629.913185982</v>
      </c>
      <c r="AA72" s="484">
        <f t="shared" si="103"/>
        <v>882903.14390538668</v>
      </c>
      <c r="AB72" s="484">
        <f t="shared" si="103"/>
        <v>964181.20754620293</v>
      </c>
      <c r="AC72" s="716"/>
      <c r="AD72" s="767"/>
      <c r="AE72" s="765" t="s">
        <v>404</v>
      </c>
      <c r="AF72" s="509">
        <v>73.171658890275523</v>
      </c>
      <c r="AG72" s="484">
        <f t="shared" si="104"/>
        <v>74.169890781907711</v>
      </c>
      <c r="AH72" s="484">
        <f t="shared" si="105"/>
        <v>70.361913297189332</v>
      </c>
      <c r="AI72" s="484">
        <f t="shared" si="106"/>
        <v>73.563898840201745</v>
      </c>
      <c r="AJ72" s="484">
        <f t="shared" si="107"/>
        <v>69.350104436976579</v>
      </c>
      <c r="AL72" s="767"/>
      <c r="AM72" s="765" t="s">
        <v>404</v>
      </c>
      <c r="AN72" s="484">
        <f t="shared" si="124"/>
        <v>611752.27914161223</v>
      </c>
      <c r="AO72" s="484">
        <f t="shared" si="124"/>
        <v>620750.80943823326</v>
      </c>
      <c r="AP72" s="484">
        <f t="shared" si="124"/>
        <v>556400.46080856083</v>
      </c>
      <c r="AQ72" s="484">
        <f t="shared" si="124"/>
        <v>612834.53161139705</v>
      </c>
      <c r="AR72" s="716"/>
      <c r="AS72" s="767"/>
      <c r="AT72" s="765" t="s">
        <v>404</v>
      </c>
      <c r="AU72" s="509">
        <v>186.1329794865519</v>
      </c>
      <c r="AV72" s="484">
        <f t="shared" si="110"/>
        <v>198.22208383567161</v>
      </c>
      <c r="AW72" s="484">
        <f t="shared" si="111"/>
        <v>187.07014722659403</v>
      </c>
      <c r="AX72" s="484">
        <f t="shared" si="112"/>
        <v>190.29600483013377</v>
      </c>
      <c r="AY72" s="484">
        <f t="shared" si="113"/>
        <v>178.45960135726381</v>
      </c>
      <c r="BA72" s="767"/>
      <c r="BB72" s="765" t="s">
        <v>404</v>
      </c>
      <c r="BC72" s="484">
        <f t="shared" si="125"/>
        <v>1634933.1283126483</v>
      </c>
      <c r="BD72" s="484">
        <f t="shared" si="125"/>
        <v>1650380.7226242158</v>
      </c>
      <c r="BE72" s="484">
        <f t="shared" si="125"/>
        <v>1439303.6047139475</v>
      </c>
      <c r="BF72" s="484">
        <f t="shared" si="125"/>
        <v>1577015.7391576003</v>
      </c>
      <c r="BG72" s="719"/>
      <c r="BH72" s="720" t="s">
        <v>548</v>
      </c>
      <c r="BI72" s="767"/>
      <c r="BJ72" s="765" t="s">
        <v>404</v>
      </c>
      <c r="BK72" s="482">
        <f t="shared" si="115"/>
        <v>0.73138551333142743</v>
      </c>
      <c r="BL72" s="482">
        <f t="shared" si="116"/>
        <v>0.73273038595441464</v>
      </c>
      <c r="BM72" s="482">
        <f t="shared" si="117"/>
        <v>0.75485655680427921</v>
      </c>
      <c r="BN72" s="481">
        <f t="shared" si="118"/>
        <v>0.68359909633150084</v>
      </c>
      <c r="BO72" s="721"/>
      <c r="BP72" s="767"/>
      <c r="BQ72" s="765" t="s">
        <v>404</v>
      </c>
      <c r="BR72" s="484">
        <f t="shared" si="119"/>
        <v>8247.986786719619</v>
      </c>
      <c r="BS72" s="484">
        <f t="shared" si="120"/>
        <v>8822.255967036499</v>
      </c>
      <c r="BT72" s="484">
        <f t="shared" si="121"/>
        <v>7563.4988028189591</v>
      </c>
      <c r="BU72" s="766">
        <f t="shared" si="122"/>
        <v>8836.8220435532839</v>
      </c>
      <c r="BV72" s="721"/>
    </row>
    <row r="73" spans="1:74" hidden="1" outlineLevel="1" x14ac:dyDescent="0.35">
      <c r="A73" s="976"/>
      <c r="G73" s="716"/>
      <c r="H73" s="755" t="s">
        <v>591</v>
      </c>
      <c r="I73" s="768"/>
      <c r="J73" s="505">
        <f t="shared" si="97"/>
        <v>6.7767054567391165</v>
      </c>
      <c r="K73" s="505">
        <f t="shared" si="97"/>
        <v>6.8354583841466763</v>
      </c>
      <c r="L73" s="505">
        <f t="shared" si="97"/>
        <v>4.6170986891349735</v>
      </c>
      <c r="M73" s="550">
        <f t="shared" si="97"/>
        <v>7.6206015818602824</v>
      </c>
      <c r="N73" s="716"/>
      <c r="O73" s="755" t="s">
        <v>591</v>
      </c>
      <c r="P73" s="768"/>
      <c r="Q73" s="505">
        <f t="shared" si="98"/>
        <v>5.1828753057843707E-2</v>
      </c>
      <c r="R73" s="506">
        <f t="shared" si="99"/>
        <v>5.1908373786552074E-2</v>
      </c>
      <c r="S73" s="506">
        <f t="shared" si="100"/>
        <v>5.1908373786552067E-2</v>
      </c>
      <c r="T73" s="506">
        <f t="shared" si="101"/>
        <v>5.2040315572193414E-2</v>
      </c>
      <c r="U73" s="506">
        <f t="shared" si="102"/>
        <v>5.1903591619033962E-2</v>
      </c>
      <c r="W73" s="755" t="s">
        <v>591</v>
      </c>
      <c r="X73" s="768"/>
      <c r="Y73" s="504">
        <f t="shared" ref="Y73:AB76" si="126">Y33+Y53</f>
        <v>92.989311949915788</v>
      </c>
      <c r="Z73" s="504">
        <f t="shared" si="126"/>
        <v>97.731766859361471</v>
      </c>
      <c r="AA73" s="504">
        <f t="shared" si="126"/>
        <v>67.681106586579233</v>
      </c>
      <c r="AB73" s="504">
        <f t="shared" si="126"/>
        <v>114.77485205755502</v>
      </c>
      <c r="AC73" s="716"/>
      <c r="AD73" s="755" t="s">
        <v>591</v>
      </c>
      <c r="AE73" s="768"/>
      <c r="AF73" s="448">
        <f t="shared" si="123"/>
        <v>6.9730960686619339</v>
      </c>
      <c r="AG73" s="504">
        <f t="shared" si="104"/>
        <v>6.9743618394571412</v>
      </c>
      <c r="AH73" s="504">
        <f t="shared" si="105"/>
        <v>6.9743618394571421</v>
      </c>
      <c r="AI73" s="504">
        <f t="shared" si="106"/>
        <v>6.9764593933696402</v>
      </c>
      <c r="AJ73" s="504">
        <f t="shared" si="107"/>
        <v>6.9742858149333724</v>
      </c>
      <c r="AL73" s="755" t="s">
        <v>591</v>
      </c>
      <c r="AM73" s="768"/>
      <c r="AN73" s="504">
        <f t="shared" si="124"/>
        <v>12493.959286948157</v>
      </c>
      <c r="AO73" s="504">
        <f t="shared" si="124"/>
        <v>13131.151210582513</v>
      </c>
      <c r="AP73" s="504">
        <f t="shared" si="124"/>
        <v>9073.2442070718043</v>
      </c>
      <c r="AQ73" s="504">
        <f t="shared" si="124"/>
        <v>15422.2973333224</v>
      </c>
      <c r="AR73" s="716"/>
      <c r="AS73" s="755" t="s">
        <v>591</v>
      </c>
      <c r="AT73" s="768"/>
      <c r="AU73" s="448">
        <f t="shared" si="109"/>
        <v>7.0249248217197779</v>
      </c>
      <c r="AV73" s="504">
        <f t="shared" si="110"/>
        <v>7.0262702132436923</v>
      </c>
      <c r="AW73" s="504">
        <f t="shared" si="111"/>
        <v>7.0262702132436932</v>
      </c>
      <c r="AX73" s="504">
        <f t="shared" si="112"/>
        <v>7.0284997089418324</v>
      </c>
      <c r="AY73" s="448">
        <f t="shared" si="113"/>
        <v>7.0261894065524055</v>
      </c>
      <c r="BA73" s="755" t="s">
        <v>591</v>
      </c>
      <c r="BB73" s="768"/>
      <c r="BC73" s="504">
        <f t="shared" si="125"/>
        <v>12586.948598898072</v>
      </c>
      <c r="BD73" s="504">
        <f t="shared" si="125"/>
        <v>13228.882977441874</v>
      </c>
      <c r="BE73" s="504">
        <f t="shared" si="125"/>
        <v>9140.9253136583829</v>
      </c>
      <c r="BF73" s="504">
        <f t="shared" si="125"/>
        <v>15537.072185379955</v>
      </c>
      <c r="BG73" s="719"/>
      <c r="BH73" s="720" t="str">
        <f>BI73</f>
        <v>Train</v>
      </c>
      <c r="BI73" s="755" t="s">
        <v>591</v>
      </c>
      <c r="BJ73" s="768"/>
      <c r="BK73" s="502">
        <f t="shared" si="115"/>
        <v>0.15885248329119073</v>
      </c>
      <c r="BL73" s="502">
        <f t="shared" si="116"/>
        <v>0.15637339844996023</v>
      </c>
      <c r="BM73" s="502">
        <f t="shared" si="117"/>
        <v>0.12979836400931377</v>
      </c>
      <c r="BN73" s="501">
        <f t="shared" si="118"/>
        <v>0.1710624552730993</v>
      </c>
      <c r="BO73" s="721"/>
      <c r="BP73" s="755" t="s">
        <v>591</v>
      </c>
      <c r="BQ73" s="768"/>
      <c r="BR73" s="448">
        <f t="shared" si="119"/>
        <v>1791.4125441935259</v>
      </c>
      <c r="BS73" s="448">
        <f t="shared" si="120"/>
        <v>1882.7745839473955</v>
      </c>
      <c r="BT73" s="448">
        <f t="shared" si="121"/>
        <v>1300.5514252250832</v>
      </c>
      <c r="BU73" s="757">
        <f t="shared" si="122"/>
        <v>2211.3084755287928</v>
      </c>
      <c r="BV73" s="721"/>
    </row>
    <row r="74" spans="1:74" hidden="1" outlineLevel="1" x14ac:dyDescent="0.35">
      <c r="A74" s="976"/>
      <c r="G74" s="716"/>
      <c r="H74" s="759" t="s">
        <v>590</v>
      </c>
      <c r="J74" s="522">
        <f t="shared" si="97"/>
        <v>1.2069664404278322</v>
      </c>
      <c r="K74" s="522">
        <f t="shared" si="97"/>
        <v>1.3228409068735585</v>
      </c>
      <c r="L74" s="522">
        <f t="shared" si="97"/>
        <v>1.3513686969880998</v>
      </c>
      <c r="M74" s="545">
        <f t="shared" si="97"/>
        <v>2.3438587700535045</v>
      </c>
      <c r="N74" s="716"/>
      <c r="O74" s="759" t="s">
        <v>590</v>
      </c>
      <c r="Q74" s="446">
        <f t="shared" si="98"/>
        <v>63.533074223942634</v>
      </c>
      <c r="R74" s="498">
        <f t="shared" si="99"/>
        <v>57.507378369149379</v>
      </c>
      <c r="S74" s="498">
        <f t="shared" si="100"/>
        <v>57.507378369149372</v>
      </c>
      <c r="T74" s="498">
        <f t="shared" si="101"/>
        <v>52.243075465055448</v>
      </c>
      <c r="U74" s="498">
        <f t="shared" si="102"/>
        <v>59.011730446186156</v>
      </c>
      <c r="W74" s="759" t="s">
        <v>590</v>
      </c>
      <c r="Y74" s="498">
        <f t="shared" si="126"/>
        <v>18348.297173521609</v>
      </c>
      <c r="Z74" s="498">
        <f t="shared" si="126"/>
        <v>20953.755372161671</v>
      </c>
      <c r="AA74" s="498">
        <f t="shared" si="126"/>
        <v>19886.619385230395</v>
      </c>
      <c r="AB74" s="498">
        <f t="shared" si="126"/>
        <v>40135.609585633436</v>
      </c>
      <c r="AC74" s="716"/>
      <c r="AD74" s="759" t="s">
        <v>590</v>
      </c>
      <c r="AF74" s="446">
        <f t="shared" si="123"/>
        <v>26.947748950756736</v>
      </c>
      <c r="AG74" s="498">
        <f t="shared" si="104"/>
        <v>25.041514164140079</v>
      </c>
      <c r="AH74" s="498">
        <f t="shared" si="105"/>
        <v>25.041514164140082</v>
      </c>
      <c r="AI74" s="498">
        <f t="shared" si="106"/>
        <v>23.376146831767823</v>
      </c>
      <c r="AJ74" s="498">
        <f t="shared" si="107"/>
        <v>25.51741741741921</v>
      </c>
      <c r="AL74" s="759" t="s">
        <v>590</v>
      </c>
      <c r="AN74" s="498">
        <f t="shared" si="124"/>
        <v>7989.7424745948992</v>
      </c>
      <c r="AO74" s="498">
        <f t="shared" si="124"/>
        <v>9124.2859059873754</v>
      </c>
      <c r="AP74" s="498">
        <f t="shared" si="124"/>
        <v>8898.261264262128</v>
      </c>
      <c r="AQ74" s="498">
        <f t="shared" si="124"/>
        <v>17355.144398504413</v>
      </c>
      <c r="AR74" s="716"/>
      <c r="AS74" s="759" t="s">
        <v>590</v>
      </c>
      <c r="AU74" s="446">
        <f t="shared" si="109"/>
        <v>90.480823174699367</v>
      </c>
      <c r="AV74" s="498">
        <f t="shared" si="110"/>
        <v>82.548892533289461</v>
      </c>
      <c r="AW74" s="498">
        <f t="shared" si="111"/>
        <v>82.548892533289447</v>
      </c>
      <c r="AX74" s="498">
        <f t="shared" si="112"/>
        <v>75.619222296823267</v>
      </c>
      <c r="AY74" s="446">
        <f t="shared" si="113"/>
        <v>84.52914786360536</v>
      </c>
      <c r="BA74" s="759" t="s">
        <v>590</v>
      </c>
      <c r="BC74" s="498">
        <f t="shared" si="125"/>
        <v>26338.039648116508</v>
      </c>
      <c r="BD74" s="498">
        <f t="shared" si="125"/>
        <v>30078.041278149045</v>
      </c>
      <c r="BE74" s="498">
        <f t="shared" si="125"/>
        <v>28784.880649492523</v>
      </c>
      <c r="BF74" s="498">
        <f t="shared" si="125"/>
        <v>57490.753984137846</v>
      </c>
      <c r="BG74" s="719"/>
      <c r="BH74" s="720" t="str">
        <f>BI74</f>
        <v>Bus</v>
      </c>
      <c r="BI74" s="759" t="s">
        <v>590</v>
      </c>
      <c r="BK74" s="496">
        <f t="shared" si="115"/>
        <v>2.8292452362736829E-2</v>
      </c>
      <c r="BL74" s="496">
        <f t="shared" si="116"/>
        <v>3.0262363778880544E-2</v>
      </c>
      <c r="BM74" s="496">
        <f t="shared" si="117"/>
        <v>3.7990404332318081E-2</v>
      </c>
      <c r="BN74" s="495">
        <f t="shared" si="118"/>
        <v>5.2613462560899722E-2</v>
      </c>
      <c r="BO74" s="721"/>
      <c r="BP74" s="759" t="s">
        <v>590</v>
      </c>
      <c r="BR74" s="446">
        <f t="shared" si="119"/>
        <v>319.05987881660769</v>
      </c>
      <c r="BS74" s="446">
        <f t="shared" si="120"/>
        <v>364.36638160856597</v>
      </c>
      <c r="BT74" s="446">
        <f t="shared" si="121"/>
        <v>380.6556028373987</v>
      </c>
      <c r="BU74" s="761">
        <f t="shared" si="122"/>
        <v>680.12934516864925</v>
      </c>
      <c r="BV74" s="721"/>
    </row>
    <row r="75" spans="1:74" hidden="1" outlineLevel="1" x14ac:dyDescent="0.35">
      <c r="A75" s="976"/>
      <c r="G75" s="716"/>
      <c r="H75" s="764" t="s">
        <v>492</v>
      </c>
      <c r="I75" s="769"/>
      <c r="J75" s="491">
        <f t="shared" si="97"/>
        <v>0.32425329076075565</v>
      </c>
      <c r="K75" s="491">
        <f t="shared" si="97"/>
        <v>0.37343236582224254</v>
      </c>
      <c r="L75" s="491">
        <f t="shared" si="97"/>
        <v>0.22649959639287093</v>
      </c>
      <c r="M75" s="541">
        <f t="shared" si="97"/>
        <v>0.37613239823150352</v>
      </c>
      <c r="N75" s="716"/>
      <c r="O75" s="764" t="s">
        <v>492</v>
      </c>
      <c r="P75" s="769"/>
      <c r="Q75" s="491">
        <f t="shared" si="98"/>
        <v>0.18742182767857141</v>
      </c>
      <c r="R75" s="492">
        <f t="shared" si="99"/>
        <v>0.18742182767857096</v>
      </c>
      <c r="S75" s="492">
        <f t="shared" si="100"/>
        <v>0.18742182767857099</v>
      </c>
      <c r="T75" s="492">
        <f t="shared" si="101"/>
        <v>0.18742182712397434</v>
      </c>
      <c r="U75" s="492">
        <f t="shared" si="102"/>
        <v>0.18742182767857102</v>
      </c>
      <c r="W75" s="764" t="s">
        <v>492</v>
      </c>
      <c r="X75" s="769"/>
      <c r="Y75" s="490">
        <f t="shared" si="126"/>
        <v>16.065030785847867</v>
      </c>
      <c r="Z75" s="490">
        <f t="shared" si="126"/>
        <v>19.27803694301744</v>
      </c>
      <c r="AA75" s="490">
        <f t="shared" si="126"/>
        <v>11.957653693443294</v>
      </c>
      <c r="AB75" s="490">
        <f t="shared" si="126"/>
        <v>20.456012747964781</v>
      </c>
      <c r="AC75" s="716"/>
      <c r="AD75" s="764" t="s">
        <v>492</v>
      </c>
      <c r="AE75" s="769"/>
      <c r="AF75" s="445">
        <f t="shared" si="123"/>
        <v>36.015470702126663</v>
      </c>
      <c r="AG75" s="490">
        <f t="shared" si="104"/>
        <v>36.015470702126628</v>
      </c>
      <c r="AH75" s="490">
        <f t="shared" si="105"/>
        <v>36.015470702126628</v>
      </c>
      <c r="AI75" s="490">
        <f t="shared" si="106"/>
        <v>36.015470595553872</v>
      </c>
      <c r="AJ75" s="490">
        <f t="shared" si="107"/>
        <v>36.015470702126628</v>
      </c>
      <c r="AL75" s="764" t="s">
        <v>492</v>
      </c>
      <c r="AM75" s="769"/>
      <c r="AN75" s="490">
        <f t="shared" si="124"/>
        <v>3087.098513353254</v>
      </c>
      <c r="AO75" s="490">
        <f t="shared" si="124"/>
        <v>3704.5182160239046</v>
      </c>
      <c r="AP75" s="490">
        <f t="shared" si="124"/>
        <v>2297.8141425499666</v>
      </c>
      <c r="AQ75" s="490">
        <f t="shared" si="124"/>
        <v>3930.8811408570486</v>
      </c>
      <c r="AR75" s="716"/>
      <c r="AS75" s="764" t="s">
        <v>492</v>
      </c>
      <c r="AT75" s="769"/>
      <c r="AU75" s="445">
        <f t="shared" si="109"/>
        <v>36.202892529805233</v>
      </c>
      <c r="AV75" s="490">
        <f t="shared" si="110"/>
        <v>36.202892529805197</v>
      </c>
      <c r="AW75" s="490">
        <f t="shared" si="111"/>
        <v>36.202892529805197</v>
      </c>
      <c r="AX75" s="490">
        <f t="shared" si="112"/>
        <v>36.202892422677856</v>
      </c>
      <c r="AY75" s="445">
        <f t="shared" si="113"/>
        <v>36.202892529805197</v>
      </c>
      <c r="BA75" s="764" t="s">
        <v>492</v>
      </c>
      <c r="BB75" s="769"/>
      <c r="BC75" s="490">
        <f t="shared" si="125"/>
        <v>3103.1635441391018</v>
      </c>
      <c r="BD75" s="490">
        <f t="shared" si="125"/>
        <v>3723.7962529669221</v>
      </c>
      <c r="BE75" s="490">
        <f t="shared" si="125"/>
        <v>2309.7717962434103</v>
      </c>
      <c r="BF75" s="490">
        <f t="shared" si="125"/>
        <v>3951.3371536050136</v>
      </c>
      <c r="BG75" s="719"/>
      <c r="BH75" s="720" t="str">
        <f>BI75</f>
        <v>Tram/métro</v>
      </c>
      <c r="BI75" s="764" t="s">
        <v>492</v>
      </c>
      <c r="BJ75" s="769"/>
      <c r="BK75" s="488">
        <f t="shared" si="115"/>
        <v>7.6008085022293264E-3</v>
      </c>
      <c r="BL75" s="488">
        <f t="shared" si="116"/>
        <v>8.5429366771168982E-3</v>
      </c>
      <c r="BM75" s="488">
        <f t="shared" si="117"/>
        <v>6.3674785920750055E-3</v>
      </c>
      <c r="BN75" s="487">
        <f t="shared" si="118"/>
        <v>8.4431827143931909E-3</v>
      </c>
      <c r="BO75" s="721"/>
      <c r="BP75" s="764" t="s">
        <v>492</v>
      </c>
      <c r="BQ75" s="769"/>
      <c r="BR75" s="445">
        <f t="shared" si="119"/>
        <v>85.715900782909031</v>
      </c>
      <c r="BS75" s="445">
        <f t="shared" si="120"/>
        <v>102.85908093949084</v>
      </c>
      <c r="BT75" s="445">
        <f t="shared" si="121"/>
        <v>63.800752969576166</v>
      </c>
      <c r="BU75" s="770">
        <f t="shared" si="122"/>
        <v>109.14423896797605</v>
      </c>
      <c r="BV75" s="721"/>
    </row>
    <row r="76" spans="1:74" hidden="1" outlineLevel="1" x14ac:dyDescent="0.35">
      <c r="A76" s="976"/>
      <c r="G76" s="716"/>
      <c r="H76" s="771" t="s">
        <v>7</v>
      </c>
      <c r="I76" s="772"/>
      <c r="J76" s="521">
        <f t="shared" ref="J76:M76" si="127">J36+J56</f>
        <v>42.660368389185408</v>
      </c>
      <c r="K76" s="521">
        <f t="shared" si="127"/>
        <v>43.712411777851301</v>
      </c>
      <c r="L76" s="521">
        <f t="shared" si="127"/>
        <v>35.571316513694043</v>
      </c>
      <c r="M76" s="536">
        <f t="shared" si="127"/>
        <v>44.548650781926852</v>
      </c>
      <c r="N76" s="716"/>
      <c r="O76" s="771" t="s">
        <v>7</v>
      </c>
      <c r="P76" s="772"/>
      <c r="Q76" s="484"/>
      <c r="R76" s="484">
        <f t="shared" si="99"/>
        <v>94.074578174423536</v>
      </c>
      <c r="S76" s="484">
        <f t="shared" si="100"/>
        <v>88.962504311608527</v>
      </c>
      <c r="T76" s="484">
        <f t="shared" si="101"/>
        <v>91.119676733770703</v>
      </c>
      <c r="U76" s="484">
        <f t="shared" si="102"/>
        <v>79.306096108571751</v>
      </c>
      <c r="W76" s="771" t="s">
        <v>7</v>
      </c>
      <c r="X76" s="772"/>
      <c r="Y76" s="484">
        <f t="shared" si="126"/>
        <v>1060898.6144865798</v>
      </c>
      <c r="Z76" s="484">
        <f t="shared" si="126"/>
        <v>1071130.6635431745</v>
      </c>
      <c r="AA76" s="484">
        <f t="shared" si="126"/>
        <v>912999.37673829892</v>
      </c>
      <c r="AB76" s="484">
        <f t="shared" si="126"/>
        <v>1025182.5405288909</v>
      </c>
      <c r="AC76" s="716"/>
      <c r="AD76" s="771" t="s">
        <v>7</v>
      </c>
      <c r="AE76" s="772"/>
      <c r="AF76" s="484"/>
      <c r="AG76" s="484">
        <f t="shared" si="104"/>
        <v>57.527110283081186</v>
      </c>
      <c r="AH76" s="484">
        <f t="shared" si="105"/>
        <v>54.896328020717334</v>
      </c>
      <c r="AI76" s="484">
        <f t="shared" si="106"/>
        <v>58.393700857172348</v>
      </c>
      <c r="AJ76" s="484">
        <f t="shared" si="107"/>
        <v>51.437745816354429</v>
      </c>
      <c r="AL76" s="771" t="s">
        <v>7</v>
      </c>
      <c r="AM76" s="772"/>
      <c r="AN76" s="484">
        <f t="shared" si="124"/>
        <v>648745.20597457339</v>
      </c>
      <c r="AO76" s="484">
        <f t="shared" si="124"/>
        <v>660965.43385235942</v>
      </c>
      <c r="AP76" s="484">
        <f t="shared" si="124"/>
        <v>585092.20400122483</v>
      </c>
      <c r="AQ76" s="484">
        <f t="shared" si="124"/>
        <v>664930.96398159419</v>
      </c>
      <c r="AR76" s="716"/>
      <c r="AS76" s="771" t="s">
        <v>7</v>
      </c>
      <c r="AT76" s="772"/>
      <c r="AU76" s="484"/>
      <c r="AV76" s="484">
        <f t="shared" si="110"/>
        <v>151.60168845750465</v>
      </c>
      <c r="AW76" s="484">
        <f t="shared" si="111"/>
        <v>143.85883233232587</v>
      </c>
      <c r="AX76" s="484">
        <f t="shared" si="112"/>
        <v>149.51337759094307</v>
      </c>
      <c r="AY76" s="484">
        <f t="shared" si="113"/>
        <v>130.74384192492619</v>
      </c>
      <c r="BA76" s="771" t="s">
        <v>7</v>
      </c>
      <c r="BB76" s="772"/>
      <c r="BC76" s="484">
        <f t="shared" si="125"/>
        <v>1709643.8204611524</v>
      </c>
      <c r="BD76" s="484">
        <f t="shared" si="125"/>
        <v>1732096.0973955344</v>
      </c>
      <c r="BE76" s="484">
        <f t="shared" si="125"/>
        <v>1498091.580739524</v>
      </c>
      <c r="BF76" s="484">
        <f t="shared" si="125"/>
        <v>1690113.5045104853</v>
      </c>
      <c r="BG76" s="719"/>
      <c r="BH76" s="720"/>
      <c r="BI76" s="771" t="s">
        <v>7</v>
      </c>
      <c r="BJ76" s="772"/>
      <c r="BK76" s="482">
        <f t="shared" si="115"/>
        <v>1</v>
      </c>
      <c r="BL76" s="482">
        <f t="shared" si="116"/>
        <v>1</v>
      </c>
      <c r="BM76" s="482">
        <f t="shared" si="117"/>
        <v>1</v>
      </c>
      <c r="BN76" s="481">
        <f t="shared" si="118"/>
        <v>1</v>
      </c>
      <c r="BO76" s="721"/>
      <c r="BP76" s="771" t="s">
        <v>7</v>
      </c>
      <c r="BQ76" s="772"/>
      <c r="BR76" s="484">
        <f t="shared" si="119"/>
        <v>11277.208307217379</v>
      </c>
      <c r="BS76" s="484">
        <f t="shared" si="120"/>
        <v>12040.248550010805</v>
      </c>
      <c r="BT76" s="484">
        <f t="shared" si="121"/>
        <v>10019.782877477262</v>
      </c>
      <c r="BU76" s="766">
        <f t="shared" si="122"/>
        <v>12926.907146272766</v>
      </c>
      <c r="BV76" s="721"/>
    </row>
    <row r="77" spans="1:74" hidden="1" outlineLevel="1" x14ac:dyDescent="0.35">
      <c r="A77" s="786"/>
      <c r="B77" s="783"/>
      <c r="C77" s="747"/>
      <c r="G77" s="716"/>
      <c r="J77" s="758">
        <f t="shared" ref="J77:L77" si="128">J76/$J76-1</f>
        <v>0</v>
      </c>
      <c r="K77" s="758">
        <f t="shared" si="128"/>
        <v>2.4660907263346354E-2</v>
      </c>
      <c r="L77" s="758">
        <f t="shared" si="128"/>
        <v>-0.16617418327987221</v>
      </c>
      <c r="M77" s="758">
        <f>M76/$J76-1</f>
        <v>4.4263152524021132E-2</v>
      </c>
      <c r="N77" s="716"/>
      <c r="V77" s="747"/>
      <c r="Y77" s="758">
        <f>Y76/$Y76-1</f>
        <v>0</v>
      </c>
      <c r="Z77" s="758">
        <f t="shared" ref="Z77:AB77" si="129">Z76/$Y76-1</f>
        <v>9.6447001785806563E-3</v>
      </c>
      <c r="AA77" s="758">
        <f t="shared" si="129"/>
        <v>-0.13940939853131629</v>
      </c>
      <c r="AB77" s="758">
        <f t="shared" si="129"/>
        <v>-3.3665869169763774E-2</v>
      </c>
      <c r="AC77" s="716"/>
      <c r="AK77" s="747"/>
      <c r="AN77" s="758">
        <f>AN76/$AN76-1</f>
        <v>0</v>
      </c>
      <c r="AO77" s="758">
        <f t="shared" ref="AO77:AQ77" si="130">AO76/$AN76-1</f>
        <v>1.8836713959879292E-2</v>
      </c>
      <c r="AP77" s="758">
        <f t="shared" si="130"/>
        <v>-9.8117105740652466E-2</v>
      </c>
      <c r="AQ77" s="758">
        <f t="shared" si="130"/>
        <v>2.4949329656634323E-2</v>
      </c>
      <c r="AR77" s="716"/>
      <c r="AZ77" s="747"/>
      <c r="BC77" s="758">
        <f>BC76/$BC76-1</f>
        <v>0</v>
      </c>
      <c r="BD77" s="758">
        <f t="shared" ref="BD77:BF77" si="131">BD76/$BC76-1</f>
        <v>1.3132721953936555E-2</v>
      </c>
      <c r="BE77" s="758">
        <f t="shared" si="131"/>
        <v>-0.12374053425032416</v>
      </c>
      <c r="BF77" s="758">
        <f t="shared" si="131"/>
        <v>-1.1423616847513252E-2</v>
      </c>
      <c r="BG77" s="719"/>
      <c r="BH77" s="720" t="str">
        <f>BI77</f>
        <v>TP</v>
      </c>
      <c r="BI77" s="776" t="s">
        <v>600</v>
      </c>
      <c r="BJ77" s="765" t="s">
        <v>404</v>
      </c>
      <c r="BK77" s="777">
        <f>SUM(BK73:BK75)</f>
        <v>0.19474574415615689</v>
      </c>
      <c r="BL77" s="777">
        <f>SUM(BL73:BL75)</f>
        <v>0.19517869890595765</v>
      </c>
      <c r="BM77" s="777">
        <f t="shared" ref="BM77" si="132">SUM(BM73:BM75)</f>
        <v>0.17415624693370688</v>
      </c>
      <c r="BN77" s="778">
        <f>SUM(BN73:BN75)</f>
        <v>0.23211910054839219</v>
      </c>
      <c r="BO77" s="721"/>
      <c r="BP77" s="776" t="s">
        <v>600</v>
      </c>
      <c r="BQ77" s="765" t="s">
        <v>404</v>
      </c>
      <c r="BR77" s="779">
        <f>SUM(BR73:BR75)</f>
        <v>2196.1883237930429</v>
      </c>
      <c r="BS77" s="779">
        <f>SUM(BS73:BS75)</f>
        <v>2350.0000464954524</v>
      </c>
      <c r="BT77" s="779">
        <f t="shared" ref="BT77" si="133">SUM(BT73:BT75)</f>
        <v>1745.0077810320581</v>
      </c>
      <c r="BU77" s="780">
        <f>SUM(BU73:BU75)</f>
        <v>3000.582059665418</v>
      </c>
      <c r="BV77" s="721"/>
    </row>
    <row r="78" spans="1:74" collapsed="1" x14ac:dyDescent="0.35">
      <c r="A78" s="787"/>
      <c r="B78" s="787"/>
      <c r="C78" s="716"/>
      <c r="D78" s="717"/>
      <c r="E78" s="717"/>
      <c r="F78" s="717"/>
      <c r="G78" s="716"/>
      <c r="H78" s="717"/>
      <c r="I78" s="717"/>
      <c r="J78" s="717"/>
      <c r="K78" s="717"/>
      <c r="L78" s="717"/>
      <c r="M78" s="717"/>
      <c r="N78" s="716"/>
      <c r="O78" s="717"/>
      <c r="P78" s="717"/>
      <c r="Q78" s="718"/>
      <c r="R78" s="717"/>
      <c r="S78" s="717"/>
      <c r="T78" s="717"/>
      <c r="U78" s="717"/>
      <c r="V78" s="716"/>
      <c r="W78" s="717"/>
      <c r="X78" s="717"/>
      <c r="Y78" s="519"/>
      <c r="Z78" s="519"/>
      <c r="AA78" s="519"/>
      <c r="AB78" s="519"/>
      <c r="AC78" s="716"/>
      <c r="AD78" s="717"/>
      <c r="AE78" s="717"/>
      <c r="AF78" s="718"/>
      <c r="AG78" s="717"/>
      <c r="AH78" s="717"/>
      <c r="AI78" s="717"/>
      <c r="AJ78" s="717"/>
      <c r="AK78" s="716"/>
      <c r="AL78" s="717"/>
      <c r="AM78" s="717"/>
      <c r="AN78" s="519"/>
      <c r="AO78" s="519"/>
      <c r="AP78" s="519"/>
      <c r="AQ78" s="519"/>
      <c r="AR78" s="716"/>
      <c r="AS78" s="717"/>
      <c r="AT78" s="717"/>
      <c r="AU78" s="718"/>
      <c r="AV78" s="717"/>
      <c r="AW78" s="717"/>
      <c r="AX78" s="717"/>
      <c r="AY78" s="717"/>
      <c r="AZ78" s="716"/>
      <c r="BA78" s="717"/>
      <c r="BB78" s="717"/>
      <c r="BC78" s="519"/>
      <c r="BD78" s="519"/>
      <c r="BE78" s="519"/>
      <c r="BF78" s="519"/>
      <c r="BG78" s="719"/>
      <c r="BH78" s="720"/>
      <c r="BI78" s="721"/>
      <c r="BJ78" s="721"/>
      <c r="BK78" s="721"/>
      <c r="BL78" s="721"/>
      <c r="BM78" s="721"/>
      <c r="BN78" s="721"/>
      <c r="BO78" s="721"/>
      <c r="BP78" s="721"/>
      <c r="BQ78" s="721"/>
      <c r="BR78" s="721"/>
      <c r="BS78" s="721"/>
      <c r="BT78" s="721"/>
      <c r="BU78" s="721"/>
      <c r="BV78" s="721"/>
    </row>
    <row r="79" spans="1:74" x14ac:dyDescent="0.35">
      <c r="A79" s="976" t="s">
        <v>637</v>
      </c>
      <c r="B79" s="741" t="s">
        <v>637</v>
      </c>
      <c r="G79" s="716"/>
      <c r="H79" s="743" t="s">
        <v>632</v>
      </c>
      <c r="I79" s="743"/>
      <c r="J79" s="743"/>
      <c r="K79" s="743"/>
      <c r="L79" s="743"/>
      <c r="M79" s="744" t="s">
        <v>563</v>
      </c>
      <c r="N79" s="743"/>
      <c r="O79" s="743" t="s">
        <v>631</v>
      </c>
      <c r="P79" s="743"/>
      <c r="Q79" s="745"/>
      <c r="R79" s="743"/>
      <c r="S79" s="743"/>
      <c r="T79" s="743"/>
      <c r="U79" s="743"/>
      <c r="V79" s="741"/>
      <c r="W79" s="746" t="s">
        <v>630</v>
      </c>
      <c r="X79" s="746"/>
      <c r="Y79" s="746"/>
      <c r="Z79" s="746"/>
      <c r="AA79" s="746"/>
      <c r="AB79" s="746"/>
      <c r="AC79" s="716"/>
      <c r="AD79" s="747" t="s">
        <v>629</v>
      </c>
      <c r="AE79" s="747"/>
      <c r="AF79" s="748"/>
      <c r="AG79" s="747"/>
      <c r="AH79" s="747"/>
      <c r="AI79" s="747"/>
      <c r="AJ79" s="747"/>
      <c r="AK79" s="747"/>
      <c r="AL79" s="747" t="s">
        <v>842</v>
      </c>
      <c r="AM79" s="747"/>
      <c r="AN79" s="747"/>
      <c r="AO79" s="747"/>
      <c r="AP79" s="747"/>
      <c r="AQ79" s="747"/>
      <c r="AR79" s="716"/>
      <c r="AS79" s="747" t="s">
        <v>628</v>
      </c>
      <c r="AT79" s="747"/>
      <c r="AU79" s="748"/>
      <c r="AV79" s="747"/>
      <c r="AW79" s="747"/>
      <c r="AX79" s="747"/>
      <c r="AY79" s="747"/>
      <c r="AZ79" s="747"/>
      <c r="BA79" s="747" t="s">
        <v>617</v>
      </c>
      <c r="BB79" s="747"/>
      <c r="BC79" s="747"/>
      <c r="BD79" s="747"/>
      <c r="BE79" s="747"/>
      <c r="BF79" s="747"/>
      <c r="BG79" s="719"/>
      <c r="BH79" s="720"/>
      <c r="BI79" s="749" t="s">
        <v>604</v>
      </c>
      <c r="BJ79" s="721"/>
      <c r="BK79" s="721"/>
      <c r="BL79" s="721"/>
      <c r="BM79" s="721"/>
      <c r="BN79" s="750" t="s">
        <v>563</v>
      </c>
      <c r="BO79" s="721"/>
      <c r="BP79" s="749" t="s">
        <v>564</v>
      </c>
      <c r="BQ79" s="721"/>
      <c r="BR79" s="721"/>
      <c r="BS79" s="721"/>
      <c r="BT79" s="721"/>
      <c r="BU79" s="750" t="s">
        <v>563</v>
      </c>
      <c r="BV79" s="721"/>
    </row>
    <row r="80" spans="1:74" ht="14.5" x14ac:dyDescent="0.35">
      <c r="A80" s="976"/>
      <c r="B80" s="722" t="s">
        <v>636</v>
      </c>
      <c r="C80" s="728">
        <v>2015</v>
      </c>
      <c r="D80" s="728">
        <v>2019</v>
      </c>
      <c r="E80" s="728">
        <v>2021</v>
      </c>
      <c r="F80" s="728">
        <v>2023</v>
      </c>
      <c r="G80" s="716"/>
      <c r="H80" s="977" t="s">
        <v>635</v>
      </c>
      <c r="I80" s="978"/>
      <c r="J80" s="728">
        <v>2015</v>
      </c>
      <c r="K80" s="728">
        <v>2019</v>
      </c>
      <c r="L80" s="728">
        <v>2021</v>
      </c>
      <c r="M80" s="728">
        <v>2023</v>
      </c>
      <c r="N80" s="716"/>
      <c r="O80" s="977" t="s">
        <v>635</v>
      </c>
      <c r="P80" s="978"/>
      <c r="Q80" s="751" t="s">
        <v>602</v>
      </c>
      <c r="R80" s="728">
        <v>2015</v>
      </c>
      <c r="S80" s="728">
        <v>2019</v>
      </c>
      <c r="T80" s="728">
        <v>2021</v>
      </c>
      <c r="U80" s="728">
        <v>2023</v>
      </c>
      <c r="V80" s="741"/>
      <c r="W80" s="977" t="s">
        <v>635</v>
      </c>
      <c r="X80" s="978"/>
      <c r="Y80" s="728">
        <v>2015</v>
      </c>
      <c r="Z80" s="728">
        <v>2019</v>
      </c>
      <c r="AA80" s="728">
        <v>2021</v>
      </c>
      <c r="AB80" s="728">
        <v>2023</v>
      </c>
      <c r="AC80" s="716"/>
      <c r="AD80" s="977" t="s">
        <v>635</v>
      </c>
      <c r="AE80" s="978"/>
      <c r="AF80" s="751" t="s">
        <v>602</v>
      </c>
      <c r="AG80" s="728">
        <f>AG$39</f>
        <v>2015</v>
      </c>
      <c r="AH80" s="728">
        <f t="shared" ref="AH80:AJ80" si="134">AH$39</f>
        <v>2019</v>
      </c>
      <c r="AI80" s="728">
        <f t="shared" si="134"/>
        <v>2021</v>
      </c>
      <c r="AJ80" s="728">
        <f t="shared" si="134"/>
        <v>2023</v>
      </c>
      <c r="AK80" s="747"/>
      <c r="AL80" s="977" t="s">
        <v>635</v>
      </c>
      <c r="AM80" s="978"/>
      <c r="AN80" s="728">
        <v>2015</v>
      </c>
      <c r="AO80" s="728">
        <v>2019</v>
      </c>
      <c r="AP80" s="728">
        <v>2021</v>
      </c>
      <c r="AQ80" s="728">
        <v>2023</v>
      </c>
      <c r="AR80" s="716"/>
      <c r="AS80" s="977" t="s">
        <v>635</v>
      </c>
      <c r="AT80" s="978"/>
      <c r="AU80" s="751" t="s">
        <v>602</v>
      </c>
      <c r="AV80" s="728">
        <v>2015</v>
      </c>
      <c r="AW80" s="728">
        <v>2019</v>
      </c>
      <c r="AX80" s="728">
        <v>2021</v>
      </c>
      <c r="AY80" s="728">
        <v>2023</v>
      </c>
      <c r="AZ80" s="747"/>
      <c r="BA80" s="977" t="s">
        <v>635</v>
      </c>
      <c r="BB80" s="978"/>
      <c r="BC80" s="728">
        <v>2015</v>
      </c>
      <c r="BD80" s="728">
        <v>2019</v>
      </c>
      <c r="BE80" s="728">
        <v>2021</v>
      </c>
      <c r="BF80" s="728">
        <v>2023</v>
      </c>
      <c r="BG80" s="719"/>
      <c r="BH80" s="752" t="s">
        <v>843</v>
      </c>
      <c r="BI80" s="984" t="s">
        <v>635</v>
      </c>
      <c r="BJ80" s="985"/>
      <c r="BK80" s="753">
        <f>R$19</f>
        <v>2015</v>
      </c>
      <c r="BL80" s="753">
        <f>S$19</f>
        <v>2019</v>
      </c>
      <c r="BM80" s="753">
        <f>T$19</f>
        <v>2021</v>
      </c>
      <c r="BN80" s="753">
        <f>U$19</f>
        <v>2023</v>
      </c>
      <c r="BO80" s="721"/>
      <c r="BP80" s="984" t="s">
        <v>635</v>
      </c>
      <c r="BQ80" s="985"/>
      <c r="BR80" s="753">
        <f>Y$19</f>
        <v>2015</v>
      </c>
      <c r="BS80" s="753">
        <f>Z$19</f>
        <v>2019</v>
      </c>
      <c r="BT80" s="753">
        <f>AA$19</f>
        <v>2021</v>
      </c>
      <c r="BU80" s="753">
        <f>AB$19</f>
        <v>2023</v>
      </c>
      <c r="BV80" s="721"/>
    </row>
    <row r="81" spans="1:74" x14ac:dyDescent="0.35">
      <c r="A81" s="976"/>
      <c r="B81" s="754" t="s">
        <v>635</v>
      </c>
      <c r="C81" s="529">
        <v>7095372</v>
      </c>
      <c r="D81" s="529">
        <v>7326013</v>
      </c>
      <c r="E81" s="529">
        <v>7438758</v>
      </c>
      <c r="F81" s="529">
        <v>7646474</v>
      </c>
      <c r="G81" s="716"/>
      <c r="H81" s="755" t="s">
        <v>559</v>
      </c>
      <c r="I81" s="756" t="s">
        <v>594</v>
      </c>
      <c r="J81" s="528">
        <v>2.9707895684317007E-3</v>
      </c>
      <c r="K81" s="528">
        <v>2.6538453889670454E-3</v>
      </c>
      <c r="L81" s="528">
        <v>4.8349633681123473E-3</v>
      </c>
      <c r="M81" s="555">
        <v>3.8790308484287755E-3</v>
      </c>
      <c r="N81" s="716"/>
      <c r="O81" s="755" t="s">
        <v>559</v>
      </c>
      <c r="P81" s="756" t="s">
        <v>594</v>
      </c>
      <c r="Q81" s="448">
        <v>0</v>
      </c>
      <c r="R81" s="542">
        <f t="shared" ref="R81:R87" si="135">IF(J81=0,0,Y81/(J81*$C$4*C$81)*10^6)</f>
        <v>0</v>
      </c>
      <c r="S81" s="448">
        <f t="shared" ref="S81:U83" si="136">$Q81</f>
        <v>0</v>
      </c>
      <c r="T81" s="542">
        <f t="shared" ref="T81:T97" si="137">IF(L81=0,0,AA81/(L81*$C$4*E$81)*10^6)</f>
        <v>0</v>
      </c>
      <c r="U81" s="448">
        <f t="shared" si="136"/>
        <v>0</v>
      </c>
      <c r="V81" s="741"/>
      <c r="W81" s="755" t="s">
        <v>559</v>
      </c>
      <c r="X81" s="756" t="s">
        <v>594</v>
      </c>
      <c r="Y81" s="546">
        <v>0</v>
      </c>
      <c r="Z81" s="448">
        <f>IF(K81=0,0,$C$4*D$81*K81*S81)/10^6</f>
        <v>0</v>
      </c>
      <c r="AA81" s="546">
        <v>0</v>
      </c>
      <c r="AB81" s="448">
        <f>IF(M81=0,0,$C$4*F$81*M81*U81)/10^6</f>
        <v>0</v>
      </c>
      <c r="AC81" s="716"/>
      <c r="AD81" s="755" t="s">
        <v>559</v>
      </c>
      <c r="AE81" s="756" t="s">
        <v>594</v>
      </c>
      <c r="AF81" s="448">
        <v>5.5800314024745088</v>
      </c>
      <c r="AG81" s="546">
        <v>5.5800314024745088</v>
      </c>
      <c r="AH81" s="504">
        <f>$AG81</f>
        <v>5.5800314024745088</v>
      </c>
      <c r="AI81" s="546">
        <f t="shared" ref="AI81:AI97" si="138">IF(L81=0,0,AP81/(L81*$C$4*E$81)*10^6)</f>
        <v>5.54919254235684</v>
      </c>
      <c r="AJ81" s="504">
        <f t="shared" ref="AJ81:AJ83" si="139">$AG81</f>
        <v>5.5800314024745088</v>
      </c>
      <c r="AK81" s="747"/>
      <c r="AL81" s="755" t="s">
        <v>559</v>
      </c>
      <c r="AM81" s="756" t="s">
        <v>594</v>
      </c>
      <c r="AN81" s="543">
        <f>BC81-Y81</f>
        <v>43.178625411927953</v>
      </c>
      <c r="AO81" s="448">
        <f>IF(K81=0,0,$C$4*D$81*K81*AH81)/10^6</f>
        <v>39.625081656488881</v>
      </c>
      <c r="AP81" s="543">
        <f>BE81-AA81</f>
        <v>72.89766824681891</v>
      </c>
      <c r="AQ81" s="448">
        <f>IF(M81=0,0,$C$4*F$81*M81*AJ81)/10^6</f>
        <v>60.452089569098931</v>
      </c>
      <c r="AR81" s="716"/>
      <c r="AS81" s="755" t="s">
        <v>559</v>
      </c>
      <c r="AT81" s="756" t="s">
        <v>594</v>
      </c>
      <c r="AU81" s="448">
        <f>Q81+AF81</f>
        <v>5.5800314024745088</v>
      </c>
      <c r="AV81" s="546">
        <f t="shared" ref="AV81:AV87" si="140">IF(J81=0,0,BC81/(J81*$C$4*C$81)*10^6)</f>
        <v>5.6083037561553217</v>
      </c>
      <c r="AW81" s="448">
        <f>S81+AH81</f>
        <v>5.5800314024745088</v>
      </c>
      <c r="AX81" s="546">
        <f t="shared" ref="AX81:AX97" si="141">IF(L81=0,0,BE81/(L81*$C$4*E$81)*10^6)</f>
        <v>5.54919254235684</v>
      </c>
      <c r="AY81" s="448">
        <f>U81+AJ81</f>
        <v>5.5800314024745088</v>
      </c>
      <c r="AZ81" s="747"/>
      <c r="BA81" s="755" t="s">
        <v>559</v>
      </c>
      <c r="BB81" s="756" t="s">
        <v>594</v>
      </c>
      <c r="BC81" s="547">
        <v>43.178625411927953</v>
      </c>
      <c r="BD81" s="504">
        <f>Z81+AO81</f>
        <v>39.625081656488881</v>
      </c>
      <c r="BE81" s="547">
        <v>72.89766824681891</v>
      </c>
      <c r="BF81" s="504">
        <f>AB81+AQ81</f>
        <v>60.452089569098931</v>
      </c>
      <c r="BG81" s="719"/>
      <c r="BH81" s="720" t="str">
        <f>BJ81</f>
        <v>vélo conventionnel</v>
      </c>
      <c r="BI81" s="755" t="s">
        <v>559</v>
      </c>
      <c r="BJ81" s="756" t="s">
        <v>594</v>
      </c>
      <c r="BK81" s="502">
        <f t="shared" ref="BK81:BK97" si="142">J81/J$97</f>
        <v>3.5739371834091118E-3</v>
      </c>
      <c r="BL81" s="502">
        <f t="shared" ref="BL81:BL97" si="143">K81/K$97</f>
        <v>3.1203775951148672E-3</v>
      </c>
      <c r="BM81" s="502">
        <f t="shared" ref="BM81:BM97" si="144">L81/L$97</f>
        <v>6.2786960545168557E-3</v>
      </c>
      <c r="BN81" s="501">
        <f t="shared" ref="BN81:BN97" si="145">M81/M$97</f>
        <v>4.4495525995669159E-3</v>
      </c>
      <c r="BO81" s="721"/>
      <c r="BP81" s="755" t="s">
        <v>559</v>
      </c>
      <c r="BQ81" s="756" t="s">
        <v>594</v>
      </c>
      <c r="BR81" s="448">
        <f t="shared" ref="BR81:BR97" si="146">J81*C$81*$C$4/10^6</f>
        <v>7.6990525637164025</v>
      </c>
      <c r="BS81" s="448">
        <f t="shared" ref="BS81:BS97" si="147">K81*D$81*$C$4/10^6</f>
        <v>7.1012291505952518</v>
      </c>
      <c r="BT81" s="448">
        <f t="shared" ref="BT81:BT97" si="148">L81*E$81*$C$4/10^6</f>
        <v>13.136626219110786</v>
      </c>
      <c r="BU81" s="757">
        <f t="shared" ref="BU81:BU97" si="149">M81*F$81*$C$4/10^6</f>
        <v>10.833646839745557</v>
      </c>
      <c r="BV81" s="721"/>
    </row>
    <row r="82" spans="1:74" x14ac:dyDescent="0.35">
      <c r="A82" s="976"/>
      <c r="C82" s="758">
        <f>C81/$C81-1</f>
        <v>0</v>
      </c>
      <c r="D82" s="758">
        <f t="shared" ref="D82:F82" si="150">D81/$C81-1</f>
        <v>3.2505836198581273E-2</v>
      </c>
      <c r="E82" s="758">
        <f t="shared" si="150"/>
        <v>4.8395771215378192E-2</v>
      </c>
      <c r="F82" s="758">
        <f t="shared" si="150"/>
        <v>7.7670628122105567E-2</v>
      </c>
      <c r="G82" s="716"/>
      <c r="H82" s="759"/>
      <c r="I82" s="760" t="s">
        <v>164</v>
      </c>
      <c r="J82" s="527">
        <v>4.5905497354324377E-4</v>
      </c>
      <c r="K82" s="527">
        <v>7.759991530078993E-4</v>
      </c>
      <c r="L82" s="527">
        <v>1.7948365664810964E-3</v>
      </c>
      <c r="M82" s="554">
        <v>1.4399750068812478E-3</v>
      </c>
      <c r="N82" s="716"/>
      <c r="O82" s="759"/>
      <c r="P82" s="760" t="s">
        <v>164</v>
      </c>
      <c r="Q82" s="446">
        <v>0</v>
      </c>
      <c r="R82" s="542">
        <f t="shared" si="135"/>
        <v>0</v>
      </c>
      <c r="S82" s="446">
        <f t="shared" si="136"/>
        <v>0</v>
      </c>
      <c r="T82" s="542">
        <f t="shared" si="137"/>
        <v>0</v>
      </c>
      <c r="U82" s="446">
        <f t="shared" si="136"/>
        <v>0</v>
      </c>
      <c r="V82" s="741"/>
      <c r="W82" s="759"/>
      <c r="X82" s="760" t="s">
        <v>164</v>
      </c>
      <c r="Y82" s="542">
        <v>0</v>
      </c>
      <c r="Z82" s="446">
        <f>IF(K82=0,0,$C$4*D$81*K82*S82)/10^6</f>
        <v>0</v>
      </c>
      <c r="AA82" s="542">
        <v>0</v>
      </c>
      <c r="AB82" s="446">
        <f>IF(M82=0,0,$C$4*F$81*M82*U82)/10^6</f>
        <v>0</v>
      </c>
      <c r="AC82" s="716"/>
      <c r="AD82" s="759"/>
      <c r="AE82" s="760" t="s">
        <v>164</v>
      </c>
      <c r="AF82" s="446">
        <v>10.566031327831809</v>
      </c>
      <c r="AG82" s="542">
        <v>10.566031327831809</v>
      </c>
      <c r="AH82" s="498">
        <f t="shared" ref="AH82:AH83" si="151">$AG82</f>
        <v>10.566031327831809</v>
      </c>
      <c r="AI82" s="542">
        <f t="shared" si="138"/>
        <v>10.507636609484269</v>
      </c>
      <c r="AJ82" s="498">
        <f t="shared" si="139"/>
        <v>10.566031327831809</v>
      </c>
      <c r="AK82" s="747"/>
      <c r="AL82" s="759"/>
      <c r="AM82" s="760" t="s">
        <v>164</v>
      </c>
      <c r="AN82" s="543">
        <f>BC82-Y82</f>
        <v>12.633883570327468</v>
      </c>
      <c r="AO82" s="446">
        <f>IF(K82=0,0,$C$4*D$81*K82*AH82)/10^6</f>
        <v>21.939718491378621</v>
      </c>
      <c r="AP82" s="543">
        <f>BE82-AA82</f>
        <v>51.241355391761353</v>
      </c>
      <c r="AQ82" s="446">
        <f>IF(M82=0,0,$C$4*F$81*M82*AJ82)/10^6</f>
        <v>42.493087643032567</v>
      </c>
      <c r="AR82" s="716"/>
      <c r="AS82" s="759"/>
      <c r="AT82" s="760" t="s">
        <v>164</v>
      </c>
      <c r="AU82" s="446">
        <f>Q82+AF82</f>
        <v>10.566031327831809</v>
      </c>
      <c r="AV82" s="542">
        <f t="shared" si="140"/>
        <v>10.619566254995577</v>
      </c>
      <c r="AW82" s="446">
        <f>S82+AH82</f>
        <v>10.566031327831809</v>
      </c>
      <c r="AX82" s="542">
        <f t="shared" si="141"/>
        <v>10.507636609484269</v>
      </c>
      <c r="AY82" s="446">
        <f>U82+AJ82</f>
        <v>10.566031327831809</v>
      </c>
      <c r="AZ82" s="747"/>
      <c r="BA82" s="759"/>
      <c r="BB82" s="760" t="s">
        <v>164</v>
      </c>
      <c r="BC82" s="543">
        <v>12.633883570327468</v>
      </c>
      <c r="BD82" s="498">
        <f>Z82+AO82</f>
        <v>21.939718491378621</v>
      </c>
      <c r="BE82" s="543">
        <v>51.241355391761353</v>
      </c>
      <c r="BF82" s="498">
        <f>AB82+AQ82</f>
        <v>42.493087643032567</v>
      </c>
      <c r="BG82" s="719"/>
      <c r="BH82" s="720" t="str">
        <f>BJ82</f>
        <v>vélo électrique</v>
      </c>
      <c r="BI82" s="759"/>
      <c r="BJ82" s="760" t="s">
        <v>164</v>
      </c>
      <c r="BK82" s="496">
        <f t="shared" si="142"/>
        <v>5.5225508282674707E-4</v>
      </c>
      <c r="BL82" s="496">
        <f t="shared" si="143"/>
        <v>9.1241576504064799E-4</v>
      </c>
      <c r="BM82" s="496">
        <f t="shared" si="144"/>
        <v>2.3307794517721738E-3</v>
      </c>
      <c r="BN82" s="495">
        <f t="shared" si="145"/>
        <v>1.6517642642040694E-3</v>
      </c>
      <c r="BO82" s="721"/>
      <c r="BP82" s="759"/>
      <c r="BQ82" s="760" t="s">
        <v>164</v>
      </c>
      <c r="BR82" s="446">
        <f t="shared" si="146"/>
        <v>1.1896798105463422</v>
      </c>
      <c r="BS82" s="446">
        <f t="shared" si="147"/>
        <v>2.076438902238305</v>
      </c>
      <c r="BT82" s="446">
        <f t="shared" si="148"/>
        <v>4.8765823653922835</v>
      </c>
      <c r="BU82" s="761">
        <f t="shared" si="149"/>
        <v>4.0216696623927497</v>
      </c>
      <c r="BV82" s="721"/>
    </row>
    <row r="83" spans="1:74" x14ac:dyDescent="0.35">
      <c r="A83" s="976"/>
      <c r="G83" s="716"/>
      <c r="H83" s="759"/>
      <c r="I83" s="760" t="s">
        <v>593</v>
      </c>
      <c r="J83" s="527">
        <v>1.6083503361262304E-2</v>
      </c>
      <c r="K83" s="527">
        <v>1.6083503361262304E-2</v>
      </c>
      <c r="L83" s="527">
        <v>9.4747615209162615E-3</v>
      </c>
      <c r="M83" s="554">
        <v>1.7498569513459763E-2</v>
      </c>
      <c r="N83" s="716"/>
      <c r="O83" s="759"/>
      <c r="P83" s="760" t="s">
        <v>593</v>
      </c>
      <c r="Q83" s="446">
        <v>0</v>
      </c>
      <c r="R83" s="542">
        <f t="shared" si="135"/>
        <v>0</v>
      </c>
      <c r="S83" s="446">
        <f t="shared" si="136"/>
        <v>0</v>
      </c>
      <c r="T83" s="542">
        <f t="shared" si="137"/>
        <v>0</v>
      </c>
      <c r="U83" s="446">
        <f t="shared" si="136"/>
        <v>0</v>
      </c>
      <c r="V83" s="741"/>
      <c r="W83" s="759"/>
      <c r="X83" s="760" t="s">
        <v>593</v>
      </c>
      <c r="Y83" s="544">
        <v>0</v>
      </c>
      <c r="Z83" s="446">
        <f>IF(K83=0,0,$C$4*D$81*K83*S83)/10^6</f>
        <v>0</v>
      </c>
      <c r="AA83" s="544">
        <v>0</v>
      </c>
      <c r="AB83" s="446">
        <f>IF(M83=0,0,$C$4*F$81*M83*U83)/10^6</f>
        <v>0</v>
      </c>
      <c r="AC83" s="716"/>
      <c r="AD83" s="759"/>
      <c r="AE83" s="760" t="s">
        <v>593</v>
      </c>
      <c r="AF83" s="446">
        <v>0</v>
      </c>
      <c r="AG83" s="552">
        <v>0.47278781055553948</v>
      </c>
      <c r="AH83" s="553">
        <f t="shared" si="151"/>
        <v>0.47278781055553948</v>
      </c>
      <c r="AI83" s="552">
        <f t="shared" si="138"/>
        <v>3.363128363129228E-2</v>
      </c>
      <c r="AJ83" s="553">
        <f t="shared" si="139"/>
        <v>0.47278781055553948</v>
      </c>
      <c r="AK83" s="747"/>
      <c r="AL83" s="759"/>
      <c r="AM83" s="760" t="s">
        <v>593</v>
      </c>
      <c r="AN83" s="543">
        <f>BC83-Y83</f>
        <v>19.706628048145184</v>
      </c>
      <c r="AO83" s="446">
        <f>IF(K83=0,0,$C$4*D$81*K83*AH83)/10^6</f>
        <v>20.347208471504558</v>
      </c>
      <c r="AP83" s="543">
        <f>BE83-AA83</f>
        <v>0.86576970764100891</v>
      </c>
      <c r="AQ83" s="446">
        <f>IF(M83=0,0,$C$4*F$81*M83*AJ83)/10^6</f>
        <v>23.105760045909772</v>
      </c>
      <c r="AR83" s="716"/>
      <c r="AS83" s="759"/>
      <c r="AT83" s="760" t="s">
        <v>593</v>
      </c>
      <c r="AU83" s="446">
        <f>Q83+AF83</f>
        <v>0</v>
      </c>
      <c r="AV83" s="552">
        <f t="shared" si="140"/>
        <v>0.47278781055553948</v>
      </c>
      <c r="AW83" s="522">
        <f>S83+AH83</f>
        <v>0.47278781055553948</v>
      </c>
      <c r="AX83" s="552">
        <f t="shared" si="141"/>
        <v>3.363128363129228E-2</v>
      </c>
      <c r="AY83" s="522">
        <f>U83+AJ83</f>
        <v>0.47278781055553948</v>
      </c>
      <c r="AZ83" s="747"/>
      <c r="BA83" s="759"/>
      <c r="BB83" s="760" t="s">
        <v>593</v>
      </c>
      <c r="BC83" s="544">
        <v>19.706628048145184</v>
      </c>
      <c r="BD83" s="498">
        <f>Z83+AO83</f>
        <v>20.347208471504558</v>
      </c>
      <c r="BE83" s="544">
        <v>0.86576970764100891</v>
      </c>
      <c r="BF83" s="498">
        <f>AB83+AQ83</f>
        <v>23.105760045909772</v>
      </c>
      <c r="BG83" s="719"/>
      <c r="BH83" s="720" t="s">
        <v>844</v>
      </c>
      <c r="BI83" s="759"/>
      <c r="BJ83" s="760" t="s">
        <v>593</v>
      </c>
      <c r="BK83" s="496">
        <f t="shared" si="142"/>
        <v>1.9348873213071636E-2</v>
      </c>
      <c r="BL83" s="496">
        <f t="shared" si="143"/>
        <v>1.8910899537735185E-2</v>
      </c>
      <c r="BM83" s="496">
        <f t="shared" si="144"/>
        <v>1.2303950050833712E-2</v>
      </c>
      <c r="BN83" s="495">
        <f t="shared" si="145"/>
        <v>2.0072231572702045E-2</v>
      </c>
      <c r="BO83" s="721"/>
      <c r="BP83" s="759"/>
      <c r="BQ83" s="760" t="s">
        <v>593</v>
      </c>
      <c r="BR83" s="446">
        <f t="shared" si="146"/>
        <v>41.681759995016201</v>
      </c>
      <c r="BS83" s="446">
        <f t="shared" si="147"/>
        <v>43.036660457882775</v>
      </c>
      <c r="BT83" s="446">
        <f t="shared" si="148"/>
        <v>25.742987307075374</v>
      </c>
      <c r="BU83" s="761">
        <f t="shared" si="149"/>
        <v>48.871310829185362</v>
      </c>
      <c r="BV83" s="721"/>
    </row>
    <row r="84" spans="1:74" x14ac:dyDescent="0.35">
      <c r="A84" s="976"/>
      <c r="B84" s="762" t="s">
        <v>845</v>
      </c>
      <c r="C84" s="763">
        <v>7553322</v>
      </c>
      <c r="D84" s="763">
        <v>7799945</v>
      </c>
      <c r="E84" s="763">
        <v>7915038</v>
      </c>
      <c r="F84" s="763">
        <v>8115955</v>
      </c>
      <c r="G84" s="716"/>
      <c r="H84" s="764"/>
      <c r="I84" s="765" t="s">
        <v>404</v>
      </c>
      <c r="J84" s="521">
        <v>1.9513347903237249E-2</v>
      </c>
      <c r="K84" s="521">
        <v>1.9513347903237249E-2</v>
      </c>
      <c r="L84" s="521">
        <v>1.6104561455509706E-2</v>
      </c>
      <c r="M84" s="536">
        <v>2.2817575368769785E-2</v>
      </c>
      <c r="N84" s="716"/>
      <c r="O84" s="764"/>
      <c r="P84" s="765" t="s">
        <v>404</v>
      </c>
      <c r="Q84" s="484">
        <v>0</v>
      </c>
      <c r="R84" s="484">
        <f t="shared" si="135"/>
        <v>0</v>
      </c>
      <c r="S84" s="484">
        <f>IF(K84=0,0,Z84/(K84*$C$4*D$81)*10^6)</f>
        <v>0</v>
      </c>
      <c r="T84" s="484">
        <f t="shared" si="137"/>
        <v>0</v>
      </c>
      <c r="U84" s="484">
        <f>IF(M84=0,0,AB84/(M84*$C$4*F$81)*10^6)</f>
        <v>0</v>
      </c>
      <c r="V84" s="741"/>
      <c r="W84" s="764"/>
      <c r="X84" s="765" t="s">
        <v>404</v>
      </c>
      <c r="Y84" s="534">
        <v>0</v>
      </c>
      <c r="Z84" s="484">
        <f t="shared" ref="Z84" si="152">SUM(Z81:Z83)</f>
        <v>0</v>
      </c>
      <c r="AA84" s="534">
        <v>0</v>
      </c>
      <c r="AB84" s="484">
        <f t="shared" ref="AB84" si="153">SUM(AB81:AB83)</f>
        <v>0</v>
      </c>
      <c r="AC84" s="716"/>
      <c r="AD84" s="764"/>
      <c r="AE84" s="765" t="s">
        <v>404</v>
      </c>
      <c r="AF84" s="484">
        <v>0</v>
      </c>
      <c r="AG84" s="484">
        <f>IF(J84=0,0,AN84/(J84*$C$4*C$81)*10^6)</f>
        <v>1.4933439144499547</v>
      </c>
      <c r="AH84" s="484">
        <f>IF(K84=0,0,AO84/(K84*$C$4*D$81)*10^6)</f>
        <v>1.5687649531404135</v>
      </c>
      <c r="AI84" s="484">
        <f t="shared" si="138"/>
        <v>2.8568478314697452</v>
      </c>
      <c r="AJ84" s="484">
        <f>IF(M84=0,0,AQ84/(M84*$C$4*F$81)*10^6)</f>
        <v>1.9779947964715718</v>
      </c>
      <c r="AK84" s="747"/>
      <c r="AL84" s="764"/>
      <c r="AM84" s="765" t="s">
        <v>404</v>
      </c>
      <c r="AN84" s="484">
        <f>SUM(AN81:AN83)</f>
        <v>75.5191370304006</v>
      </c>
      <c r="AO84" s="484">
        <f t="shared" ref="AO84:AQ84" si="154">SUM(AO81:AO83)</f>
        <v>81.91200861937206</v>
      </c>
      <c r="AP84" s="484">
        <f t="shared" si="154"/>
        <v>125.00479334622126</v>
      </c>
      <c r="AQ84" s="484">
        <f t="shared" si="154"/>
        <v>126.05093725804127</v>
      </c>
      <c r="AR84" s="716"/>
      <c r="AS84" s="764"/>
      <c r="AT84" s="765" t="s">
        <v>404</v>
      </c>
      <c r="AU84" s="484">
        <v>0</v>
      </c>
      <c r="AV84" s="484">
        <f t="shared" si="140"/>
        <v>1.4933439144499547</v>
      </c>
      <c r="AW84" s="484">
        <f>IF(K84=0,0,BD84/(K84*$C$4*D$81)*10^6)</f>
        <v>1.5687649531404135</v>
      </c>
      <c r="AX84" s="484">
        <f t="shared" si="141"/>
        <v>2.8568478314697452</v>
      </c>
      <c r="AY84" s="484">
        <f>IF(M84=0,0,BF84/(M84*$C$4*F$81)*10^6)</f>
        <v>1.9779947964715718</v>
      </c>
      <c r="AZ84" s="747"/>
      <c r="BA84" s="764"/>
      <c r="BB84" s="765" t="s">
        <v>404</v>
      </c>
      <c r="BC84" s="534">
        <f t="shared" ref="BC84:BF84" si="155">SUM(BC81:BC83)</f>
        <v>75.5191370304006</v>
      </c>
      <c r="BD84" s="484">
        <f t="shared" si="155"/>
        <v>81.91200861937206</v>
      </c>
      <c r="BE84" s="534">
        <f t="shared" si="155"/>
        <v>125.00479334622126</v>
      </c>
      <c r="BF84" s="484">
        <f t="shared" si="155"/>
        <v>126.05093725804127</v>
      </c>
      <c r="BG84" s="719"/>
      <c r="BH84" s="720"/>
      <c r="BI84" s="764"/>
      <c r="BJ84" s="765" t="s">
        <v>404</v>
      </c>
      <c r="BK84" s="482">
        <f t="shared" si="142"/>
        <v>2.3475065479307496E-2</v>
      </c>
      <c r="BL84" s="482">
        <f t="shared" si="143"/>
        <v>2.2943692897890701E-2</v>
      </c>
      <c r="BM84" s="482">
        <f t="shared" si="144"/>
        <v>2.0913425557122743E-2</v>
      </c>
      <c r="BN84" s="481">
        <f t="shared" si="145"/>
        <v>2.6173548436473029E-2</v>
      </c>
      <c r="BO84" s="721"/>
      <c r="BP84" s="764"/>
      <c r="BQ84" s="765" t="s">
        <v>404</v>
      </c>
      <c r="BR84" s="484">
        <f t="shared" si="146"/>
        <v>50.570492369278945</v>
      </c>
      <c r="BS84" s="484">
        <f t="shared" si="147"/>
        <v>52.214328510716335</v>
      </c>
      <c r="BT84" s="484">
        <f t="shared" si="148"/>
        <v>43.756195891578443</v>
      </c>
      <c r="BU84" s="766">
        <f t="shared" si="149"/>
        <v>63.72662733132367</v>
      </c>
      <c r="BV84" s="721"/>
    </row>
    <row r="85" spans="1:74" x14ac:dyDescent="0.35">
      <c r="A85" s="976"/>
      <c r="C85" s="758">
        <f>C84/$C84-1</f>
        <v>0</v>
      </c>
      <c r="D85" s="758">
        <f t="shared" ref="D85:F85" si="156">D84/$C84-1</f>
        <v>3.265093160333965E-2</v>
      </c>
      <c r="E85" s="758">
        <f t="shared" si="156"/>
        <v>4.7888333106942849E-2</v>
      </c>
      <c r="F85" s="758">
        <f t="shared" si="156"/>
        <v>7.4488152365277172E-2</v>
      </c>
      <c r="G85" s="716"/>
      <c r="H85" s="755" t="s">
        <v>558</v>
      </c>
      <c r="I85" s="756" t="s">
        <v>592</v>
      </c>
      <c r="J85" s="505">
        <v>1.223534316255041E-2</v>
      </c>
      <c r="K85" s="505">
        <v>1.2202621958016071E-2</v>
      </c>
      <c r="L85" s="505">
        <v>1.2724244618517181E-2</v>
      </c>
      <c r="M85" s="550">
        <v>1.1659178589209051E-2</v>
      </c>
      <c r="N85" s="716"/>
      <c r="O85" s="755" t="s">
        <v>558</v>
      </c>
      <c r="P85" s="756" t="s">
        <v>592</v>
      </c>
      <c r="Q85" s="448">
        <v>100.01966209648529</v>
      </c>
      <c r="R85" s="546">
        <f t="shared" si="135"/>
        <v>97.078378269975673</v>
      </c>
      <c r="S85" s="448">
        <f t="shared" ref="S85:U86" si="157">$Q85</f>
        <v>100.01966209648529</v>
      </c>
      <c r="T85" s="546">
        <f t="shared" si="137"/>
        <v>93.271206490213032</v>
      </c>
      <c r="U85" s="448">
        <f t="shared" si="157"/>
        <v>100.01966209648529</v>
      </c>
      <c r="V85" s="741"/>
      <c r="W85" s="755" t="s">
        <v>558</v>
      </c>
      <c r="X85" s="756" t="s">
        <v>592</v>
      </c>
      <c r="Y85" s="546">
        <v>3078.2512289843016</v>
      </c>
      <c r="Z85" s="448">
        <f>IF(K85=0,0,$C$4*D$81*K85*S85)/10^6</f>
        <v>3265.8516219377302</v>
      </c>
      <c r="AA85" s="546">
        <v>3224.5584910570742</v>
      </c>
      <c r="AB85" s="448">
        <f>IF(M85=0,0,$C$4*F$81*M85*U85)/10^6</f>
        <v>3256.9026565515355</v>
      </c>
      <c r="AC85" s="716"/>
      <c r="AD85" s="755" t="s">
        <v>558</v>
      </c>
      <c r="AE85" s="756" t="s">
        <v>592</v>
      </c>
      <c r="AF85" s="448">
        <v>63.621709980061325</v>
      </c>
      <c r="AG85" s="546">
        <f>IF(J85=0,0,AN85/(J85*$C$4*C$81)*10^6)</f>
        <v>60.870715280722166</v>
      </c>
      <c r="AH85" s="448">
        <f t="shared" ref="AH85:AJ86" si="158">$AF85</f>
        <v>63.621709980061325</v>
      </c>
      <c r="AI85" s="546">
        <f t="shared" si="138"/>
        <v>57.64234255926273</v>
      </c>
      <c r="AJ85" s="448">
        <f t="shared" si="158"/>
        <v>63.621709980061325</v>
      </c>
      <c r="AK85" s="747"/>
      <c r="AL85" s="755" t="s">
        <v>558</v>
      </c>
      <c r="AM85" s="756" t="s">
        <v>592</v>
      </c>
      <c r="AN85" s="543">
        <f>BC85-Y85</f>
        <v>1930.1450792775331</v>
      </c>
      <c r="AO85" s="446">
        <v>1934.4608553973296</v>
      </c>
      <c r="AP85" s="543">
        <f>BE85-AA85</f>
        <v>1992.8026251423553</v>
      </c>
      <c r="AQ85" s="446">
        <v>1929.1601175684546</v>
      </c>
      <c r="AR85" s="716"/>
      <c r="AS85" s="755" t="s">
        <v>558</v>
      </c>
      <c r="AT85" s="756" t="s">
        <v>592</v>
      </c>
      <c r="AU85" s="448">
        <f>Q85+AF85</f>
        <v>163.64137207654662</v>
      </c>
      <c r="AV85" s="546">
        <f t="shared" si="140"/>
        <v>157.94909355069785</v>
      </c>
      <c r="AW85" s="448">
        <f>S85+AH85</f>
        <v>163.64137207654662</v>
      </c>
      <c r="AX85" s="546">
        <f t="shared" si="141"/>
        <v>150.91354904947576</v>
      </c>
      <c r="AY85" s="448">
        <f>U85+AJ85</f>
        <v>163.64137207654662</v>
      </c>
      <c r="AZ85" s="747"/>
      <c r="BA85" s="755" t="s">
        <v>558</v>
      </c>
      <c r="BB85" s="756" t="s">
        <v>592</v>
      </c>
      <c r="BC85" s="547">
        <v>5008.3963082618347</v>
      </c>
      <c r="BD85" s="498">
        <f>Z85+AO85</f>
        <v>5200.3124773350601</v>
      </c>
      <c r="BE85" s="547">
        <v>5217.3611161994295</v>
      </c>
      <c r="BF85" s="498">
        <f>AB85+AQ85</f>
        <v>5186.0627741199896</v>
      </c>
      <c r="BG85" s="719"/>
      <c r="BH85" s="720"/>
      <c r="BI85" s="755" t="s">
        <v>558</v>
      </c>
      <c r="BJ85" s="756" t="s">
        <v>592</v>
      </c>
      <c r="BK85" s="502">
        <f t="shared" si="142"/>
        <v>1.4719436322611643E-2</v>
      </c>
      <c r="BL85" s="502">
        <f t="shared" si="143"/>
        <v>1.4347779383738201E-2</v>
      </c>
      <c r="BM85" s="502">
        <f t="shared" si="144"/>
        <v>1.6523737286179736E-2</v>
      </c>
      <c r="BN85" s="501">
        <f t="shared" si="145"/>
        <v>1.3373992223197607E-2</v>
      </c>
      <c r="BO85" s="721"/>
      <c r="BP85" s="755" t="s">
        <v>558</v>
      </c>
      <c r="BQ85" s="756" t="s">
        <v>592</v>
      </c>
      <c r="BR85" s="448">
        <f t="shared" si="146"/>
        <v>31.70892719719383</v>
      </c>
      <c r="BS85" s="448">
        <f t="shared" si="147"/>
        <v>32.652096132731216</v>
      </c>
      <c r="BT85" s="448">
        <f t="shared" si="148"/>
        <v>34.571853548344826</v>
      </c>
      <c r="BU85" s="757">
        <f t="shared" si="149"/>
        <v>32.562624070952381</v>
      </c>
      <c r="BV85" s="721"/>
    </row>
    <row r="86" spans="1:74" x14ac:dyDescent="0.35">
      <c r="A86" s="976"/>
      <c r="G86" s="716"/>
      <c r="H86" s="759"/>
      <c r="I86" s="760" t="s">
        <v>544</v>
      </c>
      <c r="J86" s="522">
        <v>2.0881642200794686E-4</v>
      </c>
      <c r="K86" s="522">
        <v>2.4153762654228428E-4</v>
      </c>
      <c r="L86" s="522">
        <v>2.9149314114552548E-4</v>
      </c>
      <c r="M86" s="545">
        <v>3.4543790067470878E-4</v>
      </c>
      <c r="N86" s="716"/>
      <c r="O86" s="759"/>
      <c r="P86" s="760" t="s">
        <v>544</v>
      </c>
      <c r="Q86" s="446">
        <v>0</v>
      </c>
      <c r="R86" s="542">
        <f t="shared" si="135"/>
        <v>0</v>
      </c>
      <c r="S86" s="446">
        <f t="shared" si="157"/>
        <v>0</v>
      </c>
      <c r="T86" s="542">
        <f t="shared" si="137"/>
        <v>0</v>
      </c>
      <c r="U86" s="446">
        <f t="shared" si="157"/>
        <v>0</v>
      </c>
      <c r="V86" s="741"/>
      <c r="W86" s="759"/>
      <c r="X86" s="760" t="s">
        <v>544</v>
      </c>
      <c r="Y86" s="542">
        <v>0</v>
      </c>
      <c r="Z86" s="446">
        <f>IF(K86=0,0,$C$4*D$81*K86*S86)/10^6</f>
        <v>0</v>
      </c>
      <c r="AA86" s="542">
        <v>0</v>
      </c>
      <c r="AB86" s="446">
        <f>IF(M86=0,0,$C$4*F$81*M86*U86)/10^6</f>
        <v>0</v>
      </c>
      <c r="AC86" s="716"/>
      <c r="AD86" s="759"/>
      <c r="AE86" s="760" t="s">
        <v>544</v>
      </c>
      <c r="AF86" s="446">
        <v>77.703220130850724</v>
      </c>
      <c r="AG86" s="542">
        <f>IF(J86=0,0,AN86/(J86*$C$4*C$81)*10^6)</f>
        <v>77.061557245990613</v>
      </c>
      <c r="AH86" s="446">
        <f t="shared" si="158"/>
        <v>77.703220130850724</v>
      </c>
      <c r="AI86" s="542">
        <f t="shared" si="138"/>
        <v>73.628995506320905</v>
      </c>
      <c r="AJ86" s="446">
        <f t="shared" si="158"/>
        <v>77.703220130850724</v>
      </c>
      <c r="AK86" s="747"/>
      <c r="AL86" s="759"/>
      <c r="AM86" s="760" t="s">
        <v>544</v>
      </c>
      <c r="AN86" s="543">
        <f>BC86-Y86</f>
        <v>41.703050632928715</v>
      </c>
      <c r="AO86" s="446">
        <v>50.220579636483997</v>
      </c>
      <c r="AP86" s="543">
        <f>BE86-AA86</f>
        <v>58.313333776572449</v>
      </c>
      <c r="AQ86" s="446">
        <v>74.965327628477752</v>
      </c>
      <c r="AR86" s="716"/>
      <c r="AS86" s="759"/>
      <c r="AT86" s="760" t="s">
        <v>544</v>
      </c>
      <c r="AU86" s="446">
        <f>Q86+AF86</f>
        <v>77.703220130850724</v>
      </c>
      <c r="AV86" s="542">
        <f t="shared" si="140"/>
        <v>77.061557245990613</v>
      </c>
      <c r="AW86" s="446">
        <f>S86+AH86</f>
        <v>77.703220130850724</v>
      </c>
      <c r="AX86" s="542">
        <f t="shared" si="141"/>
        <v>73.628995506320905</v>
      </c>
      <c r="AY86" s="446">
        <f>U86+AJ86</f>
        <v>77.703220130850724</v>
      </c>
      <c r="AZ86" s="747"/>
      <c r="BA86" s="759"/>
      <c r="BB86" s="760" t="s">
        <v>544</v>
      </c>
      <c r="BC86" s="543">
        <v>41.703050632928715</v>
      </c>
      <c r="BD86" s="498">
        <f>Z86+AO86</f>
        <v>50.220579636483997</v>
      </c>
      <c r="BE86" s="543">
        <v>58.313333776572449</v>
      </c>
      <c r="BF86" s="498">
        <f>AB86+AQ86</f>
        <v>74.965327628477752</v>
      </c>
      <c r="BG86" s="719"/>
      <c r="BH86" s="720"/>
      <c r="BI86" s="759"/>
      <c r="BJ86" s="760" t="s">
        <v>544</v>
      </c>
      <c r="BK86" s="496">
        <f t="shared" si="142"/>
        <v>2.5121159137320691E-4</v>
      </c>
      <c r="BL86" s="496">
        <f t="shared" si="143"/>
        <v>2.8399868408804466E-4</v>
      </c>
      <c r="BM86" s="496">
        <f t="shared" si="144"/>
        <v>3.7853375421615157E-4</v>
      </c>
      <c r="BN86" s="495">
        <f t="shared" si="145"/>
        <v>3.9624436334624081E-4</v>
      </c>
      <c r="BO86" s="721"/>
      <c r="BP86" s="759"/>
      <c r="BQ86" s="760" t="s">
        <v>544</v>
      </c>
      <c r="BR86" s="446">
        <f t="shared" si="146"/>
        <v>0.54116542830567382</v>
      </c>
      <c r="BS86" s="446">
        <f t="shared" si="147"/>
        <v>0.64631272104185011</v>
      </c>
      <c r="BT86" s="446">
        <f t="shared" si="148"/>
        <v>0.79198871824302375</v>
      </c>
      <c r="BU86" s="761">
        <f t="shared" si="149"/>
        <v>0.96476474851669725</v>
      </c>
      <c r="BV86" s="721"/>
    </row>
    <row r="87" spans="1:74" x14ac:dyDescent="0.35">
      <c r="A87" s="976"/>
      <c r="G87" s="716"/>
      <c r="H87" s="764"/>
      <c r="I87" s="765" t="s">
        <v>404</v>
      </c>
      <c r="J87" s="523">
        <v>1.2444159584558356E-2</v>
      </c>
      <c r="K87" s="523">
        <v>1.2444159584558356E-2</v>
      </c>
      <c r="L87" s="523">
        <v>1.3015737759662705E-2</v>
      </c>
      <c r="M87" s="551">
        <v>1.2004616489883759E-2</v>
      </c>
      <c r="N87" s="716"/>
      <c r="O87" s="764"/>
      <c r="P87" s="765" t="s">
        <v>404</v>
      </c>
      <c r="Q87" s="484">
        <v>0</v>
      </c>
      <c r="R87" s="484">
        <f t="shared" si="135"/>
        <v>95.449376370174832</v>
      </c>
      <c r="S87" s="484">
        <f>IF(K87=0,0,Z87/(K87*$C$4*D$81)*10^6)</f>
        <v>98.078308674730394</v>
      </c>
      <c r="T87" s="484">
        <f t="shared" si="137"/>
        <v>91.1823570173446</v>
      </c>
      <c r="U87" s="484">
        <f>IF(M87=0,0,AB87/(M87*$C$4*F$81)*10^6)</f>
        <v>97.141554151102838</v>
      </c>
      <c r="V87" s="741"/>
      <c r="W87" s="764"/>
      <c r="X87" s="765" t="s">
        <v>404</v>
      </c>
      <c r="Y87" s="534">
        <v>3078.2512289843016</v>
      </c>
      <c r="Z87" s="484">
        <f>SUM(Z85:Z86)</f>
        <v>3265.8516219377302</v>
      </c>
      <c r="AA87" s="534">
        <v>3224.5584910570742</v>
      </c>
      <c r="AB87" s="484">
        <f>SUM(AB85:AB86)</f>
        <v>3256.9026565515355</v>
      </c>
      <c r="AC87" s="716"/>
      <c r="AD87" s="764"/>
      <c r="AE87" s="765" t="s">
        <v>404</v>
      </c>
      <c r="AF87" s="484">
        <v>0</v>
      </c>
      <c r="AG87" s="484">
        <f>IF(J87=0,0,AN87/(J87*$C$4*C$81)*10^6)</f>
        <v>61.142402064028829</v>
      </c>
      <c r="AH87" s="484">
        <f>IF(K87=0,0,AO87/(K87*$C$4*D$81)*10^6)</f>
        <v>59.60289104952016</v>
      </c>
      <c r="AI87" s="484">
        <f t="shared" si="138"/>
        <v>58.00037064572151</v>
      </c>
      <c r="AJ87" s="484">
        <f>IF(M87=0,0,AQ87/(M87*$C$4*F$81)*10^6)</f>
        <v>59.775768879238008</v>
      </c>
      <c r="AK87" s="747"/>
      <c r="AL87" s="764"/>
      <c r="AM87" s="765" t="s">
        <v>404</v>
      </c>
      <c r="AN87" s="484">
        <f>SUM(AN85:AN86)</f>
        <v>1971.8481299104619</v>
      </c>
      <c r="AO87" s="484">
        <f t="shared" ref="AO87:AQ87" si="159">SUM(AO85:AO86)</f>
        <v>1984.6814350338136</v>
      </c>
      <c r="AP87" s="484">
        <f t="shared" si="159"/>
        <v>2051.1159589189278</v>
      </c>
      <c r="AQ87" s="484">
        <f t="shared" si="159"/>
        <v>2004.1254451969323</v>
      </c>
      <c r="AR87" s="716"/>
      <c r="AS87" s="764"/>
      <c r="AT87" s="765" t="s">
        <v>404</v>
      </c>
      <c r="AU87" s="484">
        <v>0</v>
      </c>
      <c r="AV87" s="484">
        <f t="shared" si="140"/>
        <v>156.59177843420369</v>
      </c>
      <c r="AW87" s="484">
        <f>IF(K87=0,0,BD87/(K87*$C$4*D$81)*10^6)</f>
        <v>157.68119972425058</v>
      </c>
      <c r="AX87" s="484">
        <f t="shared" si="141"/>
        <v>149.18272766306609</v>
      </c>
      <c r="AY87" s="484">
        <f>IF(M87=0,0,BF87/(M87*$C$4*F$81)*10^6)</f>
        <v>156.91732303034087</v>
      </c>
      <c r="AZ87" s="747"/>
      <c r="BA87" s="764"/>
      <c r="BB87" s="765" t="s">
        <v>404</v>
      </c>
      <c r="BC87" s="534">
        <v>5050.099358894764</v>
      </c>
      <c r="BD87" s="484">
        <f>SUM(BD85:BD86)</f>
        <v>5250.5330569715443</v>
      </c>
      <c r="BE87" s="534">
        <v>5275.6744499760016</v>
      </c>
      <c r="BF87" s="484">
        <f t="shared" ref="BF87" si="160">SUM(BF85:BF86)</f>
        <v>5261.0281017484676</v>
      </c>
      <c r="BG87" s="719"/>
      <c r="BH87" s="720" t="s">
        <v>846</v>
      </c>
      <c r="BI87" s="764"/>
      <c r="BJ87" s="765" t="s">
        <v>404</v>
      </c>
      <c r="BK87" s="482">
        <f t="shared" si="142"/>
        <v>1.497064791398485E-2</v>
      </c>
      <c r="BL87" s="482">
        <f t="shared" si="143"/>
        <v>1.4631778067826246E-2</v>
      </c>
      <c r="BM87" s="482">
        <f t="shared" si="144"/>
        <v>1.6902271040395885E-2</v>
      </c>
      <c r="BN87" s="481">
        <f t="shared" si="145"/>
        <v>1.3770236586543848E-2</v>
      </c>
      <c r="BO87" s="721"/>
      <c r="BP87" s="764"/>
      <c r="BQ87" s="765" t="s">
        <v>404</v>
      </c>
      <c r="BR87" s="484">
        <f t="shared" si="146"/>
        <v>32.250092625499505</v>
      </c>
      <c r="BS87" s="484">
        <f t="shared" si="147"/>
        <v>33.298408853773061</v>
      </c>
      <c r="BT87" s="484">
        <f t="shared" si="148"/>
        <v>35.363842266587852</v>
      </c>
      <c r="BU87" s="766">
        <f t="shared" si="149"/>
        <v>33.527388819469081</v>
      </c>
      <c r="BV87" s="721"/>
    </row>
    <row r="88" spans="1:74" x14ac:dyDescent="0.35">
      <c r="A88" s="976"/>
      <c r="G88" s="716"/>
      <c r="H88" s="755" t="s">
        <v>548</v>
      </c>
      <c r="I88" s="756" t="s">
        <v>173</v>
      </c>
      <c r="J88" s="505">
        <v>0.41169954030576572</v>
      </c>
      <c r="K88" s="505">
        <v>0.39670801201818334</v>
      </c>
      <c r="L88" s="505">
        <v>0.36184679563804351</v>
      </c>
      <c r="M88" s="550">
        <v>0.34484244946841974</v>
      </c>
      <c r="N88" s="716"/>
      <c r="O88" s="755" t="s">
        <v>548</v>
      </c>
      <c r="P88" s="756" t="s">
        <v>173</v>
      </c>
      <c r="Q88" s="448">
        <v>112.89178391519464</v>
      </c>
      <c r="R88" s="546">
        <f>$Q88*$P$7*R$12</f>
        <v>124.51789177396677</v>
      </c>
      <c r="S88" s="448">
        <f t="shared" ref="S88:U92" si="161">$Q88*$P$7*S$12</f>
        <v>118.12862927625177</v>
      </c>
      <c r="T88" s="546">
        <f t="shared" si="137"/>
        <v>126.4901279654713</v>
      </c>
      <c r="U88" s="448">
        <f t="shared" si="161"/>
        <v>116.50583449290883</v>
      </c>
      <c r="V88" s="741"/>
      <c r="W88" s="755" t="s">
        <v>548</v>
      </c>
      <c r="X88" s="756" t="s">
        <v>173</v>
      </c>
      <c r="Y88" s="546">
        <f t="shared" ref="Y88:Z92" si="162">IF(J88=0,0,$C$4*C$81*J88*R88)/10^6</f>
        <v>132854.88734844027</v>
      </c>
      <c r="Z88" s="448">
        <f t="shared" si="162"/>
        <v>125396.10472049037</v>
      </c>
      <c r="AA88" s="547">
        <v>124357.51008905758</v>
      </c>
      <c r="AB88" s="448">
        <f>IF(M88=0,0,$C$4*F$81*M88*U88)/10^6</f>
        <v>112206.97051639386</v>
      </c>
      <c r="AC88" s="716"/>
      <c r="AD88" s="755" t="s">
        <v>548</v>
      </c>
      <c r="AE88" s="756" t="s">
        <v>173</v>
      </c>
      <c r="AF88" s="448">
        <v>73.097234891906908</v>
      </c>
      <c r="AG88" s="546">
        <f t="shared" ref="AG88:AH92" si="163">$AF88*$Q$7*R$12</f>
        <v>74.357383687033902</v>
      </c>
      <c r="AH88" s="504">
        <f t="shared" si="163"/>
        <v>70.541957355513745</v>
      </c>
      <c r="AI88" s="546">
        <f t="shared" si="138"/>
        <v>77.68534329062183</v>
      </c>
      <c r="AJ88" s="504">
        <f>$AF88*$Q$7*U$12</f>
        <v>69.572885580917756</v>
      </c>
      <c r="AK88" s="747"/>
      <c r="AL88" s="755" t="s">
        <v>548</v>
      </c>
      <c r="AM88" s="756" t="s">
        <v>173</v>
      </c>
      <c r="AN88" s="546">
        <f t="shared" ref="AN88:AO92" si="164">IF(J88=0,0,$C$4*C$81*J88*AG88)/10^6</f>
        <v>79335.922673652341</v>
      </c>
      <c r="AO88" s="504">
        <f t="shared" si="164"/>
        <v>74881.819301010692</v>
      </c>
      <c r="AP88" s="547">
        <f>BE88-AA88</f>
        <v>76375.57189184404</v>
      </c>
      <c r="AQ88" s="504">
        <f>IF(M88=0,0,$C$4*F$81*M88*AJ88)/10^6</f>
        <v>67005.76632145948</v>
      </c>
      <c r="AR88" s="716"/>
      <c r="AS88" s="755" t="s">
        <v>548</v>
      </c>
      <c r="AT88" s="756" t="s">
        <v>173</v>
      </c>
      <c r="AU88" s="448">
        <f t="shared" ref="AU88:AW92" si="165">Q88+AF88</f>
        <v>185.98901880710156</v>
      </c>
      <c r="AV88" s="446">
        <f t="shared" si="165"/>
        <v>198.87527546100068</v>
      </c>
      <c r="AW88" s="446">
        <f t="shared" si="165"/>
        <v>188.6705866317655</v>
      </c>
      <c r="AX88" s="542">
        <f t="shared" si="141"/>
        <v>204.17547125609315</v>
      </c>
      <c r="AY88" s="446">
        <f>U88+AJ88</f>
        <v>186.07872007382659</v>
      </c>
      <c r="AZ88" s="747"/>
      <c r="BA88" s="755" t="s">
        <v>548</v>
      </c>
      <c r="BB88" s="756" t="s">
        <v>173</v>
      </c>
      <c r="BC88" s="546">
        <f t="shared" ref="BC88:BD92" si="166">Y88+AN88</f>
        <v>212190.8100220926</v>
      </c>
      <c r="BD88" s="504">
        <f t="shared" si="166"/>
        <v>200277.92402150106</v>
      </c>
      <c r="BE88" s="547">
        <v>200733.08198090162</v>
      </c>
      <c r="BF88" s="504">
        <f>AB88+AQ88</f>
        <v>179212.73683785333</v>
      </c>
      <c r="BG88" s="719"/>
      <c r="BH88" s="720"/>
      <c r="BI88" s="755" t="s">
        <v>548</v>
      </c>
      <c r="BJ88" s="756" t="s">
        <v>173</v>
      </c>
      <c r="BK88" s="502">
        <f t="shared" si="142"/>
        <v>0.4952852639333758</v>
      </c>
      <c r="BL88" s="502">
        <f t="shared" si="143"/>
        <v>0.46644721567066028</v>
      </c>
      <c r="BM88" s="502">
        <f t="shared" si="144"/>
        <v>0.46989519364221149</v>
      </c>
      <c r="BN88" s="501">
        <f t="shared" si="145"/>
        <v>0.3955613341138407</v>
      </c>
      <c r="BO88" s="721"/>
      <c r="BP88" s="755" t="s">
        <v>548</v>
      </c>
      <c r="BQ88" s="756" t="s">
        <v>173</v>
      </c>
      <c r="BR88" s="448">
        <f t="shared" si="146"/>
        <v>1066.9541979525911</v>
      </c>
      <c r="BS88" s="448">
        <f t="shared" si="147"/>
        <v>1061.5217114493316</v>
      </c>
      <c r="BT88" s="448">
        <f t="shared" si="148"/>
        <v>983.14004491326102</v>
      </c>
      <c r="BU88" s="757">
        <f t="shared" si="149"/>
        <v>963.10172795014284</v>
      </c>
      <c r="BV88" s="721"/>
    </row>
    <row r="89" spans="1:74" x14ac:dyDescent="0.35">
      <c r="A89" s="976"/>
      <c r="B89" s="788"/>
      <c r="G89" s="716"/>
      <c r="H89" s="759"/>
      <c r="I89" s="760" t="s">
        <v>170</v>
      </c>
      <c r="J89" s="522">
        <v>0.1572464205143442</v>
      </c>
      <c r="K89" s="522">
        <v>0.17870396215720205</v>
      </c>
      <c r="L89" s="522">
        <v>0.16343477937943721</v>
      </c>
      <c r="M89" s="545">
        <v>0.15136793450969016</v>
      </c>
      <c r="N89" s="716"/>
      <c r="O89" s="759"/>
      <c r="P89" s="760" t="s">
        <v>170</v>
      </c>
      <c r="Q89" s="446">
        <v>115.41002524003623</v>
      </c>
      <c r="R89" s="542">
        <f t="shared" ref="R89:R92" si="167">$Q89*$P$7*R$12</f>
        <v>127.29547301037375</v>
      </c>
      <c r="S89" s="446">
        <f t="shared" si="161"/>
        <v>120.76368725455264</v>
      </c>
      <c r="T89" s="542">
        <f t="shared" si="137"/>
        <v>129.31170325093615</v>
      </c>
      <c r="U89" s="446">
        <f t="shared" si="161"/>
        <v>119.10469330114235</v>
      </c>
      <c r="V89" s="741"/>
      <c r="W89" s="759"/>
      <c r="X89" s="760" t="s">
        <v>170</v>
      </c>
      <c r="Y89" s="542">
        <f t="shared" si="162"/>
        <v>51875.120883760457</v>
      </c>
      <c r="Z89" s="446">
        <f t="shared" si="162"/>
        <v>57746.870858919901</v>
      </c>
      <c r="AA89" s="543">
        <v>57421.293075014961</v>
      </c>
      <c r="AB89" s="446">
        <f>IF(M89=0,0,$C$4*F$81*M89*U89)/10^6</f>
        <v>50351.707266660007</v>
      </c>
      <c r="AC89" s="716"/>
      <c r="AD89" s="759"/>
      <c r="AE89" s="760" t="s">
        <v>170</v>
      </c>
      <c r="AF89" s="446">
        <v>73.56325269294247</v>
      </c>
      <c r="AG89" s="542">
        <f t="shared" si="163"/>
        <v>74.831435331912559</v>
      </c>
      <c r="AH89" s="498">
        <f t="shared" si="163"/>
        <v>70.991684460734263</v>
      </c>
      <c r="AI89" s="542">
        <f t="shared" si="138"/>
        <v>78.139835147638237</v>
      </c>
      <c r="AJ89" s="498">
        <f>$AF89*$Q$7*U$12</f>
        <v>70.016434549603972</v>
      </c>
      <c r="AK89" s="747"/>
      <c r="AL89" s="759"/>
      <c r="AM89" s="760" t="s">
        <v>170</v>
      </c>
      <c r="AN89" s="542">
        <f t="shared" si="164"/>
        <v>30495.112370821851</v>
      </c>
      <c r="AO89" s="498">
        <f t="shared" si="164"/>
        <v>33946.85710423821</v>
      </c>
      <c r="AP89" s="543">
        <f>BE89-AA89</f>
        <v>34698.254388768233</v>
      </c>
      <c r="AQ89" s="498">
        <f>IF(M89=0,0,$C$4*F$81*M89*AJ89)/10^6</f>
        <v>29599.564203429301</v>
      </c>
      <c r="AR89" s="716"/>
      <c r="AS89" s="759"/>
      <c r="AT89" s="760" t="s">
        <v>170</v>
      </c>
      <c r="AU89" s="446">
        <f t="shared" si="165"/>
        <v>188.9732779329787</v>
      </c>
      <c r="AV89" s="446">
        <f t="shared" si="165"/>
        <v>202.1269083422863</v>
      </c>
      <c r="AW89" s="446">
        <f t="shared" si="165"/>
        <v>191.75537171528691</v>
      </c>
      <c r="AX89" s="542">
        <f t="shared" si="141"/>
        <v>207.45153839857437</v>
      </c>
      <c r="AY89" s="446">
        <f>U89+AJ89</f>
        <v>189.12112785074632</v>
      </c>
      <c r="AZ89" s="747"/>
      <c r="BA89" s="759"/>
      <c r="BB89" s="760" t="s">
        <v>170</v>
      </c>
      <c r="BC89" s="542">
        <f t="shared" si="166"/>
        <v>82370.233254582301</v>
      </c>
      <c r="BD89" s="498">
        <f t="shared" si="166"/>
        <v>91693.727963158104</v>
      </c>
      <c r="BE89" s="543">
        <v>92119.547463783194</v>
      </c>
      <c r="BF89" s="498">
        <f>AB89+AQ89</f>
        <v>79951.271470089312</v>
      </c>
      <c r="BG89" s="719"/>
      <c r="BH89" s="720"/>
      <c r="BI89" s="759"/>
      <c r="BJ89" s="760" t="s">
        <v>170</v>
      </c>
      <c r="BK89" s="496">
        <f t="shared" si="142"/>
        <v>0.18917153715834464</v>
      </c>
      <c r="BL89" s="496">
        <f t="shared" si="143"/>
        <v>0.21011918855251471</v>
      </c>
      <c r="BM89" s="496">
        <f t="shared" si="144"/>
        <v>0.21223683125051979</v>
      </c>
      <c r="BN89" s="495">
        <f t="shared" si="145"/>
        <v>0.17363089204652229</v>
      </c>
      <c r="BO89" s="721"/>
      <c r="BP89" s="759"/>
      <c r="BQ89" s="760" t="s">
        <v>170</v>
      </c>
      <c r="BR89" s="446">
        <f t="shared" si="146"/>
        <v>407.51740542676623</v>
      </c>
      <c r="BS89" s="446">
        <f t="shared" si="147"/>
        <v>478.18075260651597</v>
      </c>
      <c r="BT89" s="446">
        <f t="shared" si="148"/>
        <v>444.05333493741028</v>
      </c>
      <c r="BU89" s="761">
        <f t="shared" si="149"/>
        <v>422.75166386056327</v>
      </c>
      <c r="BV89" s="721"/>
    </row>
    <row r="90" spans="1:74" x14ac:dyDescent="0.35">
      <c r="A90" s="976"/>
      <c r="G90" s="716"/>
      <c r="H90" s="759"/>
      <c r="I90" s="760" t="s">
        <v>545</v>
      </c>
      <c r="J90" s="522">
        <v>6.2282613883931741E-3</v>
      </c>
      <c r="K90" s="522">
        <v>1.2357915836512199E-2</v>
      </c>
      <c r="L90" s="522">
        <v>2.3938611574446603E-2</v>
      </c>
      <c r="M90" s="545">
        <v>4.1607506918408581E-2</v>
      </c>
      <c r="N90" s="716"/>
      <c r="O90" s="759"/>
      <c r="P90" s="760" t="s">
        <v>545</v>
      </c>
      <c r="Q90" s="446">
        <v>82.701369152032839</v>
      </c>
      <c r="R90" s="542">
        <f t="shared" si="167"/>
        <v>91.218331188454798</v>
      </c>
      <c r="S90" s="446">
        <f t="shared" si="161"/>
        <v>86.537735859837198</v>
      </c>
      <c r="T90" s="542">
        <f t="shared" si="137"/>
        <v>92.663136360912191</v>
      </c>
      <c r="U90" s="446">
        <f t="shared" si="161"/>
        <v>85.34892170719651</v>
      </c>
      <c r="V90" s="741"/>
      <c r="W90" s="759"/>
      <c r="X90" s="760" t="s">
        <v>545</v>
      </c>
      <c r="Y90" s="542">
        <f t="shared" si="162"/>
        <v>1472.3611444580285</v>
      </c>
      <c r="Z90" s="446">
        <f t="shared" si="162"/>
        <v>2861.5983123797992</v>
      </c>
      <c r="AA90" s="543">
        <v>6026.9364001573649</v>
      </c>
      <c r="AB90" s="446">
        <f>IF(M90=0,0,$C$4*F$81*M90*U90)/10^6</f>
        <v>9917.933076461919</v>
      </c>
      <c r="AC90" s="716"/>
      <c r="AD90" s="759"/>
      <c r="AE90" s="760" t="s">
        <v>545</v>
      </c>
      <c r="AF90" s="446">
        <v>67.508459862836986</v>
      </c>
      <c r="AG90" s="542">
        <f t="shared" si="163"/>
        <v>68.672261810787987</v>
      </c>
      <c r="AH90" s="498">
        <f t="shared" si="163"/>
        <v>65.148550472842999</v>
      </c>
      <c r="AI90" s="542">
        <f t="shared" si="138"/>
        <v>72.234570090331218</v>
      </c>
      <c r="AJ90" s="498">
        <f>$AF90*$Q$7*U$12</f>
        <v>64.25357075033692</v>
      </c>
      <c r="AK90" s="747"/>
      <c r="AL90" s="759"/>
      <c r="AM90" s="760" t="s">
        <v>545</v>
      </c>
      <c r="AN90" s="542">
        <f t="shared" si="164"/>
        <v>1108.44354062301</v>
      </c>
      <c r="AO90" s="498">
        <f t="shared" si="164"/>
        <v>2154.3085248848156</v>
      </c>
      <c r="AP90" s="543">
        <f>BE90-AA90</f>
        <v>4698.2346694103417</v>
      </c>
      <c r="AQ90" s="498">
        <f>IF(M90=0,0,$C$4*F$81*M90*AJ90)/10^6</f>
        <v>7466.5573024084206</v>
      </c>
      <c r="AR90" s="716"/>
      <c r="AS90" s="759"/>
      <c r="AT90" s="760" t="s">
        <v>545</v>
      </c>
      <c r="AU90" s="446">
        <f t="shared" si="165"/>
        <v>150.20982901486983</v>
      </c>
      <c r="AV90" s="446">
        <f t="shared" si="165"/>
        <v>159.89059299924278</v>
      </c>
      <c r="AW90" s="446">
        <f t="shared" si="165"/>
        <v>151.6862863326802</v>
      </c>
      <c r="AX90" s="542">
        <f t="shared" si="141"/>
        <v>164.89770645124344</v>
      </c>
      <c r="AY90" s="446">
        <f>U90+AJ90</f>
        <v>149.60249245753343</v>
      </c>
      <c r="AZ90" s="747"/>
      <c r="BA90" s="759"/>
      <c r="BB90" s="760" t="s">
        <v>545</v>
      </c>
      <c r="BC90" s="542">
        <f t="shared" si="166"/>
        <v>2580.8046850810388</v>
      </c>
      <c r="BD90" s="498">
        <f t="shared" si="166"/>
        <v>5015.9068372646143</v>
      </c>
      <c r="BE90" s="543">
        <v>10725.171069567707</v>
      </c>
      <c r="BF90" s="498">
        <f>AB90+AQ90</f>
        <v>17384.490378870338</v>
      </c>
      <c r="BG90" s="719"/>
      <c r="BH90" s="720"/>
      <c r="BI90" s="759"/>
      <c r="BJ90" s="760" t="s">
        <v>545</v>
      </c>
      <c r="BK90" s="496">
        <f t="shared" si="142"/>
        <v>7.4927605780306123E-3</v>
      </c>
      <c r="BL90" s="496">
        <f t="shared" si="143"/>
        <v>1.4530373117771221E-2</v>
      </c>
      <c r="BM90" s="496">
        <f t="shared" si="144"/>
        <v>3.108674349724606E-2</v>
      </c>
      <c r="BN90" s="495">
        <f t="shared" si="145"/>
        <v>4.7727073540880266E-2</v>
      </c>
      <c r="BO90" s="721"/>
      <c r="BP90" s="759"/>
      <c r="BQ90" s="760" t="s">
        <v>545</v>
      </c>
      <c r="BR90" s="446">
        <f t="shared" si="146"/>
        <v>16.141066442184382</v>
      </c>
      <c r="BS90" s="446">
        <f t="shared" si="147"/>
        <v>33.067635569003698</v>
      </c>
      <c r="BT90" s="446">
        <f t="shared" si="148"/>
        <v>65.041359885371733</v>
      </c>
      <c r="BU90" s="761">
        <f t="shared" si="149"/>
        <v>116.20455042756156</v>
      </c>
      <c r="BV90" s="721"/>
    </row>
    <row r="91" spans="1:74" x14ac:dyDescent="0.35">
      <c r="A91" s="976"/>
      <c r="G91" s="716"/>
      <c r="H91" s="759"/>
      <c r="I91" s="760" t="s">
        <v>468</v>
      </c>
      <c r="J91" s="522">
        <v>1.8302984870253989E-3</v>
      </c>
      <c r="K91" s="522">
        <v>1.8672485164129354E-3</v>
      </c>
      <c r="L91" s="522">
        <v>1.9354027544751368E-3</v>
      </c>
      <c r="M91" s="545">
        <v>1.7320333378169691E-3</v>
      </c>
      <c r="N91" s="716"/>
      <c r="O91" s="759"/>
      <c r="P91" s="760" t="s">
        <v>468</v>
      </c>
      <c r="Q91" s="446">
        <v>67.289205460210027</v>
      </c>
      <c r="R91" s="542">
        <f t="shared" si="167"/>
        <v>74.218952987267983</v>
      </c>
      <c r="S91" s="446">
        <f t="shared" si="161"/>
        <v>70.410629812297827</v>
      </c>
      <c r="T91" s="542">
        <f t="shared" si="137"/>
        <v>75.394505376500348</v>
      </c>
      <c r="U91" s="446">
        <f t="shared" si="161"/>
        <v>69.44336215287143</v>
      </c>
      <c r="V91" s="741"/>
      <c r="W91" s="759"/>
      <c r="X91" s="760" t="s">
        <v>468</v>
      </c>
      <c r="Y91" s="542">
        <f t="shared" si="162"/>
        <v>352.0482084499908</v>
      </c>
      <c r="Z91" s="446">
        <f t="shared" si="162"/>
        <v>351.80196563315576</v>
      </c>
      <c r="AA91" s="543">
        <v>396.46212655812741</v>
      </c>
      <c r="AB91" s="446">
        <f>IF(M91=0,0,$C$4*F$81*M91*U91)/10^6</f>
        <v>335.92198435981481</v>
      </c>
      <c r="AC91" s="716"/>
      <c r="AD91" s="759"/>
      <c r="AE91" s="760" t="s">
        <v>468</v>
      </c>
      <c r="AF91" s="446">
        <v>71.839920915906305</v>
      </c>
      <c r="AG91" s="542">
        <f t="shared" si="163"/>
        <v>73.078394435705903</v>
      </c>
      <c r="AH91" s="498">
        <f t="shared" si="163"/>
        <v>69.328595605118096</v>
      </c>
      <c r="AI91" s="542">
        <f t="shared" si="138"/>
        <v>77.339000749225036</v>
      </c>
      <c r="AJ91" s="498">
        <f>$AF91*$Q$7*U$12</f>
        <v>68.376192415698412</v>
      </c>
      <c r="AK91" s="747"/>
      <c r="AL91" s="759"/>
      <c r="AM91" s="760" t="s">
        <v>468</v>
      </c>
      <c r="AN91" s="542">
        <f t="shared" si="164"/>
        <v>346.63811333885889</v>
      </c>
      <c r="AO91" s="498">
        <f t="shared" si="164"/>
        <v>346.3956546545021</v>
      </c>
      <c r="AP91" s="543">
        <f>BE91-AA91</f>
        <v>406.68725857143664</v>
      </c>
      <c r="AQ91" s="498">
        <f>IF(M91=0,0,$C$4*F$81*M91*AJ91)/10^6</f>
        <v>330.75970873481356</v>
      </c>
      <c r="AR91" s="716"/>
      <c r="AS91" s="759"/>
      <c r="AT91" s="760" t="s">
        <v>468</v>
      </c>
      <c r="AU91" s="446">
        <f t="shared" si="165"/>
        <v>139.12912637611635</v>
      </c>
      <c r="AV91" s="446">
        <f t="shared" si="165"/>
        <v>147.29734742297387</v>
      </c>
      <c r="AW91" s="446">
        <f t="shared" si="165"/>
        <v>139.73922541741592</v>
      </c>
      <c r="AX91" s="542">
        <f t="shared" si="141"/>
        <v>152.73350612572537</v>
      </c>
      <c r="AY91" s="446">
        <f>U91+AJ91</f>
        <v>137.81955456856986</v>
      </c>
      <c r="AZ91" s="747"/>
      <c r="BA91" s="759"/>
      <c r="BB91" s="760" t="s">
        <v>468</v>
      </c>
      <c r="BC91" s="542">
        <f t="shared" si="166"/>
        <v>698.68632178884968</v>
      </c>
      <c r="BD91" s="498">
        <f t="shared" si="166"/>
        <v>698.19762028765786</v>
      </c>
      <c r="BE91" s="543">
        <v>803.14938512956405</v>
      </c>
      <c r="BF91" s="498">
        <f>AB91+AQ91</f>
        <v>666.68169309462837</v>
      </c>
      <c r="BG91" s="719"/>
      <c r="BH91" s="720"/>
      <c r="BI91" s="759"/>
      <c r="BJ91" s="760" t="s">
        <v>468</v>
      </c>
      <c r="BK91" s="496">
        <f t="shared" si="142"/>
        <v>2.2018967243683791E-3</v>
      </c>
      <c r="BL91" s="496">
        <f t="shared" si="143"/>
        <v>2.1955010865927845E-3</v>
      </c>
      <c r="BM91" s="496">
        <f t="shared" si="144"/>
        <v>2.5133190705369022E-3</v>
      </c>
      <c r="BN91" s="495">
        <f t="shared" si="145"/>
        <v>1.9867780747198057E-3</v>
      </c>
      <c r="BO91" s="721"/>
      <c r="BP91" s="759"/>
      <c r="BQ91" s="760" t="s">
        <v>468</v>
      </c>
      <c r="BR91" s="446">
        <f t="shared" si="146"/>
        <v>4.7433734144751893</v>
      </c>
      <c r="BS91" s="446">
        <f t="shared" si="147"/>
        <v>4.996432592223603</v>
      </c>
      <c r="BT91" s="446">
        <f t="shared" si="148"/>
        <v>5.2585015921027631</v>
      </c>
      <c r="BU91" s="761">
        <f t="shared" si="149"/>
        <v>4.8373519649051833</v>
      </c>
      <c r="BV91" s="721"/>
    </row>
    <row r="92" spans="1:74" x14ac:dyDescent="0.35">
      <c r="A92" s="976"/>
      <c r="G92" s="716"/>
      <c r="H92" s="759"/>
      <c r="I92" s="760" t="s">
        <v>544</v>
      </c>
      <c r="J92" s="522">
        <v>1.0150899850148653E-3</v>
      </c>
      <c r="K92" s="522">
        <v>3.7260345423821232E-3</v>
      </c>
      <c r="L92" s="522">
        <v>8.4812454016362712E-3</v>
      </c>
      <c r="M92" s="545">
        <v>1.8053319496334125E-2</v>
      </c>
      <c r="N92" s="716"/>
      <c r="O92" s="759"/>
      <c r="P92" s="760" t="s">
        <v>544</v>
      </c>
      <c r="Q92" s="446">
        <v>0</v>
      </c>
      <c r="R92" s="542">
        <f t="shared" si="167"/>
        <v>0</v>
      </c>
      <c r="S92" s="446">
        <f t="shared" si="161"/>
        <v>0</v>
      </c>
      <c r="T92" s="542">
        <f t="shared" si="137"/>
        <v>0</v>
      </c>
      <c r="U92" s="446">
        <f t="shared" si="161"/>
        <v>0</v>
      </c>
      <c r="V92" s="741"/>
      <c r="W92" s="759"/>
      <c r="X92" s="760" t="s">
        <v>544</v>
      </c>
      <c r="Y92" s="542">
        <f t="shared" si="162"/>
        <v>0</v>
      </c>
      <c r="Z92" s="446">
        <f t="shared" si="162"/>
        <v>0</v>
      </c>
      <c r="AA92" s="543">
        <v>0</v>
      </c>
      <c r="AB92" s="446">
        <f>IF(M92=0,0,$C$4*F$81*M92*U92)/10^6</f>
        <v>0</v>
      </c>
      <c r="AC92" s="716"/>
      <c r="AD92" s="759"/>
      <c r="AE92" s="760" t="s">
        <v>544</v>
      </c>
      <c r="AF92" s="446">
        <v>89.788876273341828</v>
      </c>
      <c r="AG92" s="542">
        <f t="shared" si="163"/>
        <v>91.336778111475326</v>
      </c>
      <c r="AH92" s="498">
        <f t="shared" si="163"/>
        <v>86.650105033929904</v>
      </c>
      <c r="AI92" s="542">
        <f t="shared" si="138"/>
        <v>98.568648000010938</v>
      </c>
      <c r="AJ92" s="498">
        <f>$AF92*$Q$7*U$12</f>
        <v>85.459747207154976</v>
      </c>
      <c r="AK92" s="747"/>
      <c r="AL92" s="759"/>
      <c r="AM92" s="760" t="s">
        <v>544</v>
      </c>
      <c r="AN92" s="542">
        <f t="shared" si="164"/>
        <v>240.27889459506738</v>
      </c>
      <c r="AO92" s="498">
        <f t="shared" si="164"/>
        <v>863.92069949498637</v>
      </c>
      <c r="AP92" s="543">
        <f>BE92-AA92</f>
        <v>2271.3762696281619</v>
      </c>
      <c r="AQ92" s="498">
        <f>IF(M92=0,0,$C$4*F$81*M92*AJ92)/10^6</f>
        <v>4308.936685118776</v>
      </c>
      <c r="AR92" s="716"/>
      <c r="AS92" s="759"/>
      <c r="AT92" s="760" t="s">
        <v>544</v>
      </c>
      <c r="AU92" s="446">
        <f t="shared" si="165"/>
        <v>89.788876273341828</v>
      </c>
      <c r="AV92" s="446">
        <f t="shared" si="165"/>
        <v>91.336778111475326</v>
      </c>
      <c r="AW92" s="446">
        <f t="shared" si="165"/>
        <v>86.650105033929904</v>
      </c>
      <c r="AX92" s="542">
        <f t="shared" si="141"/>
        <v>98.568648000010938</v>
      </c>
      <c r="AY92" s="446">
        <f>U92+AJ92</f>
        <v>85.459747207154976</v>
      </c>
      <c r="AZ92" s="747"/>
      <c r="BA92" s="759"/>
      <c r="BB92" s="760" t="s">
        <v>544</v>
      </c>
      <c r="BC92" s="542">
        <f t="shared" si="166"/>
        <v>240.27889459506738</v>
      </c>
      <c r="BD92" s="498">
        <f t="shared" si="166"/>
        <v>863.92069949498637</v>
      </c>
      <c r="BE92" s="543">
        <v>2271.3762696281619</v>
      </c>
      <c r="BF92" s="498">
        <f>AB92+AQ92</f>
        <v>4308.936685118776</v>
      </c>
      <c r="BG92" s="719"/>
      <c r="BH92" s="720"/>
      <c r="BI92" s="759"/>
      <c r="BJ92" s="760" t="s">
        <v>544</v>
      </c>
      <c r="BK92" s="496">
        <f t="shared" si="142"/>
        <v>1.2211796757674762E-3</v>
      </c>
      <c r="BL92" s="496">
        <f t="shared" si="143"/>
        <v>4.3810520209689695E-3</v>
      </c>
      <c r="BM92" s="496">
        <f t="shared" si="144"/>
        <v>1.1013767424143494E-2</v>
      </c>
      <c r="BN92" s="495">
        <f t="shared" si="145"/>
        <v>2.0708573309816139E-2</v>
      </c>
      <c r="BO92" s="721"/>
      <c r="BP92" s="759"/>
      <c r="BQ92" s="760" t="s">
        <v>544</v>
      </c>
      <c r="BR92" s="446">
        <f t="shared" si="146"/>
        <v>2.6306915961258253</v>
      </c>
      <c r="BS92" s="446">
        <f t="shared" si="147"/>
        <v>9.9702210303922634</v>
      </c>
      <c r="BT92" s="446">
        <f t="shared" si="148"/>
        <v>23.043597692725882</v>
      </c>
      <c r="BU92" s="761">
        <f t="shared" si="149"/>
        <v>50.420657981515973</v>
      </c>
      <c r="BV92" s="721"/>
    </row>
    <row r="93" spans="1:74" x14ac:dyDescent="0.35">
      <c r="A93" s="976"/>
      <c r="G93" s="716"/>
      <c r="H93" s="767"/>
      <c r="I93" s="765" t="s">
        <v>404</v>
      </c>
      <c r="J93" s="523">
        <v>0.57801961068054331</v>
      </c>
      <c r="K93" s="523">
        <v>0.59336317307069264</v>
      </c>
      <c r="L93" s="523">
        <v>0.55963683474803871</v>
      </c>
      <c r="M93" s="551">
        <v>0.55760324373066961</v>
      </c>
      <c r="N93" s="716"/>
      <c r="O93" s="767"/>
      <c r="P93" s="765" t="s">
        <v>404</v>
      </c>
      <c r="Q93" s="509">
        <v>112.90889231424811</v>
      </c>
      <c r="R93" s="484">
        <f>IF(J93=0,0,Y93/(J93*$C$4*C$81)*10^6)</f>
        <v>124.53676207353944</v>
      </c>
      <c r="S93" s="484">
        <f>IF(K93=0,0,Z93/(K93*$C$4*D$81)*10^6)</f>
        <v>117.3723386299778</v>
      </c>
      <c r="T93" s="484">
        <f t="shared" si="137"/>
        <v>123.77352318012775</v>
      </c>
      <c r="U93" s="484">
        <f>IF(M93=0,0,AB93/(M93*$C$4*F$81)*10^6)</f>
        <v>110.96819023875319</v>
      </c>
      <c r="V93" s="741"/>
      <c r="W93" s="767"/>
      <c r="X93" s="765" t="s">
        <v>404</v>
      </c>
      <c r="Y93" s="534">
        <f t="shared" ref="Y93:AB93" si="168">SUM(Y88:Y92)</f>
        <v>186554.41758510875</v>
      </c>
      <c r="Z93" s="484">
        <f t="shared" si="168"/>
        <v>186356.37585742321</v>
      </c>
      <c r="AA93" s="537">
        <v>188202.20169078806</v>
      </c>
      <c r="AB93" s="484">
        <f t="shared" si="168"/>
        <v>172812.53284387561</v>
      </c>
      <c r="AC93" s="716"/>
      <c r="AD93" s="767"/>
      <c r="AE93" s="765" t="s">
        <v>404</v>
      </c>
      <c r="AF93" s="509">
        <v>73.189123707679187</v>
      </c>
      <c r="AG93" s="484">
        <f>IF(J93=0,0,AN93/(J93*$C$4*C$81)*10^6)</f>
        <v>74.450856606235746</v>
      </c>
      <c r="AH93" s="484">
        <f>IF(K93=0,0,AO93/(K93*$C$4*D$81)*10^6)</f>
        <v>70.662407388888226</v>
      </c>
      <c r="AI93" s="484">
        <f t="shared" si="138"/>
        <v>77.90020040191628</v>
      </c>
      <c r="AJ93" s="484">
        <f>IF(M93=0,0,AQ93/(M93*$C$4*F$81)*10^6)</f>
        <v>69.80701897302481</v>
      </c>
      <c r="AK93" s="747"/>
      <c r="AL93" s="767"/>
      <c r="AM93" s="765" t="s">
        <v>404</v>
      </c>
      <c r="AN93" s="484">
        <f t="shared" ref="AN93:AQ93" si="169">SUM(AN88:AN92)</f>
        <v>111526.39559303113</v>
      </c>
      <c r="AO93" s="484">
        <f t="shared" si="169"/>
        <v>112193.30128428322</v>
      </c>
      <c r="AP93" s="484">
        <f t="shared" si="169"/>
        <v>118450.12447822221</v>
      </c>
      <c r="AQ93" s="484">
        <f t="shared" si="169"/>
        <v>108711.58422115078</v>
      </c>
      <c r="AR93" s="716"/>
      <c r="AS93" s="767"/>
      <c r="AT93" s="765" t="s">
        <v>404</v>
      </c>
      <c r="AU93" s="509">
        <v>186.09801602192732</v>
      </c>
      <c r="AV93" s="484">
        <f>IF(J93=0,0,BC93/(J93*$C$4*C$81)*10^6)</f>
        <v>198.98761867977518</v>
      </c>
      <c r="AW93" s="484">
        <f>IF(K93=0,0,BD93/(K93*$C$4*D$81)*10^6)</f>
        <v>188.03474601886603</v>
      </c>
      <c r="AX93" s="484">
        <f t="shared" si="141"/>
        <v>201.673723582044</v>
      </c>
      <c r="AY93" s="484">
        <f>IF(M93=0,0,BF93/(M93*$C$4*F$81)*10^6)</f>
        <v>180.77520921177799</v>
      </c>
      <c r="AZ93" s="747"/>
      <c r="BA93" s="767"/>
      <c r="BB93" s="765" t="s">
        <v>404</v>
      </c>
      <c r="BC93" s="534">
        <f t="shared" ref="BC93:BD93" si="170">SUM(BC88:BC92)</f>
        <v>298080.81317813991</v>
      </c>
      <c r="BD93" s="484">
        <f t="shared" si="170"/>
        <v>298549.6771417064</v>
      </c>
      <c r="BE93" s="534">
        <v>306652.32616901019</v>
      </c>
      <c r="BF93" s="484">
        <f t="shared" ref="BF93" si="171">SUM(BF88:BF92)</f>
        <v>281524.11706502637</v>
      </c>
      <c r="BG93" s="719"/>
      <c r="BH93" s="720" t="s">
        <v>548</v>
      </c>
      <c r="BI93" s="767"/>
      <c r="BJ93" s="765" t="s">
        <v>404</v>
      </c>
      <c r="BK93" s="482">
        <f t="shared" si="142"/>
        <v>0.69537263806988681</v>
      </c>
      <c r="BL93" s="482">
        <f t="shared" si="143"/>
        <v>0.69767333044850799</v>
      </c>
      <c r="BM93" s="482">
        <f t="shared" si="144"/>
        <v>0.7267458548846577</v>
      </c>
      <c r="BN93" s="481">
        <f t="shared" si="145"/>
        <v>0.63961465108577931</v>
      </c>
      <c r="BO93" s="721"/>
      <c r="BP93" s="767"/>
      <c r="BQ93" s="765" t="s">
        <v>404</v>
      </c>
      <c r="BR93" s="484">
        <f t="shared" si="146"/>
        <v>1497.9867348321427</v>
      </c>
      <c r="BS93" s="484">
        <f t="shared" si="147"/>
        <v>1587.7367532474668</v>
      </c>
      <c r="BT93" s="484">
        <f t="shared" si="148"/>
        <v>1520.5368390208716</v>
      </c>
      <c r="BU93" s="766">
        <f t="shared" si="149"/>
        <v>1557.3159521846887</v>
      </c>
      <c r="BV93" s="721"/>
    </row>
    <row r="94" spans="1:74" x14ac:dyDescent="0.35">
      <c r="A94" s="976"/>
      <c r="G94" s="716"/>
      <c r="H94" s="755" t="s">
        <v>591</v>
      </c>
      <c r="I94" s="768"/>
      <c r="J94" s="505">
        <v>0.20081045262534877</v>
      </c>
      <c r="K94" s="505">
        <v>0.20255144639010561</v>
      </c>
      <c r="L94" s="505">
        <v>0.17143030486448688</v>
      </c>
      <c r="M94" s="550">
        <v>0.23771007600417279</v>
      </c>
      <c r="N94" s="716"/>
      <c r="O94" s="755" t="s">
        <v>591</v>
      </c>
      <c r="P94" s="768"/>
      <c r="Q94" s="505">
        <v>5.1828753057843707E-2</v>
      </c>
      <c r="R94" s="549">
        <f>IF(J94=0,0,Y94/(J94*$C$4*C$81)*10^6)</f>
        <v>5.1851258739325862E-2</v>
      </c>
      <c r="S94" s="505">
        <f t="shared" ref="S94:U96" si="172">$R94</f>
        <v>5.1851258739325862E-2</v>
      </c>
      <c r="T94" s="549">
        <f t="shared" si="137"/>
        <v>5.2254826025899544E-2</v>
      </c>
      <c r="U94" s="505">
        <f t="shared" si="172"/>
        <v>5.1851258739325862E-2</v>
      </c>
      <c r="V94" s="741"/>
      <c r="W94" s="755" t="s">
        <v>591</v>
      </c>
      <c r="X94" s="768"/>
      <c r="Y94" s="548">
        <v>26.984291097922664</v>
      </c>
      <c r="Z94" s="448">
        <f>IF(K94=0,0,$C$4*D$81*K94*S94)/10^6</f>
        <v>28.102992153039878</v>
      </c>
      <c r="AA94" s="548">
        <v>24.339108043547654</v>
      </c>
      <c r="AB94" s="448">
        <f>IF(M94=0,0,$C$4*F$81*M94*U94)/10^6</f>
        <v>34.423762394973245</v>
      </c>
      <c r="AC94" s="716"/>
      <c r="AD94" s="755" t="s">
        <v>591</v>
      </c>
      <c r="AE94" s="768"/>
      <c r="AF94" s="448">
        <v>6.9730960686619339</v>
      </c>
      <c r="AG94" s="546">
        <v>6.9734538528069487</v>
      </c>
      <c r="AH94" s="504">
        <f>$AG94</f>
        <v>6.9734538528069487</v>
      </c>
      <c r="AI94" s="546">
        <f t="shared" si="138"/>
        <v>6.9798695650659504</v>
      </c>
      <c r="AJ94" s="504">
        <f t="shared" ref="AJ94:AJ96" si="173">$AG94</f>
        <v>6.9734538528069487</v>
      </c>
      <c r="AK94" s="747"/>
      <c r="AL94" s="755" t="s">
        <v>591</v>
      </c>
      <c r="AM94" s="768"/>
      <c r="AN94" s="547">
        <f>BC94-Y94</f>
        <v>3629.1058943831454</v>
      </c>
      <c r="AO94" s="504">
        <f>IF(K94=0,0,$C$4*D$81*K94*AH94)/10^6</f>
        <v>3779.5595260329706</v>
      </c>
      <c r="AP94" s="547">
        <f>BE94-AA94</f>
        <v>3251.064301502201</v>
      </c>
      <c r="AQ94" s="504">
        <f>IF(M94=0,0,$C$4*F$81*M94*AJ94)/10^6</f>
        <v>4629.6372419455402</v>
      </c>
      <c r="AR94" s="716"/>
      <c r="AS94" s="755" t="s">
        <v>591</v>
      </c>
      <c r="AT94" s="768"/>
      <c r="AU94" s="448">
        <f>Q94+AF94</f>
        <v>7.0249248217197779</v>
      </c>
      <c r="AV94" s="546">
        <f>IF(J94=0,0,BC94/(J94*$C$4*C$81)*10^6)</f>
        <v>7.0253051115462748</v>
      </c>
      <c r="AW94" s="504">
        <f>S94+AH94</f>
        <v>7.0253051115462748</v>
      </c>
      <c r="AX94" s="546">
        <f t="shared" si="141"/>
        <v>7.0321243910918501</v>
      </c>
      <c r="AY94" s="504">
        <f>U94+AJ94</f>
        <v>7.0253051115462748</v>
      </c>
      <c r="AZ94" s="747"/>
      <c r="BA94" s="755" t="s">
        <v>591</v>
      </c>
      <c r="BB94" s="768"/>
      <c r="BC94" s="538">
        <v>3656.0901854810681</v>
      </c>
      <c r="BD94" s="504">
        <f>Z94+AO94</f>
        <v>3807.6625181860104</v>
      </c>
      <c r="BE94" s="538">
        <v>3275.4034095457487</v>
      </c>
      <c r="BF94" s="504">
        <f>AB94+AQ94</f>
        <v>4664.0610043405131</v>
      </c>
      <c r="BG94" s="719"/>
      <c r="BH94" s="720" t="str">
        <f>BI94</f>
        <v>Train</v>
      </c>
      <c r="BI94" s="755" t="s">
        <v>591</v>
      </c>
      <c r="BJ94" s="768"/>
      <c r="BK94" s="502">
        <f t="shared" si="142"/>
        <v>0.24158020180265341</v>
      </c>
      <c r="BL94" s="502">
        <f t="shared" si="143"/>
        <v>0.2381589363877008</v>
      </c>
      <c r="BM94" s="502">
        <f t="shared" si="144"/>
        <v>0.22261984152270928</v>
      </c>
      <c r="BN94" s="501">
        <f t="shared" si="145"/>
        <v>0.27267209979937262</v>
      </c>
      <c r="BO94" s="721"/>
      <c r="BP94" s="755" t="s">
        <v>591</v>
      </c>
      <c r="BQ94" s="768"/>
      <c r="BR94" s="448">
        <f t="shared" si="146"/>
        <v>520.41728116152387</v>
      </c>
      <c r="BS94" s="448">
        <f t="shared" si="147"/>
        <v>541.99247687164723</v>
      </c>
      <c r="BT94" s="448">
        <f t="shared" si="148"/>
        <v>465.77722852783467</v>
      </c>
      <c r="BU94" s="757">
        <f t="shared" si="149"/>
        <v>663.89444021086081</v>
      </c>
      <c r="BV94" s="721"/>
    </row>
    <row r="95" spans="1:74" x14ac:dyDescent="0.35">
      <c r="A95" s="976"/>
      <c r="G95" s="716"/>
      <c r="H95" s="759" t="s">
        <v>590</v>
      </c>
      <c r="J95" s="522">
        <v>1.6793508204662362E-2</v>
      </c>
      <c r="K95" s="522">
        <v>1.8405764136382719E-2</v>
      </c>
      <c r="L95" s="522">
        <v>7.0622436330461816E-3</v>
      </c>
      <c r="M95" s="545">
        <v>3.7316505814876548E-2</v>
      </c>
      <c r="N95" s="716"/>
      <c r="O95" s="759" t="s">
        <v>590</v>
      </c>
      <c r="Q95" s="446">
        <v>63.533074223942634</v>
      </c>
      <c r="R95" s="542">
        <f>IF(J95=0,0,Y95/(J95*$C$4*C$81)*10^6)</f>
        <v>41.196027013617808</v>
      </c>
      <c r="S95" s="446">
        <f t="shared" si="172"/>
        <v>41.196027013617808</v>
      </c>
      <c r="T95" s="542">
        <f t="shared" si="137"/>
        <v>55.150642325034696</v>
      </c>
      <c r="U95" s="446">
        <f t="shared" si="172"/>
        <v>41.196027013617808</v>
      </c>
      <c r="V95" s="741"/>
      <c r="W95" s="759" t="s">
        <v>590</v>
      </c>
      <c r="Y95" s="544">
        <v>1792.925150823095</v>
      </c>
      <c r="Z95" s="446">
        <f>IF(K95=0,0,$C$4*D$81*K95*S95)/10^6</f>
        <v>2028.9301518939608</v>
      </c>
      <c r="AA95" s="544">
        <v>1058.2393966484585</v>
      </c>
      <c r="AB95" s="446">
        <f>IF(M95=0,0,$C$4*F$81*M95*U95)/10^6</f>
        <v>4293.4632134419235</v>
      </c>
      <c r="AC95" s="716"/>
      <c r="AD95" s="759" t="s">
        <v>590</v>
      </c>
      <c r="AF95" s="446">
        <v>26.947748950756736</v>
      </c>
      <c r="AG95" s="542">
        <v>19.881402183727282</v>
      </c>
      <c r="AH95" s="498">
        <f t="shared" ref="AH95:AH96" si="174">$AG95</f>
        <v>19.881402183727282</v>
      </c>
      <c r="AI95" s="542">
        <f t="shared" si="138"/>
        <v>24.295958407854869</v>
      </c>
      <c r="AJ95" s="498">
        <f t="shared" si="173"/>
        <v>19.881402183727282</v>
      </c>
      <c r="AK95" s="747"/>
      <c r="AL95" s="759" t="s">
        <v>590</v>
      </c>
      <c r="AN95" s="543">
        <f>BC95-Y95</f>
        <v>865.27436242943304</v>
      </c>
      <c r="AO95" s="498">
        <f>IF(K95=0,0,$C$4*D$81*K95*AH95)/10^6</f>
        <v>979.1715191166503</v>
      </c>
      <c r="AP95" s="543">
        <f>BE95-AA95</f>
        <v>466.19475825856944</v>
      </c>
      <c r="AQ95" s="498">
        <f>IF(M95=0,0,$C$4*F$81*M95*AJ95)/10^6</f>
        <v>2072.0461436550736</v>
      </c>
      <c r="AR95" s="716"/>
      <c r="AS95" s="759" t="s">
        <v>590</v>
      </c>
      <c r="AU95" s="446">
        <f>Q95+AF95</f>
        <v>90.480823174699367</v>
      </c>
      <c r="AV95" s="542">
        <f>IF(J95=0,0,BC95/(J95*$C$4*C$81)*10^6)</f>
        <v>61.07742919734509</v>
      </c>
      <c r="AW95" s="498">
        <f>S95+AH95</f>
        <v>61.07742919734509</v>
      </c>
      <c r="AX95" s="542">
        <f t="shared" si="141"/>
        <v>79.446600732889564</v>
      </c>
      <c r="AY95" s="498">
        <f>U95+AJ95</f>
        <v>61.07742919734509</v>
      </c>
      <c r="AZ95" s="747"/>
      <c r="BA95" s="759" t="s">
        <v>590</v>
      </c>
      <c r="BC95" s="538">
        <v>2658.199513252528</v>
      </c>
      <c r="BD95" s="498">
        <f>Z95+AO95</f>
        <v>3008.101671010611</v>
      </c>
      <c r="BE95" s="538">
        <v>1524.434154907028</v>
      </c>
      <c r="BF95" s="498">
        <f>AB95+AQ95</f>
        <v>6365.5093570969966</v>
      </c>
      <c r="BG95" s="719"/>
      <c r="BH95" s="720" t="str">
        <f>BI95</f>
        <v>Bus</v>
      </c>
      <c r="BI95" s="759" t="s">
        <v>590</v>
      </c>
      <c r="BK95" s="496">
        <f t="shared" si="142"/>
        <v>2.0203027521809028E-2</v>
      </c>
      <c r="BL95" s="496">
        <f t="shared" si="143"/>
        <v>2.1641401669783018E-2</v>
      </c>
      <c r="BM95" s="496">
        <f t="shared" si="144"/>
        <v>9.1710480222636295E-3</v>
      </c>
      <c r="BN95" s="495">
        <f t="shared" si="145"/>
        <v>4.2804958749578924E-2</v>
      </c>
      <c r="BO95" s="721"/>
      <c r="BP95" s="759" t="s">
        <v>590</v>
      </c>
      <c r="BR95" s="446">
        <f t="shared" si="146"/>
        <v>43.521797629427311</v>
      </c>
      <c r="BS95" s="446">
        <f t="shared" si="147"/>
        <v>49.250626795231376</v>
      </c>
      <c r="BT95" s="446">
        <f t="shared" si="148"/>
        <v>19.188160863324857</v>
      </c>
      <c r="BU95" s="761">
        <f t="shared" si="149"/>
        <v>104.22032231464144</v>
      </c>
      <c r="BV95" s="721"/>
    </row>
    <row r="96" spans="1:74" x14ac:dyDescent="0.35">
      <c r="A96" s="976"/>
      <c r="G96" s="716"/>
      <c r="H96" s="764" t="s">
        <v>492</v>
      </c>
      <c r="I96" s="769"/>
      <c r="J96" s="491">
        <v>3.656129708804664E-3</v>
      </c>
      <c r="K96" s="491">
        <v>4.2106501485571247E-3</v>
      </c>
      <c r="L96" s="491">
        <v>2.8088338507922138E-3</v>
      </c>
      <c r="M96" s="541">
        <v>4.327956336927067E-3</v>
      </c>
      <c r="N96" s="716"/>
      <c r="O96" s="764" t="s">
        <v>492</v>
      </c>
      <c r="P96" s="769"/>
      <c r="Q96" s="491">
        <v>0.18742182767857141</v>
      </c>
      <c r="R96" s="540">
        <f>IF(J96=0,0,Y96/(J96*$C$4*C$81)*10^6)</f>
        <v>0.18742182767857096</v>
      </c>
      <c r="S96" s="491">
        <f t="shared" si="172"/>
        <v>0.18742182767857096</v>
      </c>
      <c r="T96" s="540">
        <f t="shared" si="137"/>
        <v>0.18742182767857096</v>
      </c>
      <c r="U96" s="491">
        <f t="shared" si="172"/>
        <v>0.18742182767857096</v>
      </c>
      <c r="V96" s="741"/>
      <c r="W96" s="764" t="s">
        <v>492</v>
      </c>
      <c r="X96" s="769"/>
      <c r="Y96" s="534">
        <v>1.7758535914451008</v>
      </c>
      <c r="Z96" s="445">
        <f>IF(K96=0,0,$C$4*D$81*K96*S96)/10^6</f>
        <v>2.1116757705111904</v>
      </c>
      <c r="AA96" s="534">
        <v>1.4303320627264704</v>
      </c>
      <c r="AB96" s="445">
        <f>IF(M96=0,0,$C$4*F$81*M96*U96)/10^6</f>
        <v>2.26544999304696</v>
      </c>
      <c r="AC96" s="716"/>
      <c r="AD96" s="764" t="s">
        <v>492</v>
      </c>
      <c r="AE96" s="769"/>
      <c r="AF96" s="445">
        <v>36.015470702126663</v>
      </c>
      <c r="AG96" s="509">
        <v>36.015470702126628</v>
      </c>
      <c r="AH96" s="490">
        <f t="shared" si="174"/>
        <v>36.015470702126628</v>
      </c>
      <c r="AI96" s="509">
        <f t="shared" si="138"/>
        <v>36.015470702126635</v>
      </c>
      <c r="AJ96" s="490">
        <f t="shared" si="173"/>
        <v>36.015470702126628</v>
      </c>
      <c r="AK96" s="747"/>
      <c r="AL96" s="764" t="s">
        <v>492</v>
      </c>
      <c r="AM96" s="769"/>
      <c r="AN96" s="539">
        <f>BC96-Y96</f>
        <v>341.25269071458371</v>
      </c>
      <c r="AO96" s="490">
        <f>IF(K96=0,0,$C$4*D$81*K96*AH96)/10^6</f>
        <v>405.78516273818212</v>
      </c>
      <c r="AP96" s="539">
        <f>BE96-AA96</f>
        <v>274.8563661847561</v>
      </c>
      <c r="AQ96" s="490">
        <f>IF(M96=0,0,$C$4*F$81*M96*AJ96)/10^6</f>
        <v>435.33482125489138</v>
      </c>
      <c r="AR96" s="716"/>
      <c r="AS96" s="764" t="s">
        <v>492</v>
      </c>
      <c r="AT96" s="769"/>
      <c r="AU96" s="445">
        <f>Q96+AF96</f>
        <v>36.202892529805233</v>
      </c>
      <c r="AV96" s="509">
        <f>IF(J96=0,0,BC96/(J96*$C$4*C$81)*10^6)</f>
        <v>36.202892529805197</v>
      </c>
      <c r="AW96" s="490">
        <f>S96+AH96</f>
        <v>36.202892529805197</v>
      </c>
      <c r="AX96" s="509">
        <f t="shared" si="141"/>
        <v>36.202892529805204</v>
      </c>
      <c r="AY96" s="490">
        <f>U96+AJ96</f>
        <v>36.202892529805197</v>
      </c>
      <c r="AZ96" s="747"/>
      <c r="BA96" s="764" t="s">
        <v>492</v>
      </c>
      <c r="BB96" s="769"/>
      <c r="BC96" s="538">
        <v>343.02854430602883</v>
      </c>
      <c r="BD96" s="490">
        <f>Z96+AO96</f>
        <v>407.89683850869329</v>
      </c>
      <c r="BE96" s="537">
        <v>276.28669824748255</v>
      </c>
      <c r="BF96" s="490">
        <f>AB96+AQ96</f>
        <v>437.60027124793834</v>
      </c>
      <c r="BG96" s="719"/>
      <c r="BH96" s="720" t="str">
        <f>BI96</f>
        <v>Tram/métro</v>
      </c>
      <c r="BI96" s="764" t="s">
        <v>492</v>
      </c>
      <c r="BJ96" s="769"/>
      <c r="BK96" s="488">
        <f t="shared" si="142"/>
        <v>4.3984192123583338E-3</v>
      </c>
      <c r="BL96" s="488">
        <f t="shared" si="143"/>
        <v>4.9508605282912706E-3</v>
      </c>
      <c r="BM96" s="488">
        <f t="shared" si="144"/>
        <v>3.6475589728506637E-3</v>
      </c>
      <c r="BN96" s="487">
        <f t="shared" si="145"/>
        <v>4.964505342252251E-3</v>
      </c>
      <c r="BO96" s="721"/>
      <c r="BP96" s="764" t="s">
        <v>492</v>
      </c>
      <c r="BQ96" s="769"/>
      <c r="BR96" s="445">
        <f t="shared" si="146"/>
        <v>9.4751695330316341</v>
      </c>
      <c r="BS96" s="445">
        <f t="shared" si="147"/>
        <v>11.266968189706915</v>
      </c>
      <c r="BT96" s="445">
        <f t="shared" si="148"/>
        <v>7.6316194353813191</v>
      </c>
      <c r="BU96" s="770">
        <f t="shared" si="149"/>
        <v>12.087439446659403</v>
      </c>
      <c r="BV96" s="721"/>
    </row>
    <row r="97" spans="1:74" x14ac:dyDescent="0.35">
      <c r="A97" s="976"/>
      <c r="G97" s="716"/>
      <c r="H97" s="771" t="s">
        <v>7</v>
      </c>
      <c r="I97" s="772"/>
      <c r="J97" s="521">
        <v>0.83123720870715478</v>
      </c>
      <c r="K97" s="521">
        <v>0.85048854123353368</v>
      </c>
      <c r="L97" s="521">
        <v>0.77005851631153643</v>
      </c>
      <c r="M97" s="536">
        <v>0.87177997374529959</v>
      </c>
      <c r="N97" s="716"/>
      <c r="O97" s="771" t="s">
        <v>7</v>
      </c>
      <c r="P97" s="772"/>
      <c r="Q97" s="484"/>
      <c r="R97" s="484">
        <f>IF(J97=0,0,Y97/(J97*$C$4*C$81)*10^6)</f>
        <v>88.874030851869193</v>
      </c>
      <c r="S97" s="484">
        <f>IF(K97=0,0,Z97/(K97*$C$4*D$81)*10^6)</f>
        <v>84.227426948064547</v>
      </c>
      <c r="T97" s="484">
        <f t="shared" si="137"/>
        <v>92.01118961051678</v>
      </c>
      <c r="U97" s="484">
        <f>IF(M97=0,0,AB97/(M97*$C$4*F$81)*10^6)</f>
        <v>74.093005549452641</v>
      </c>
      <c r="V97" s="741"/>
      <c r="W97" s="773" t="s">
        <v>7</v>
      </c>
      <c r="X97" s="774"/>
      <c r="Y97" s="535">
        <f t="shared" ref="Y97:AB97" si="175">SUM(Y84,Y87,Y93,Y94:Y96)</f>
        <v>191454.35410960551</v>
      </c>
      <c r="Z97" s="520">
        <f t="shared" si="175"/>
        <v>191681.37229917845</v>
      </c>
      <c r="AA97" s="535">
        <f t="shared" si="175"/>
        <v>192510.76901859988</v>
      </c>
      <c r="AB97" s="520">
        <f t="shared" si="175"/>
        <v>180399.58792625708</v>
      </c>
      <c r="AC97" s="716"/>
      <c r="AD97" s="771" t="s">
        <v>7</v>
      </c>
      <c r="AE97" s="772"/>
      <c r="AF97" s="484"/>
      <c r="AG97" s="484">
        <f>IF(J97=0,0,AN97/(J97*$C$4*C$81)*10^6)</f>
        <v>54.966210327722671</v>
      </c>
      <c r="AH97" s="484">
        <f>IF(K97=0,0,AO97/(K97*$C$4*D$81)*10^6)</f>
        <v>52.476725971122896</v>
      </c>
      <c r="AI97" s="484">
        <f t="shared" si="138"/>
        <v>59.561777607376186</v>
      </c>
      <c r="AJ97" s="484">
        <f>IF(M97=0,0,AQ97/(M97*$C$4*F$81)*10^6)</f>
        <v>48.455777607953422</v>
      </c>
      <c r="AK97" s="747"/>
      <c r="AL97" s="771" t="s">
        <v>7</v>
      </c>
      <c r="AM97" s="772"/>
      <c r="AN97" s="484">
        <f>SUM(AN84,AN87,AN93,AN94:AN96)</f>
        <v>118409.39580749915</v>
      </c>
      <c r="AO97" s="484">
        <f>SUM(AO84,AO87,AO93,AO94:AO96)</f>
        <v>119424.4109358242</v>
      </c>
      <c r="AP97" s="484">
        <f>SUM(AP84,AP87,AP93,AP94:AP96)</f>
        <v>124618.36065643289</v>
      </c>
      <c r="AQ97" s="484">
        <f t="shared" ref="AQ97" si="176">SUM(AQ84,AQ87,AQ93,AQ94:AQ96)</f>
        <v>117978.77881046126</v>
      </c>
      <c r="AR97" s="716"/>
      <c r="AS97" s="771" t="s">
        <v>7</v>
      </c>
      <c r="AT97" s="772"/>
      <c r="AU97" s="484"/>
      <c r="AV97" s="484">
        <f>IF(J97=0,0,BC97/(J97*$C$4*C$81)*10^6)</f>
        <v>143.84024117959191</v>
      </c>
      <c r="AW97" s="484">
        <f>IF(K97=0,0,BD97/(K97*$C$4*D$81)*10^6)</f>
        <v>136.70415291918746</v>
      </c>
      <c r="AX97" s="484">
        <f t="shared" si="141"/>
        <v>151.57296721789294</v>
      </c>
      <c r="AY97" s="484">
        <f>IF(M97=0,0,BF97/(M97*$C$4*F$81)*10^6)</f>
        <v>122.54878315740605</v>
      </c>
      <c r="AZ97" s="747"/>
      <c r="BA97" s="771" t="s">
        <v>7</v>
      </c>
      <c r="BB97" s="772"/>
      <c r="BC97" s="534">
        <f>SUM(BC84,BC87,BC93,BC94:BC96)</f>
        <v>309863.74991710472</v>
      </c>
      <c r="BD97" s="484">
        <f t="shared" ref="BD97:BF97" si="177">SUM(BD84,BD87,BD93,BD94:BD96)</f>
        <v>311105.78323500266</v>
      </c>
      <c r="BE97" s="534">
        <f t="shared" si="177"/>
        <v>317129.12967503269</v>
      </c>
      <c r="BF97" s="484">
        <f t="shared" si="177"/>
        <v>298378.36673671828</v>
      </c>
      <c r="BG97" s="719"/>
      <c r="BH97" s="720"/>
      <c r="BI97" s="771" t="s">
        <v>7</v>
      </c>
      <c r="BJ97" s="772"/>
      <c r="BK97" s="482">
        <f t="shared" si="142"/>
        <v>1</v>
      </c>
      <c r="BL97" s="482">
        <f t="shared" si="143"/>
        <v>1</v>
      </c>
      <c r="BM97" s="482">
        <f t="shared" si="144"/>
        <v>1</v>
      </c>
      <c r="BN97" s="781">
        <f t="shared" si="145"/>
        <v>1</v>
      </c>
      <c r="BO97" s="721"/>
      <c r="BP97" s="771" t="s">
        <v>7</v>
      </c>
      <c r="BQ97" s="772"/>
      <c r="BR97" s="484">
        <f t="shared" si="146"/>
        <v>2154.2215681509042</v>
      </c>
      <c r="BS97" s="484">
        <f t="shared" si="147"/>
        <v>2275.7595624685418</v>
      </c>
      <c r="BT97" s="484">
        <f t="shared" si="148"/>
        <v>2092.2538860055788</v>
      </c>
      <c r="BU97" s="782">
        <f t="shared" si="149"/>
        <v>2434.7721703076436</v>
      </c>
      <c r="BV97" s="721"/>
    </row>
    <row r="98" spans="1:74" x14ac:dyDescent="0.35">
      <c r="A98" s="976"/>
      <c r="G98" s="716"/>
      <c r="J98" s="758">
        <f t="shared" ref="J98:M98" si="178">J97/$J97-1</f>
        <v>0</v>
      </c>
      <c r="K98" s="758">
        <f t="shared" si="178"/>
        <v>2.3159854160427873E-2</v>
      </c>
      <c r="L98" s="758">
        <f t="shared" si="178"/>
        <v>-7.3599559493698785E-2</v>
      </c>
      <c r="M98" s="758">
        <f t="shared" si="178"/>
        <v>4.8774001709093406E-2</v>
      </c>
      <c r="N98" s="747"/>
      <c r="Q98" s="789" t="s">
        <v>634</v>
      </c>
      <c r="R98" s="533"/>
      <c r="S98" s="533"/>
      <c r="T98" s="533"/>
      <c r="U98" s="533"/>
      <c r="V98" s="741"/>
      <c r="Y98" s="758">
        <f>Y97/$Y97-1</f>
        <v>0</v>
      </c>
      <c r="Z98" s="758">
        <f t="shared" ref="Z98:AB98" si="179">Z97/$Y97-1</f>
        <v>1.1857562113366527E-3</v>
      </c>
      <c r="AA98" s="758">
        <f t="shared" si="179"/>
        <v>5.5178421713490966E-3</v>
      </c>
      <c r="AB98" s="758">
        <f t="shared" si="179"/>
        <v>-5.7741001685548965E-2</v>
      </c>
      <c r="AC98" s="716"/>
      <c r="AF98" s="789" t="s">
        <v>634</v>
      </c>
      <c r="AG98" s="532"/>
      <c r="AH98" s="532"/>
      <c r="AI98" s="532"/>
      <c r="AJ98" s="532"/>
      <c r="AK98" s="747"/>
      <c r="AN98" s="758">
        <f>AN97/$AN97-1</f>
        <v>0</v>
      </c>
      <c r="AO98" s="758">
        <f t="shared" ref="AO98:AQ98" si="180">AO97/$AN97-1</f>
        <v>8.5720826578252751E-3</v>
      </c>
      <c r="AP98" s="758">
        <f t="shared" si="180"/>
        <v>5.2436420324513788E-2</v>
      </c>
      <c r="AQ98" s="758">
        <f t="shared" si="180"/>
        <v>-3.6366792863123942E-3</v>
      </c>
      <c r="AR98" s="716"/>
      <c r="AU98" s="789" t="s">
        <v>634</v>
      </c>
      <c r="AV98" s="532"/>
      <c r="AW98" s="532"/>
      <c r="AX98" s="532"/>
      <c r="AY98" s="532"/>
      <c r="AZ98" s="747"/>
      <c r="BC98" s="758">
        <f>BC97/$BC97-1</f>
        <v>0</v>
      </c>
      <c r="BD98" s="758">
        <f t="shared" ref="BD98:BF98" si="181">BD97/$BC97-1</f>
        <v>4.0083208127126291E-3</v>
      </c>
      <c r="BE98" s="758">
        <f t="shared" si="181"/>
        <v>2.3447014243749509E-2</v>
      </c>
      <c r="BF98" s="758">
        <f t="shared" si="181"/>
        <v>-3.7065914239594155E-2</v>
      </c>
      <c r="BG98" s="719"/>
      <c r="BH98" s="720" t="str">
        <f>BI98</f>
        <v>TP</v>
      </c>
      <c r="BI98" s="776" t="s">
        <v>600</v>
      </c>
      <c r="BJ98" s="765" t="s">
        <v>404</v>
      </c>
      <c r="BK98" s="777">
        <f t="shared" ref="BK98:BN98" si="182">SUM(BK94:BK96)</f>
        <v>0.2661816485368208</v>
      </c>
      <c r="BL98" s="777">
        <f t="shared" si="182"/>
        <v>0.26475119858577506</v>
      </c>
      <c r="BM98" s="777">
        <f t="shared" si="182"/>
        <v>0.23543844851782356</v>
      </c>
      <c r="BN98" s="778">
        <f t="shared" si="182"/>
        <v>0.32044156389120376</v>
      </c>
      <c r="BO98" s="721"/>
      <c r="BP98" s="776" t="s">
        <v>600</v>
      </c>
      <c r="BQ98" s="765" t="s">
        <v>404</v>
      </c>
      <c r="BR98" s="779">
        <f>SUM(BR94:BR96)</f>
        <v>573.41424832398275</v>
      </c>
      <c r="BS98" s="779">
        <f>SUM(BS94:BS96)</f>
        <v>602.51007185658545</v>
      </c>
      <c r="BT98" s="779">
        <f t="shared" ref="BT98" si="183">SUM(BT94:BT96)</f>
        <v>492.59700882654084</v>
      </c>
      <c r="BU98" s="780">
        <f>SUM(BU94:BU96)</f>
        <v>780.20220197216167</v>
      </c>
      <c r="BV98" s="721"/>
    </row>
    <row r="99" spans="1:74" ht="14.5" x14ac:dyDescent="0.35">
      <c r="A99" s="976"/>
      <c r="B99" s="787"/>
      <c r="C99" s="716"/>
      <c r="D99" s="717"/>
      <c r="E99" s="717"/>
      <c r="F99" s="717"/>
      <c r="G99" s="716"/>
      <c r="H99" s="717"/>
      <c r="I99" s="717"/>
      <c r="J99" s="717"/>
      <c r="K99" s="717"/>
      <c r="L99" s="717"/>
      <c r="M99" s="717"/>
      <c r="N99" s="716"/>
      <c r="O99" s="717"/>
      <c r="P99" s="717"/>
      <c r="Q99" s="718"/>
      <c r="R99" s="717"/>
      <c r="S99" s="717"/>
      <c r="T99" s="717"/>
      <c r="U99" s="717"/>
      <c r="V99" s="716"/>
      <c r="W99" s="717"/>
      <c r="X99" s="717"/>
      <c r="Y99" s="717"/>
      <c r="Z99" s="717"/>
      <c r="AA99" s="717"/>
      <c r="AB99" s="717"/>
      <c r="AC99" s="716"/>
      <c r="AD99" s="717"/>
      <c r="AE99" s="717"/>
      <c r="AF99" s="718"/>
      <c r="AG99" s="717"/>
      <c r="AH99" s="717"/>
      <c r="AI99" s="717"/>
      <c r="AJ99" s="717"/>
      <c r="AK99" s="716"/>
      <c r="AL99" s="717"/>
      <c r="AM99" s="717"/>
      <c r="AN99" s="531"/>
      <c r="AO99" s="531"/>
      <c r="AP99" s="531"/>
      <c r="AQ99" s="530"/>
      <c r="AR99" s="716"/>
      <c r="AS99" s="717"/>
      <c r="AT99" s="717"/>
      <c r="AU99" s="718"/>
      <c r="AV99" s="717"/>
      <c r="AW99" s="717"/>
      <c r="AX99" s="717"/>
      <c r="AY99" s="717"/>
      <c r="AZ99" s="716"/>
      <c r="BA99" s="717"/>
      <c r="BB99" s="717"/>
      <c r="BC99" s="717"/>
      <c r="BD99" s="717"/>
      <c r="BE99" s="717"/>
      <c r="BF99" s="717"/>
      <c r="BG99" s="719"/>
      <c r="BH99" s="720"/>
      <c r="BI99" s="721"/>
      <c r="BJ99" s="721"/>
      <c r="BK99" s="721"/>
      <c r="BL99" s="721"/>
      <c r="BM99" s="721"/>
      <c r="BN99" s="721"/>
      <c r="BO99" s="721"/>
      <c r="BP99" s="721"/>
      <c r="BQ99" s="721"/>
      <c r="BR99" s="721"/>
      <c r="BS99" s="721"/>
      <c r="BT99" s="721"/>
      <c r="BU99" s="721"/>
      <c r="BV99" s="721"/>
    </row>
    <row r="100" spans="1:74" x14ac:dyDescent="0.35">
      <c r="A100" s="976" t="s">
        <v>626</v>
      </c>
      <c r="B100" s="741" t="s">
        <v>633</v>
      </c>
      <c r="G100" s="716"/>
      <c r="H100" s="743" t="s">
        <v>632</v>
      </c>
      <c r="I100" s="743"/>
      <c r="J100" s="743"/>
      <c r="K100" s="743"/>
      <c r="L100" s="743"/>
      <c r="M100" s="744" t="s">
        <v>563</v>
      </c>
      <c r="N100" s="743"/>
      <c r="O100" s="743" t="s">
        <v>631</v>
      </c>
      <c r="P100" s="743"/>
      <c r="Q100" s="745"/>
      <c r="R100" s="743"/>
      <c r="S100" s="743"/>
      <c r="T100" s="743"/>
      <c r="U100" s="743"/>
      <c r="V100" s="741"/>
      <c r="W100" s="746" t="s">
        <v>630</v>
      </c>
      <c r="X100" s="746"/>
      <c r="Y100" s="746"/>
      <c r="Z100" s="746"/>
      <c r="AA100" s="746"/>
      <c r="AB100" s="746"/>
      <c r="AC100" s="716"/>
      <c r="AD100" s="747" t="s">
        <v>629</v>
      </c>
      <c r="AE100" s="747"/>
      <c r="AF100" s="748"/>
      <c r="AG100" s="747"/>
      <c r="AH100" s="747"/>
      <c r="AI100" s="747"/>
      <c r="AJ100" s="747"/>
      <c r="AK100" s="747"/>
      <c r="AL100" s="747" t="s">
        <v>842</v>
      </c>
      <c r="AM100" s="747"/>
      <c r="AN100" s="747"/>
      <c r="AO100" s="747"/>
      <c r="AP100" s="747"/>
      <c r="AQ100" s="747"/>
      <c r="AR100" s="716"/>
      <c r="AS100" s="747" t="s">
        <v>628</v>
      </c>
      <c r="AT100" s="747"/>
      <c r="AU100" s="748"/>
      <c r="AV100" s="747"/>
      <c r="AW100" s="747"/>
      <c r="AX100" s="747"/>
      <c r="AY100" s="747"/>
      <c r="AZ100" s="747"/>
      <c r="BA100" s="747" t="s">
        <v>617</v>
      </c>
      <c r="BB100" s="747"/>
      <c r="BC100" s="747"/>
      <c r="BD100" s="747"/>
      <c r="BE100" s="747"/>
      <c r="BF100" s="747"/>
      <c r="BG100" s="719"/>
      <c r="BH100" s="720"/>
      <c r="BI100" s="749" t="s">
        <v>604</v>
      </c>
      <c r="BJ100" s="721"/>
      <c r="BK100" s="721"/>
      <c r="BL100" s="721"/>
      <c r="BM100" s="721"/>
      <c r="BN100" s="750"/>
      <c r="BO100" s="721"/>
      <c r="BP100" s="749" t="s">
        <v>564</v>
      </c>
      <c r="BQ100" s="721"/>
      <c r="BR100" s="721"/>
      <c r="BS100" s="721"/>
      <c r="BT100" s="721"/>
      <c r="BU100" s="750"/>
      <c r="BV100" s="721"/>
    </row>
    <row r="101" spans="1:74" ht="14.5" x14ac:dyDescent="0.35">
      <c r="A101" s="976"/>
      <c r="B101" s="722" t="s">
        <v>627</v>
      </c>
      <c r="C101" s="728">
        <v>2015</v>
      </c>
      <c r="D101" s="728">
        <v>2019</v>
      </c>
      <c r="E101" s="728">
        <v>2021</v>
      </c>
      <c r="F101" s="728">
        <v>2023</v>
      </c>
      <c r="G101" s="716"/>
      <c r="H101" s="977" t="s">
        <v>626</v>
      </c>
      <c r="I101" s="978"/>
      <c r="J101" s="728">
        <v>2015</v>
      </c>
      <c r="K101" s="728">
        <v>2019</v>
      </c>
      <c r="L101" s="728">
        <v>2021</v>
      </c>
      <c r="M101" s="728">
        <v>2023</v>
      </c>
      <c r="N101" s="716"/>
      <c r="O101" s="977" t="s">
        <v>626</v>
      </c>
      <c r="P101" s="978"/>
      <c r="Q101" s="751" t="s">
        <v>602</v>
      </c>
      <c r="R101" s="728">
        <v>2015</v>
      </c>
      <c r="S101" s="728">
        <v>2019</v>
      </c>
      <c r="T101" s="728">
        <v>2021</v>
      </c>
      <c r="U101" s="728">
        <v>2023</v>
      </c>
      <c r="V101" s="741"/>
      <c r="W101" s="977" t="s">
        <v>626</v>
      </c>
      <c r="X101" s="978"/>
      <c r="Y101" s="728">
        <v>2015</v>
      </c>
      <c r="Z101" s="728">
        <v>2019</v>
      </c>
      <c r="AA101" s="728">
        <v>2021</v>
      </c>
      <c r="AB101" s="728">
        <v>2023</v>
      </c>
      <c r="AC101" s="716"/>
      <c r="AD101" s="977" t="s">
        <v>626</v>
      </c>
      <c r="AE101" s="978"/>
      <c r="AF101" s="751" t="s">
        <v>602</v>
      </c>
      <c r="AG101" s="728">
        <f>AG$39</f>
        <v>2015</v>
      </c>
      <c r="AH101" s="728">
        <f t="shared" ref="AH101:AJ101" si="184">AH$39</f>
        <v>2019</v>
      </c>
      <c r="AI101" s="728">
        <f t="shared" si="184"/>
        <v>2021</v>
      </c>
      <c r="AJ101" s="728">
        <f t="shared" si="184"/>
        <v>2023</v>
      </c>
      <c r="AL101" s="977" t="s">
        <v>626</v>
      </c>
      <c r="AM101" s="978"/>
      <c r="AN101" s="728">
        <v>2015</v>
      </c>
      <c r="AO101" s="728">
        <v>2019</v>
      </c>
      <c r="AP101" s="728">
        <v>2021</v>
      </c>
      <c r="AQ101" s="728">
        <v>2023</v>
      </c>
      <c r="AR101" s="716"/>
      <c r="AS101" s="977" t="s">
        <v>626</v>
      </c>
      <c r="AT101" s="978"/>
      <c r="AU101" s="751" t="s">
        <v>602</v>
      </c>
      <c r="AV101" s="728">
        <v>2015</v>
      </c>
      <c r="AW101" s="728">
        <v>2019</v>
      </c>
      <c r="AX101" s="728">
        <v>2021</v>
      </c>
      <c r="AY101" s="728">
        <v>2023</v>
      </c>
      <c r="BA101" s="977" t="s">
        <v>626</v>
      </c>
      <c r="BB101" s="978"/>
      <c r="BC101" s="728">
        <v>2015</v>
      </c>
      <c r="BD101" s="728">
        <v>2019</v>
      </c>
      <c r="BE101" s="728">
        <v>2021</v>
      </c>
      <c r="BF101" s="728">
        <v>2023</v>
      </c>
      <c r="BG101" s="719"/>
      <c r="BH101" s="752" t="s">
        <v>843</v>
      </c>
      <c r="BI101" s="984" t="s">
        <v>626</v>
      </c>
      <c r="BJ101" s="985"/>
      <c r="BK101" s="753">
        <f>R$19</f>
        <v>2015</v>
      </c>
      <c r="BL101" s="753">
        <f>S$19</f>
        <v>2019</v>
      </c>
      <c r="BM101" s="753">
        <f>T$19</f>
        <v>2021</v>
      </c>
      <c r="BN101" s="753">
        <f>U$19</f>
        <v>2023</v>
      </c>
      <c r="BO101" s="721"/>
      <c r="BP101" s="984" t="s">
        <v>626</v>
      </c>
      <c r="BQ101" s="985"/>
      <c r="BR101" s="753">
        <f>Y$19</f>
        <v>2015</v>
      </c>
      <c r="BS101" s="753">
        <f>Z$19</f>
        <v>2019</v>
      </c>
      <c r="BT101" s="753">
        <f>AA$19</f>
        <v>2021</v>
      </c>
      <c r="BU101" s="753">
        <f>AB$19</f>
        <v>2023</v>
      </c>
      <c r="BV101" s="721"/>
    </row>
    <row r="102" spans="1:74" x14ac:dyDescent="0.35">
      <c r="A102" s="976"/>
      <c r="B102" s="754" t="s">
        <v>626</v>
      </c>
      <c r="C102" s="529">
        <v>25471.568181818184</v>
      </c>
      <c r="D102" s="529">
        <v>30374.052272727273</v>
      </c>
      <c r="E102" s="529">
        <v>33976.063636363637</v>
      </c>
      <c r="F102" s="529">
        <v>40324.07045454545</v>
      </c>
      <c r="G102" s="716"/>
      <c r="H102" s="755" t="s">
        <v>559</v>
      </c>
      <c r="I102" s="756" t="s">
        <v>594</v>
      </c>
      <c r="J102" s="528">
        <v>0</v>
      </c>
      <c r="K102" s="528">
        <v>6.7089967370837736E-2</v>
      </c>
      <c r="L102" s="528">
        <v>4.800313114501558E-2</v>
      </c>
      <c r="M102" s="528">
        <v>9.9827313228486883E-2</v>
      </c>
      <c r="N102" s="716"/>
      <c r="O102" s="755" t="s">
        <v>559</v>
      </c>
      <c r="P102" s="756" t="s">
        <v>594</v>
      </c>
      <c r="Q102" s="448">
        <v>0</v>
      </c>
      <c r="R102" s="448">
        <f t="shared" ref="R102:U104" si="185">$Q102</f>
        <v>0</v>
      </c>
      <c r="S102" s="448">
        <f t="shared" si="185"/>
        <v>0</v>
      </c>
      <c r="T102" s="448">
        <f t="shared" si="185"/>
        <v>0</v>
      </c>
      <c r="U102" s="448">
        <f t="shared" si="185"/>
        <v>0</v>
      </c>
      <c r="V102" s="741"/>
      <c r="W102" s="755" t="s">
        <v>559</v>
      </c>
      <c r="X102" s="756" t="s">
        <v>594</v>
      </c>
      <c r="Y102" s="448">
        <f t="shared" ref="Y102:AB104" si="186">IF(J102=0,0,$C$4*C$102*J102*R102)/10^6</f>
        <v>0</v>
      </c>
      <c r="Z102" s="448">
        <f t="shared" si="186"/>
        <v>0</v>
      </c>
      <c r="AA102" s="448">
        <f t="shared" si="186"/>
        <v>0</v>
      </c>
      <c r="AB102" s="448">
        <f t="shared" si="186"/>
        <v>0</v>
      </c>
      <c r="AC102" s="716"/>
      <c r="AD102" s="755" t="s">
        <v>559</v>
      </c>
      <c r="AE102" s="756" t="s">
        <v>594</v>
      </c>
      <c r="AF102" s="448">
        <v>5.5800314024745088</v>
      </c>
      <c r="AG102" s="448">
        <f t="shared" ref="AG102:AJ104" si="187">$AF102</f>
        <v>5.5800314024745088</v>
      </c>
      <c r="AH102" s="448">
        <f t="shared" si="187"/>
        <v>5.5800314024745088</v>
      </c>
      <c r="AI102" s="448">
        <f t="shared" si="187"/>
        <v>5.5800314024745088</v>
      </c>
      <c r="AJ102" s="448">
        <f t="shared" si="187"/>
        <v>5.5800314024745088</v>
      </c>
      <c r="AL102" s="755" t="s">
        <v>559</v>
      </c>
      <c r="AM102" s="756" t="s">
        <v>594</v>
      </c>
      <c r="AN102" s="448">
        <f t="shared" ref="AN102:AQ104" si="188">IF(J102=0,0,$C$4*C$102*J102*AG102)/10^6</f>
        <v>0</v>
      </c>
      <c r="AO102" s="448">
        <f t="shared" si="188"/>
        <v>4.1532414939231179</v>
      </c>
      <c r="AP102" s="448">
        <f t="shared" si="188"/>
        <v>3.3240649073565343</v>
      </c>
      <c r="AQ102" s="448">
        <f t="shared" si="188"/>
        <v>8.2042826690700323</v>
      </c>
      <c r="AR102" s="716"/>
      <c r="AS102" s="755" t="s">
        <v>559</v>
      </c>
      <c r="AT102" s="756" t="s">
        <v>594</v>
      </c>
      <c r="AU102" s="448">
        <f t="shared" ref="AU102:AY104" si="189">Q102+AF102</f>
        <v>5.5800314024745088</v>
      </c>
      <c r="AV102" s="448">
        <f t="shared" si="189"/>
        <v>5.5800314024745088</v>
      </c>
      <c r="AW102" s="448">
        <f t="shared" si="189"/>
        <v>5.5800314024745088</v>
      </c>
      <c r="AX102" s="448">
        <f t="shared" si="189"/>
        <v>5.5800314024745088</v>
      </c>
      <c r="AY102" s="448">
        <f t="shared" si="189"/>
        <v>5.5800314024745088</v>
      </c>
      <c r="BA102" s="755" t="s">
        <v>559</v>
      </c>
      <c r="BB102" s="756" t="s">
        <v>594</v>
      </c>
      <c r="BC102" s="448">
        <f t="shared" ref="BC102:BF104" si="190">Y102+AN102</f>
        <v>0</v>
      </c>
      <c r="BD102" s="448">
        <f t="shared" si="190"/>
        <v>4.1532414939231179</v>
      </c>
      <c r="BE102" s="448">
        <f t="shared" si="190"/>
        <v>3.3240649073565343</v>
      </c>
      <c r="BF102" s="448">
        <f t="shared" si="190"/>
        <v>8.2042826690700323</v>
      </c>
      <c r="BG102" s="719"/>
      <c r="BH102" s="720" t="str">
        <f>BJ102</f>
        <v>vélo conventionnel</v>
      </c>
      <c r="BI102" s="755" t="s">
        <v>559</v>
      </c>
      <c r="BJ102" s="756" t="s">
        <v>594</v>
      </c>
      <c r="BK102" s="502">
        <f t="shared" ref="BK102:BK118" si="191">J102/J$118</f>
        <v>0</v>
      </c>
      <c r="BL102" s="502">
        <f t="shared" ref="BL102:BL118" si="192">K102/K$118</f>
        <v>2.9892095342088556E-3</v>
      </c>
      <c r="BM102" s="502">
        <f t="shared" ref="BM102:BM118" si="193">L102/L$118</f>
        <v>2.8173963149585521E-3</v>
      </c>
      <c r="BN102" s="790">
        <f t="shared" ref="BN102:BN118" si="194">M102/M$118</f>
        <v>4.8762171072756124E-3</v>
      </c>
      <c r="BO102" s="791"/>
      <c r="BP102" s="792" t="s">
        <v>559</v>
      </c>
      <c r="BQ102" s="793" t="s">
        <v>594</v>
      </c>
      <c r="BR102" s="794">
        <f t="shared" ref="BR102:BR118" si="195">J102*C$102*$C$4/10^6</f>
        <v>0</v>
      </c>
      <c r="BS102" s="794">
        <f t="shared" ref="BS102:BS118" si="196">K102*D$102*$C$4/10^6</f>
        <v>0.74430432274652258</v>
      </c>
      <c r="BT102" s="794">
        <f t="shared" ref="BT102:BT118" si="197">L102*E$102*$C$4/10^6</f>
        <v>0.59570720442226377</v>
      </c>
      <c r="BU102" s="794">
        <f t="shared" ref="BU102:BU118" si="198">M102*F$102*$C$4/10^6</f>
        <v>1.4702932792513992</v>
      </c>
      <c r="BV102" s="721"/>
    </row>
    <row r="103" spans="1:74" x14ac:dyDescent="0.35">
      <c r="A103" s="976"/>
      <c r="C103" s="758">
        <f>C102/$C102-1</f>
        <v>0</v>
      </c>
      <c r="D103" s="758">
        <f t="shared" ref="D103:F103" si="199">D102/$C102-1</f>
        <v>0.19246887572507299</v>
      </c>
      <c r="E103" s="758">
        <f t="shared" si="199"/>
        <v>0.33388189505411114</v>
      </c>
      <c r="F103" s="758">
        <f t="shared" si="199"/>
        <v>0.58310121177890828</v>
      </c>
      <c r="G103" s="716"/>
      <c r="H103" s="759"/>
      <c r="I103" s="760" t="s">
        <v>164</v>
      </c>
      <c r="J103" s="527">
        <v>0</v>
      </c>
      <c r="K103" s="527">
        <v>1.9617479628442732E-2</v>
      </c>
      <c r="L103" s="527">
        <v>1.7819736888368406E-2</v>
      </c>
      <c r="M103" s="527">
        <v>3.7057925463870232E-2</v>
      </c>
      <c r="N103" s="716"/>
      <c r="O103" s="759"/>
      <c r="P103" s="760" t="s">
        <v>164</v>
      </c>
      <c r="Q103" s="446">
        <v>0</v>
      </c>
      <c r="R103" s="446">
        <f t="shared" si="185"/>
        <v>0</v>
      </c>
      <c r="S103" s="446">
        <f t="shared" si="185"/>
        <v>0</v>
      </c>
      <c r="T103" s="446">
        <f t="shared" si="185"/>
        <v>0</v>
      </c>
      <c r="U103" s="446">
        <f t="shared" si="185"/>
        <v>0</v>
      </c>
      <c r="V103" s="741"/>
      <c r="W103" s="759"/>
      <c r="X103" s="760" t="s">
        <v>164</v>
      </c>
      <c r="Y103" s="446">
        <f t="shared" si="186"/>
        <v>0</v>
      </c>
      <c r="Z103" s="446">
        <f t="shared" si="186"/>
        <v>0</v>
      </c>
      <c r="AA103" s="446">
        <f t="shared" si="186"/>
        <v>0</v>
      </c>
      <c r="AB103" s="446">
        <f t="shared" si="186"/>
        <v>0</v>
      </c>
      <c r="AC103" s="716"/>
      <c r="AD103" s="759"/>
      <c r="AE103" s="760" t="s">
        <v>164</v>
      </c>
      <c r="AF103" s="446">
        <v>10.566031327831809</v>
      </c>
      <c r="AG103" s="446">
        <f t="shared" si="187"/>
        <v>10.566031327831809</v>
      </c>
      <c r="AH103" s="446">
        <f t="shared" si="187"/>
        <v>10.566031327831809</v>
      </c>
      <c r="AI103" s="446">
        <f t="shared" si="187"/>
        <v>10.566031327831809</v>
      </c>
      <c r="AJ103" s="446">
        <f t="shared" si="187"/>
        <v>10.566031327831809</v>
      </c>
      <c r="AL103" s="759"/>
      <c r="AM103" s="760" t="s">
        <v>164</v>
      </c>
      <c r="AN103" s="446">
        <f t="shared" si="188"/>
        <v>0</v>
      </c>
      <c r="AO103" s="446">
        <f t="shared" si="188"/>
        <v>2.299577575468903</v>
      </c>
      <c r="AP103" s="446">
        <f t="shared" si="188"/>
        <v>2.3365574696632532</v>
      </c>
      <c r="AQ103" s="446">
        <f t="shared" si="188"/>
        <v>5.7669686025743525</v>
      </c>
      <c r="AR103" s="716"/>
      <c r="AS103" s="759"/>
      <c r="AT103" s="760" t="s">
        <v>164</v>
      </c>
      <c r="AU103" s="446">
        <f t="shared" si="189"/>
        <v>10.566031327831809</v>
      </c>
      <c r="AV103" s="446">
        <f t="shared" si="189"/>
        <v>10.566031327831809</v>
      </c>
      <c r="AW103" s="446">
        <f t="shared" si="189"/>
        <v>10.566031327831809</v>
      </c>
      <c r="AX103" s="446">
        <f t="shared" si="189"/>
        <v>10.566031327831809</v>
      </c>
      <c r="AY103" s="446">
        <f t="shared" si="189"/>
        <v>10.566031327831809</v>
      </c>
      <c r="BA103" s="759"/>
      <c r="BB103" s="760" t="s">
        <v>164</v>
      </c>
      <c r="BC103" s="446">
        <f t="shared" si="190"/>
        <v>0</v>
      </c>
      <c r="BD103" s="446">
        <f t="shared" si="190"/>
        <v>2.299577575468903</v>
      </c>
      <c r="BE103" s="446">
        <f t="shared" si="190"/>
        <v>2.3365574696632532</v>
      </c>
      <c r="BF103" s="446">
        <f t="shared" si="190"/>
        <v>5.7669686025743525</v>
      </c>
      <c r="BG103" s="719"/>
      <c r="BH103" s="720" t="str">
        <f>BJ103</f>
        <v>vélo électrique</v>
      </c>
      <c r="BI103" s="759"/>
      <c r="BJ103" s="760" t="s">
        <v>164</v>
      </c>
      <c r="BK103" s="496">
        <f t="shared" si="191"/>
        <v>0</v>
      </c>
      <c r="BL103" s="496">
        <f t="shared" si="192"/>
        <v>8.7406149444601796E-4</v>
      </c>
      <c r="BM103" s="496">
        <f t="shared" si="193"/>
        <v>1.045874713696321E-3</v>
      </c>
      <c r="BN103" s="795">
        <f t="shared" si="194"/>
        <v>1.8101507920329663E-3</v>
      </c>
      <c r="BO103" s="791"/>
      <c r="BP103" s="796"/>
      <c r="BQ103" s="797" t="s">
        <v>164</v>
      </c>
      <c r="BR103" s="798">
        <f t="shared" si="195"/>
        <v>0</v>
      </c>
      <c r="BS103" s="798">
        <f t="shared" si="196"/>
        <v>0.21763872395604431</v>
      </c>
      <c r="BT103" s="798">
        <f t="shared" si="197"/>
        <v>0.22113860892202408</v>
      </c>
      <c r="BU103" s="798">
        <f t="shared" si="198"/>
        <v>0.54580271661543112</v>
      </c>
      <c r="BV103" s="721"/>
    </row>
    <row r="104" spans="1:74" x14ac:dyDescent="0.35">
      <c r="A104" s="976"/>
      <c r="G104" s="716"/>
      <c r="H104" s="759"/>
      <c r="I104" s="760" t="s">
        <v>593</v>
      </c>
      <c r="J104" s="527">
        <v>0</v>
      </c>
      <c r="K104" s="527">
        <v>0</v>
      </c>
      <c r="L104" s="527">
        <v>0</v>
      </c>
      <c r="M104" s="527">
        <v>0</v>
      </c>
      <c r="N104" s="716"/>
      <c r="O104" s="759"/>
      <c r="P104" s="760" t="s">
        <v>593</v>
      </c>
      <c r="Q104" s="446">
        <v>0</v>
      </c>
      <c r="R104" s="446">
        <f t="shared" si="185"/>
        <v>0</v>
      </c>
      <c r="S104" s="446">
        <f t="shared" si="185"/>
        <v>0</v>
      </c>
      <c r="T104" s="446">
        <f t="shared" si="185"/>
        <v>0</v>
      </c>
      <c r="U104" s="446">
        <f t="shared" si="185"/>
        <v>0</v>
      </c>
      <c r="V104" s="741"/>
      <c r="W104" s="759"/>
      <c r="X104" s="760" t="s">
        <v>593</v>
      </c>
      <c r="Y104" s="446">
        <f t="shared" si="186"/>
        <v>0</v>
      </c>
      <c r="Z104" s="446">
        <f t="shared" si="186"/>
        <v>0</v>
      </c>
      <c r="AA104" s="446">
        <f t="shared" si="186"/>
        <v>0</v>
      </c>
      <c r="AB104" s="446">
        <f t="shared" si="186"/>
        <v>0</v>
      </c>
      <c r="AC104" s="716"/>
      <c r="AD104" s="759"/>
      <c r="AE104" s="760" t="s">
        <v>593</v>
      </c>
      <c r="AF104" s="446">
        <v>0</v>
      </c>
      <c r="AG104" s="446">
        <f t="shared" si="187"/>
        <v>0</v>
      </c>
      <c r="AH104" s="446">
        <f t="shared" si="187"/>
        <v>0</v>
      </c>
      <c r="AI104" s="446">
        <f t="shared" si="187"/>
        <v>0</v>
      </c>
      <c r="AJ104" s="446">
        <f t="shared" si="187"/>
        <v>0</v>
      </c>
      <c r="AL104" s="759"/>
      <c r="AM104" s="760" t="s">
        <v>593</v>
      </c>
      <c r="AN104" s="446">
        <f t="shared" si="188"/>
        <v>0</v>
      </c>
      <c r="AO104" s="446">
        <f t="shared" si="188"/>
        <v>0</v>
      </c>
      <c r="AP104" s="446">
        <f t="shared" si="188"/>
        <v>0</v>
      </c>
      <c r="AQ104" s="446">
        <f t="shared" si="188"/>
        <v>0</v>
      </c>
      <c r="AR104" s="716"/>
      <c r="AS104" s="759"/>
      <c r="AT104" s="760" t="s">
        <v>593</v>
      </c>
      <c r="AU104" s="446">
        <f t="shared" si="189"/>
        <v>0</v>
      </c>
      <c r="AV104" s="446">
        <f t="shared" si="189"/>
        <v>0</v>
      </c>
      <c r="AW104" s="446">
        <f t="shared" si="189"/>
        <v>0</v>
      </c>
      <c r="AX104" s="446">
        <f t="shared" si="189"/>
        <v>0</v>
      </c>
      <c r="AY104" s="446">
        <f t="shared" si="189"/>
        <v>0</v>
      </c>
      <c r="BA104" s="759"/>
      <c r="BB104" s="760" t="s">
        <v>593</v>
      </c>
      <c r="BC104" s="446">
        <f t="shared" si="190"/>
        <v>0</v>
      </c>
      <c r="BD104" s="446">
        <f t="shared" si="190"/>
        <v>0</v>
      </c>
      <c r="BE104" s="446">
        <f t="shared" si="190"/>
        <v>0</v>
      </c>
      <c r="BF104" s="446">
        <f t="shared" si="190"/>
        <v>0</v>
      </c>
      <c r="BG104" s="719"/>
      <c r="BH104" s="720" t="s">
        <v>844</v>
      </c>
      <c r="BI104" s="759"/>
      <c r="BJ104" s="760" t="s">
        <v>593</v>
      </c>
      <c r="BK104" s="496">
        <f t="shared" si="191"/>
        <v>0</v>
      </c>
      <c r="BL104" s="496">
        <f t="shared" si="192"/>
        <v>0</v>
      </c>
      <c r="BM104" s="496">
        <f t="shared" si="193"/>
        <v>0</v>
      </c>
      <c r="BN104" s="795">
        <f t="shared" si="194"/>
        <v>0</v>
      </c>
      <c r="BO104" s="791"/>
      <c r="BP104" s="796"/>
      <c r="BQ104" s="797" t="s">
        <v>593</v>
      </c>
      <c r="BR104" s="798">
        <f t="shared" si="195"/>
        <v>0</v>
      </c>
      <c r="BS104" s="798">
        <f t="shared" si="196"/>
        <v>0</v>
      </c>
      <c r="BT104" s="798">
        <f t="shared" si="197"/>
        <v>0</v>
      </c>
      <c r="BU104" s="798">
        <f t="shared" si="198"/>
        <v>0</v>
      </c>
      <c r="BV104" s="721"/>
    </row>
    <row r="105" spans="1:74" x14ac:dyDescent="0.35">
      <c r="A105" s="976"/>
      <c r="B105" s="762" t="s">
        <v>848</v>
      </c>
      <c r="C105" s="763">
        <v>2154.431818181818</v>
      </c>
      <c r="D105" s="763">
        <v>2472.7227272727273</v>
      </c>
      <c r="E105" s="763">
        <v>1877.1363636363637</v>
      </c>
      <c r="F105" s="763">
        <v>2605.5045454545457</v>
      </c>
      <c r="G105" s="716"/>
      <c r="H105" s="764"/>
      <c r="I105" s="765" t="s">
        <v>404</v>
      </c>
      <c r="J105" s="521">
        <v>0</v>
      </c>
      <c r="K105" s="521">
        <v>8.6707446999280471E-2</v>
      </c>
      <c r="L105" s="521">
        <v>6.5822868033383983E-2</v>
      </c>
      <c r="M105" s="521">
        <v>0.13688523869235711</v>
      </c>
      <c r="N105" s="716"/>
      <c r="O105" s="764"/>
      <c r="P105" s="765" t="s">
        <v>404</v>
      </c>
      <c r="Q105" s="484">
        <v>0</v>
      </c>
      <c r="R105" s="484">
        <f>IF(J105=0,0,Y105/(J105*$C$4*C$102)*10^6)</f>
        <v>0</v>
      </c>
      <c r="S105" s="484">
        <f>IF(K105=0,0,Z105/(K105*$C$4*D$102)*10^6)</f>
        <v>0</v>
      </c>
      <c r="T105" s="484">
        <f>IF(L105=0,0,AA105/(L105*$C$4*E$102)*10^6)</f>
        <v>0</v>
      </c>
      <c r="U105" s="484">
        <f>IF(M105=0,0,AB105/(M105*$C$4*F$102)*10^6)</f>
        <v>0</v>
      </c>
      <c r="V105" s="741"/>
      <c r="W105" s="764"/>
      <c r="X105" s="765" t="s">
        <v>404</v>
      </c>
      <c r="Y105" s="484">
        <f t="shared" ref="Y105:AB105" si="200">SUM(Y102:Y104)</f>
        <v>0</v>
      </c>
      <c r="Z105" s="484">
        <f t="shared" si="200"/>
        <v>0</v>
      </c>
      <c r="AA105" s="484">
        <f t="shared" si="200"/>
        <v>0</v>
      </c>
      <c r="AB105" s="484">
        <f t="shared" si="200"/>
        <v>0</v>
      </c>
      <c r="AC105" s="716"/>
      <c r="AD105" s="764"/>
      <c r="AE105" s="765" t="s">
        <v>404</v>
      </c>
      <c r="AF105" s="484">
        <v>0</v>
      </c>
      <c r="AG105" s="484">
        <f>IF(J105=0,0,AN105/(J105*$C$4*C$102)*10^6)</f>
        <v>0</v>
      </c>
      <c r="AH105" s="484">
        <f>IF(K105=0,0,AO105/(K105*$C$4*D$102)*10^6)</f>
        <v>6.7081092706180083</v>
      </c>
      <c r="AI105" s="484">
        <f>IF(L105=0,0,AP105/(L105*$C$4*E$102)*10^6)</f>
        <v>6.9298541836731236</v>
      </c>
      <c r="AJ105" s="484">
        <f>IF(M105=0,0,AQ105/(M105*$C$4*F$102)*10^6)</f>
        <v>6.9298541836731227</v>
      </c>
      <c r="AL105" s="764"/>
      <c r="AM105" s="765" t="s">
        <v>404</v>
      </c>
      <c r="AN105" s="484">
        <f t="shared" ref="AN105:AQ105" si="201">SUM(AN102:AN104)</f>
        <v>0</v>
      </c>
      <c r="AO105" s="484">
        <f t="shared" si="201"/>
        <v>6.4528190693920209</v>
      </c>
      <c r="AP105" s="484">
        <f t="shared" si="201"/>
        <v>5.6606223770197879</v>
      </c>
      <c r="AQ105" s="484">
        <f t="shared" si="201"/>
        <v>13.971251271644384</v>
      </c>
      <c r="AR105" s="716"/>
      <c r="AS105" s="764"/>
      <c r="AT105" s="765" t="s">
        <v>404</v>
      </c>
      <c r="AU105" s="484">
        <v>0</v>
      </c>
      <c r="AV105" s="484">
        <f>IF(J105=0,0,BC105/(J105*$C$4*C$102)*10^6)</f>
        <v>0</v>
      </c>
      <c r="AW105" s="484">
        <f>IF(K105=0,0,BD105/(K105*$C$4*D$102)*10^6)</f>
        <v>6.7081092706180083</v>
      </c>
      <c r="AX105" s="484">
        <f>IF(L105=0,0,BE105/(L105*$C$4*E$102)*10^6)</f>
        <v>6.9298541836731236</v>
      </c>
      <c r="AY105" s="484">
        <f>IF(M105=0,0,BF105/(M105*$C$4*F$102)*10^6)</f>
        <v>6.9298541836731227</v>
      </c>
      <c r="BA105" s="764"/>
      <c r="BB105" s="765" t="s">
        <v>404</v>
      </c>
      <c r="BC105" s="484">
        <f t="shared" ref="BC105:BF105" si="202">SUM(BC102:BC104)</f>
        <v>0</v>
      </c>
      <c r="BD105" s="484">
        <f t="shared" si="202"/>
        <v>6.4528190693920209</v>
      </c>
      <c r="BE105" s="484">
        <f t="shared" si="202"/>
        <v>5.6606223770197879</v>
      </c>
      <c r="BF105" s="484">
        <f t="shared" si="202"/>
        <v>13.971251271644384</v>
      </c>
      <c r="BG105" s="719"/>
      <c r="BH105" s="720"/>
      <c r="BI105" s="764"/>
      <c r="BJ105" s="765" t="s">
        <v>404</v>
      </c>
      <c r="BK105" s="482">
        <f t="shared" si="191"/>
        <v>0</v>
      </c>
      <c r="BL105" s="482">
        <f t="shared" si="192"/>
        <v>3.8632710286548738E-3</v>
      </c>
      <c r="BM105" s="482">
        <f t="shared" si="193"/>
        <v>3.8632710286548733E-3</v>
      </c>
      <c r="BN105" s="781">
        <f t="shared" si="194"/>
        <v>6.6863678993085776E-3</v>
      </c>
      <c r="BO105" s="791"/>
      <c r="BP105" s="799"/>
      <c r="BQ105" s="800" t="s">
        <v>404</v>
      </c>
      <c r="BR105" s="782">
        <f t="shared" si="195"/>
        <v>0</v>
      </c>
      <c r="BS105" s="782">
        <f t="shared" si="196"/>
        <v>0.96194304670256703</v>
      </c>
      <c r="BT105" s="782">
        <f t="shared" si="197"/>
        <v>0.81684581334428785</v>
      </c>
      <c r="BU105" s="782">
        <f t="shared" si="198"/>
        <v>2.0160959958668303</v>
      </c>
      <c r="BV105" s="721"/>
    </row>
    <row r="106" spans="1:74" x14ac:dyDescent="0.35">
      <c r="A106" s="976"/>
      <c r="B106" s="762" t="s">
        <v>849</v>
      </c>
      <c r="C106" s="763">
        <f t="shared" ref="C106:F106" si="203">C105+C102</f>
        <v>27626</v>
      </c>
      <c r="D106" s="763">
        <f t="shared" si="203"/>
        <v>32846.775000000001</v>
      </c>
      <c r="E106" s="763">
        <f t="shared" si="203"/>
        <v>35853.199999999997</v>
      </c>
      <c r="F106" s="763">
        <f t="shared" si="203"/>
        <v>42929.574999999997</v>
      </c>
      <c r="G106" s="716"/>
      <c r="H106" s="755" t="s">
        <v>558</v>
      </c>
      <c r="I106" s="756" t="s">
        <v>592</v>
      </c>
      <c r="J106" s="505">
        <v>0.23518607768283467</v>
      </c>
      <c r="K106" s="505">
        <v>0.12789421941097209</v>
      </c>
      <c r="L106" s="505">
        <v>9.6793669102111651E-2</v>
      </c>
      <c r="M106" s="505">
        <v>0.24835395718605296</v>
      </c>
      <c r="N106" s="716"/>
      <c r="O106" s="755" t="s">
        <v>558</v>
      </c>
      <c r="P106" s="756" t="s">
        <v>592</v>
      </c>
      <c r="Q106" s="448">
        <v>100.01966209648529</v>
      </c>
      <c r="R106" s="448">
        <f t="shared" ref="R106:U107" si="204">$Q106</f>
        <v>100.01966209648529</v>
      </c>
      <c r="S106" s="448">
        <f t="shared" si="204"/>
        <v>100.01966209648529</v>
      </c>
      <c r="T106" s="448">
        <f t="shared" si="204"/>
        <v>100.01966209648529</v>
      </c>
      <c r="U106" s="448">
        <f t="shared" si="204"/>
        <v>100.01966209648529</v>
      </c>
      <c r="V106" s="741"/>
      <c r="W106" s="755" t="s">
        <v>558</v>
      </c>
      <c r="X106" s="756" t="s">
        <v>592</v>
      </c>
      <c r="Y106" s="448">
        <f t="shared" ref="Y106:AB107" si="205">IF(J106=0,0,$C$4*C$102*J106*R106)/10^6</f>
        <v>218.84816041143441</v>
      </c>
      <c r="Z106" s="448">
        <f t="shared" si="205"/>
        <v>141.91531294361383</v>
      </c>
      <c r="AA106" s="448">
        <f t="shared" si="205"/>
        <v>120.14221145718246</v>
      </c>
      <c r="AB106" s="448">
        <f t="shared" si="205"/>
        <v>365.85673707925224</v>
      </c>
      <c r="AC106" s="716"/>
      <c r="AD106" s="755" t="s">
        <v>558</v>
      </c>
      <c r="AE106" s="756" t="s">
        <v>592</v>
      </c>
      <c r="AF106" s="448">
        <v>63.621709980061325</v>
      </c>
      <c r="AG106" s="448">
        <f>$AF106</f>
        <v>63.621709980061325</v>
      </c>
      <c r="AH106" s="448">
        <f t="shared" ref="AG106:AJ107" si="206">$AF106</f>
        <v>63.621709980061325</v>
      </c>
      <c r="AI106" s="448">
        <f t="shared" si="206"/>
        <v>63.621709980061325</v>
      </c>
      <c r="AJ106" s="448">
        <f t="shared" si="206"/>
        <v>63.621709980061325</v>
      </c>
      <c r="AL106" s="755" t="s">
        <v>558</v>
      </c>
      <c r="AM106" s="756" t="s">
        <v>592</v>
      </c>
      <c r="AN106" s="448">
        <f t="shared" ref="AN106:AQ107" si="207">IF(J106=0,0,$C$4*C$102*J106*AG106)/10^6</f>
        <v>139.20757078677926</v>
      </c>
      <c r="AO106" s="448">
        <f t="shared" si="207"/>
        <v>90.271199607917083</v>
      </c>
      <c r="AP106" s="448">
        <f t="shared" si="207"/>
        <v>76.421503267212714</v>
      </c>
      <c r="AQ106" s="448">
        <f t="shared" si="207"/>
        <v>232.71855486028156</v>
      </c>
      <c r="AR106" s="716"/>
      <c r="AS106" s="755" t="s">
        <v>558</v>
      </c>
      <c r="AT106" s="756" t="s">
        <v>592</v>
      </c>
      <c r="AU106" s="448">
        <f t="shared" ref="AU106:AY107" si="208">Q106+AF106</f>
        <v>163.64137207654662</v>
      </c>
      <c r="AV106" s="448">
        <f t="shared" si="208"/>
        <v>163.64137207654662</v>
      </c>
      <c r="AW106" s="448">
        <f t="shared" si="208"/>
        <v>163.64137207654662</v>
      </c>
      <c r="AX106" s="448">
        <f t="shared" si="208"/>
        <v>163.64137207654662</v>
      </c>
      <c r="AY106" s="448">
        <f t="shared" si="208"/>
        <v>163.64137207654662</v>
      </c>
      <c r="BA106" s="755" t="s">
        <v>558</v>
      </c>
      <c r="BB106" s="756" t="s">
        <v>592</v>
      </c>
      <c r="BC106" s="448">
        <f t="shared" ref="BC106:BF107" si="209">Y106+AN106</f>
        <v>358.05573119821366</v>
      </c>
      <c r="BD106" s="448">
        <f t="shared" si="209"/>
        <v>232.18651255153091</v>
      </c>
      <c r="BE106" s="448">
        <f t="shared" si="209"/>
        <v>196.56371472439517</v>
      </c>
      <c r="BF106" s="448">
        <f t="shared" si="209"/>
        <v>598.57529193953383</v>
      </c>
      <c r="BG106" s="719"/>
      <c r="BH106" s="720"/>
      <c r="BI106" s="755" t="s">
        <v>558</v>
      </c>
      <c r="BJ106" s="756" t="s">
        <v>592</v>
      </c>
      <c r="BK106" s="502">
        <f t="shared" si="191"/>
        <v>9.835066871230768E-3</v>
      </c>
      <c r="BL106" s="502">
        <f t="shared" si="192"/>
        <v>5.6983575192444359E-3</v>
      </c>
      <c r="BM106" s="502">
        <f t="shared" si="193"/>
        <v>5.6810070538059762E-3</v>
      </c>
      <c r="BN106" s="790">
        <f t="shared" si="194"/>
        <v>1.2131227171449563E-2</v>
      </c>
      <c r="BO106" s="791"/>
      <c r="BP106" s="792" t="s">
        <v>558</v>
      </c>
      <c r="BQ106" s="793" t="s">
        <v>592</v>
      </c>
      <c r="BR106" s="794">
        <f t="shared" si="195"/>
        <v>2.1880513873394176</v>
      </c>
      <c r="BS106" s="794">
        <f t="shared" si="196"/>
        <v>1.4188741490319512</v>
      </c>
      <c r="BT106" s="794">
        <f t="shared" si="197"/>
        <v>1.2011859362340742</v>
      </c>
      <c r="BU106" s="794">
        <f t="shared" si="198"/>
        <v>3.6578481611577898</v>
      </c>
      <c r="BV106" s="721"/>
    </row>
    <row r="107" spans="1:74" x14ac:dyDescent="0.35">
      <c r="A107" s="976"/>
      <c r="C107" s="758">
        <f>C106/$C106-1</f>
        <v>0</v>
      </c>
      <c r="D107" s="758">
        <f t="shared" ref="D107:F107" si="210">D106/$C106-1</f>
        <v>0.18898048939404921</v>
      </c>
      <c r="E107" s="758">
        <f t="shared" si="210"/>
        <v>0.29780641424744791</v>
      </c>
      <c r="F107" s="758">
        <f t="shared" si="210"/>
        <v>0.55395551292260903</v>
      </c>
      <c r="G107" s="716"/>
      <c r="H107" s="759"/>
      <c r="I107" s="760" t="s">
        <v>544</v>
      </c>
      <c r="J107" s="522">
        <v>4.0138404452871625E-3</v>
      </c>
      <c r="K107" s="522">
        <v>2.5315269383324162E-3</v>
      </c>
      <c r="L107" s="522">
        <v>2.2173961201999524E-3</v>
      </c>
      <c r="M107" s="522">
        <v>7.3582258765646563E-3</v>
      </c>
      <c r="N107" s="716"/>
      <c r="O107" s="759"/>
      <c r="P107" s="760" t="s">
        <v>544</v>
      </c>
      <c r="Q107" s="446">
        <v>0</v>
      </c>
      <c r="R107" s="446">
        <f t="shared" si="204"/>
        <v>0</v>
      </c>
      <c r="S107" s="446">
        <f t="shared" si="204"/>
        <v>0</v>
      </c>
      <c r="T107" s="446">
        <f t="shared" si="204"/>
        <v>0</v>
      </c>
      <c r="U107" s="446">
        <f t="shared" si="204"/>
        <v>0</v>
      </c>
      <c r="V107" s="741"/>
      <c r="W107" s="759"/>
      <c r="X107" s="760" t="s">
        <v>544</v>
      </c>
      <c r="Y107" s="446">
        <f t="shared" si="205"/>
        <v>0</v>
      </c>
      <c r="Z107" s="446">
        <f t="shared" si="205"/>
        <v>0</v>
      </c>
      <c r="AA107" s="446">
        <f t="shared" si="205"/>
        <v>0</v>
      </c>
      <c r="AB107" s="446">
        <f t="shared" si="205"/>
        <v>0</v>
      </c>
      <c r="AC107" s="716"/>
      <c r="AD107" s="759"/>
      <c r="AE107" s="760" t="s">
        <v>544</v>
      </c>
      <c r="AF107" s="446">
        <v>77.703220130850724</v>
      </c>
      <c r="AG107" s="446">
        <f t="shared" si="206"/>
        <v>77.703220130850724</v>
      </c>
      <c r="AH107" s="446">
        <f t="shared" si="206"/>
        <v>77.703220130850724</v>
      </c>
      <c r="AI107" s="446">
        <f t="shared" si="206"/>
        <v>77.703220130850724</v>
      </c>
      <c r="AJ107" s="446">
        <f t="shared" si="206"/>
        <v>77.703220130850724</v>
      </c>
      <c r="AL107" s="759"/>
      <c r="AM107" s="760" t="s">
        <v>544</v>
      </c>
      <c r="AN107" s="446">
        <f t="shared" si="207"/>
        <v>2.9016500246156056</v>
      </c>
      <c r="AO107" s="446">
        <f t="shared" si="207"/>
        <v>2.1823003921692554</v>
      </c>
      <c r="AP107" s="446">
        <f t="shared" si="207"/>
        <v>2.138186515155784</v>
      </c>
      <c r="AQ107" s="446">
        <f t="shared" si="207"/>
        <v>8.4210592248009384</v>
      </c>
      <c r="AR107" s="716"/>
      <c r="AS107" s="759"/>
      <c r="AT107" s="760" t="s">
        <v>544</v>
      </c>
      <c r="AU107" s="446">
        <f t="shared" si="208"/>
        <v>77.703220130850724</v>
      </c>
      <c r="AV107" s="446">
        <f t="shared" si="208"/>
        <v>77.703220130850724</v>
      </c>
      <c r="AW107" s="446">
        <f t="shared" si="208"/>
        <v>77.703220130850724</v>
      </c>
      <c r="AX107" s="446">
        <f t="shared" si="208"/>
        <v>77.703220130850724</v>
      </c>
      <c r="AY107" s="446">
        <f t="shared" si="208"/>
        <v>77.703220130850724</v>
      </c>
      <c r="BA107" s="759"/>
      <c r="BB107" s="760" t="s">
        <v>544</v>
      </c>
      <c r="BC107" s="446">
        <f t="shared" si="209"/>
        <v>2.9016500246156056</v>
      </c>
      <c r="BD107" s="446">
        <f t="shared" si="209"/>
        <v>2.1823003921692554</v>
      </c>
      <c r="BE107" s="446">
        <f t="shared" si="209"/>
        <v>2.138186515155784</v>
      </c>
      <c r="BF107" s="446">
        <f t="shared" si="209"/>
        <v>8.4210592248009384</v>
      </c>
      <c r="BG107" s="719"/>
      <c r="BH107" s="720"/>
      <c r="BI107" s="759"/>
      <c r="BJ107" s="760" t="s">
        <v>544</v>
      </c>
      <c r="BK107" s="496">
        <f t="shared" si="191"/>
        <v>1.6785172650860173E-4</v>
      </c>
      <c r="BL107" s="496">
        <f t="shared" si="192"/>
        <v>1.1279278790436713E-4</v>
      </c>
      <c r="BM107" s="496">
        <f t="shared" si="193"/>
        <v>1.3014325334282753E-4</v>
      </c>
      <c r="BN107" s="795">
        <f t="shared" si="194"/>
        <v>3.5942374624847463E-4</v>
      </c>
      <c r="BO107" s="791"/>
      <c r="BP107" s="796"/>
      <c r="BQ107" s="797" t="s">
        <v>544</v>
      </c>
      <c r="BR107" s="798">
        <f t="shared" si="195"/>
        <v>3.7342725561814338E-2</v>
      </c>
      <c r="BS107" s="798">
        <f t="shared" si="196"/>
        <v>2.8085070200363688E-2</v>
      </c>
      <c r="BT107" s="798">
        <f t="shared" si="197"/>
        <v>2.7517347563654621E-2</v>
      </c>
      <c r="BU107" s="798">
        <f t="shared" si="198"/>
        <v>0.10837464921814097</v>
      </c>
      <c r="BV107" s="721"/>
    </row>
    <row r="108" spans="1:74" x14ac:dyDescent="0.35">
      <c r="A108" s="976"/>
      <c r="B108" s="747" t="s">
        <v>616</v>
      </c>
      <c r="G108" s="716"/>
      <c r="H108" s="764"/>
      <c r="I108" s="765" t="s">
        <v>404</v>
      </c>
      <c r="J108" s="523">
        <v>0.23919991812812183</v>
      </c>
      <c r="K108" s="523">
        <v>0.13042574634930451</v>
      </c>
      <c r="L108" s="523">
        <v>9.9011065222311595E-2</v>
      </c>
      <c r="M108" s="523">
        <v>0.25571218306261762</v>
      </c>
      <c r="N108" s="716"/>
      <c r="O108" s="764"/>
      <c r="P108" s="765" t="s">
        <v>404</v>
      </c>
      <c r="Q108" s="484">
        <v>0</v>
      </c>
      <c r="R108" s="484">
        <f>IF(J108=0,0,Y108/(J108*$C$4*C$102)*10^6)</f>
        <v>98.341304644741541</v>
      </c>
      <c r="S108" s="484">
        <f>IF(K108=0,0,Z108/(K108*$C$4*D$102)*10^6)</f>
        <v>98.07830867473038</v>
      </c>
      <c r="T108" s="484">
        <f>IF(L108=0,0,AA108/(L108*$C$4*E$102)*10^6)</f>
        <v>97.779678008055583</v>
      </c>
      <c r="U108" s="484">
        <f>IF(M108=0,0,AB108/(M108*$C$4*F$102)*10^6)</f>
        <v>97.141554151102852</v>
      </c>
      <c r="V108" s="741"/>
      <c r="W108" s="764"/>
      <c r="X108" s="765" t="s">
        <v>404</v>
      </c>
      <c r="Y108" s="484">
        <f t="shared" ref="Y108:AB108" si="211">SUM(Y106:Y107)</f>
        <v>218.84816041143441</v>
      </c>
      <c r="Z108" s="484">
        <f t="shared" si="211"/>
        <v>141.91531294361383</v>
      </c>
      <c r="AA108" s="484">
        <f t="shared" si="211"/>
        <v>120.14221145718246</v>
      </c>
      <c r="AB108" s="484">
        <f t="shared" si="211"/>
        <v>365.85673707925224</v>
      </c>
      <c r="AC108" s="716"/>
      <c r="AD108" s="764"/>
      <c r="AE108" s="765" t="s">
        <v>404</v>
      </c>
      <c r="AF108" s="484">
        <v>0</v>
      </c>
      <c r="AG108" s="484">
        <f>IF(J108=0,0,AN108/(J108*$C$4*C$102)*10^6)</f>
        <v>63.858001595109812</v>
      </c>
      <c r="AH108" s="484">
        <f>IF(K108=0,0,AO108/(K108*$C$4*D$102)*10^6)</f>
        <v>63.895028119132213</v>
      </c>
      <c r="AI108" s="484">
        <f>IF(L108=0,0,AP108/(L108*$C$4*E$102)*10^6)</f>
        <v>63.937071560151473</v>
      </c>
      <c r="AJ108" s="484">
        <f>IF(M108=0,0,AQ108/(M108*$C$4*F$102)*10^6)</f>
        <v>64.026911371452513</v>
      </c>
      <c r="AL108" s="764"/>
      <c r="AM108" s="765" t="s">
        <v>404</v>
      </c>
      <c r="AN108" s="484">
        <f t="shared" ref="AN108:AQ108" si="212">SUM(AN106:AN107)</f>
        <v>142.10922081139486</v>
      </c>
      <c r="AO108" s="484">
        <f t="shared" si="212"/>
        <v>92.453500000086336</v>
      </c>
      <c r="AP108" s="484">
        <f t="shared" si="212"/>
        <v>78.559689782368494</v>
      </c>
      <c r="AQ108" s="484">
        <f t="shared" si="212"/>
        <v>241.13961408508248</v>
      </c>
      <c r="AR108" s="716"/>
      <c r="AS108" s="764"/>
      <c r="AT108" s="765" t="s">
        <v>404</v>
      </c>
      <c r="AU108" s="484">
        <v>0</v>
      </c>
      <c r="AV108" s="484">
        <f>IF(J108=0,0,BC108/(J108*$C$4*C$102)*10^6)</f>
        <v>162.19930623985135</v>
      </c>
      <c r="AW108" s="484">
        <f>IF(K108=0,0,BD108/(K108*$C$4*D$102)*10^6)</f>
        <v>161.97333679386259</v>
      </c>
      <c r="AX108" s="484">
        <f>IF(L108=0,0,BE108/(L108*$C$4*E$102)*10^6)</f>
        <v>161.71674956820704</v>
      </c>
      <c r="AY108" s="484">
        <f>IF(M108=0,0,BF108/(M108*$C$4*F$102)*10^6)</f>
        <v>161.16846552255538</v>
      </c>
      <c r="BA108" s="764"/>
      <c r="BB108" s="765" t="s">
        <v>404</v>
      </c>
      <c r="BC108" s="484">
        <f t="shared" ref="BC108:BF108" si="213">SUM(BC106:BC107)</f>
        <v>360.95738122282927</v>
      </c>
      <c r="BD108" s="484">
        <f t="shared" si="213"/>
        <v>234.36881294370016</v>
      </c>
      <c r="BE108" s="484">
        <f t="shared" si="213"/>
        <v>198.70190123955095</v>
      </c>
      <c r="BF108" s="484">
        <f t="shared" si="213"/>
        <v>606.99635116433478</v>
      </c>
      <c r="BG108" s="719"/>
      <c r="BH108" s="720" t="s">
        <v>846</v>
      </c>
      <c r="BI108" s="764"/>
      <c r="BJ108" s="765" t="s">
        <v>404</v>
      </c>
      <c r="BK108" s="482">
        <f t="shared" si="191"/>
        <v>1.000291859773937E-2</v>
      </c>
      <c r="BL108" s="482">
        <f t="shared" si="192"/>
        <v>5.8111503071488031E-3</v>
      </c>
      <c r="BM108" s="482">
        <f t="shared" si="193"/>
        <v>5.8111503071488031E-3</v>
      </c>
      <c r="BN108" s="781">
        <f t="shared" si="194"/>
        <v>1.2490650917698036E-2</v>
      </c>
      <c r="BO108" s="791"/>
      <c r="BP108" s="799"/>
      <c r="BQ108" s="800" t="s">
        <v>404</v>
      </c>
      <c r="BR108" s="782">
        <f t="shared" si="195"/>
        <v>2.225394112901232</v>
      </c>
      <c r="BS108" s="782">
        <f t="shared" si="196"/>
        <v>1.4469592192323146</v>
      </c>
      <c r="BT108" s="782">
        <f t="shared" si="197"/>
        <v>1.2287032837977288</v>
      </c>
      <c r="BU108" s="782">
        <f t="shared" si="198"/>
        <v>3.7662228103759308</v>
      </c>
      <c r="BV108" s="721"/>
    </row>
    <row r="109" spans="1:74" x14ac:dyDescent="0.35">
      <c r="A109" s="976"/>
      <c r="B109" s="726" t="s">
        <v>625</v>
      </c>
      <c r="C109" s="729"/>
      <c r="D109" s="727"/>
      <c r="E109" s="526">
        <v>1.1200000000000001</v>
      </c>
      <c r="G109" s="716"/>
      <c r="H109" s="755" t="s">
        <v>548</v>
      </c>
      <c r="I109" s="756" t="s">
        <v>173</v>
      </c>
      <c r="J109" s="505">
        <v>7.7656034236315818</v>
      </c>
      <c r="K109" s="505">
        <v>8.1462870566567194</v>
      </c>
      <c r="L109" s="505">
        <v>6.3624151314309794</v>
      </c>
      <c r="M109" s="505">
        <v>7.5394874486186048</v>
      </c>
      <c r="N109" s="716"/>
      <c r="O109" s="755" t="s">
        <v>548</v>
      </c>
      <c r="P109" s="756" t="s">
        <v>173</v>
      </c>
      <c r="Q109" s="448">
        <v>161.2739770217066</v>
      </c>
      <c r="R109" s="448">
        <f>$Q109*$P$8*R$12</f>
        <v>172.36472065240932</v>
      </c>
      <c r="S109" s="448">
        <f t="shared" ref="S109:U113" si="214">$Q109*$P$8*S$12</f>
        <v>163.52034150412851</v>
      </c>
      <c r="T109" s="448">
        <f t="shared" si="214"/>
        <v>160.81366343628449</v>
      </c>
      <c r="U109" s="448">
        <f t="shared" si="214"/>
        <v>161.2739770217066</v>
      </c>
      <c r="V109" s="741"/>
      <c r="W109" s="755" t="s">
        <v>548</v>
      </c>
      <c r="X109" s="756" t="s">
        <v>173</v>
      </c>
      <c r="Y109" s="448">
        <f t="shared" ref="Y109:AB113" si="215">IF(J109=0,0,$C$4*C$102*J109*R109)/10^6</f>
        <v>12452.871196469587</v>
      </c>
      <c r="Z109" s="448">
        <f t="shared" si="215"/>
        <v>14778.299222362595</v>
      </c>
      <c r="AA109" s="448">
        <f t="shared" si="215"/>
        <v>12697.20799428172</v>
      </c>
      <c r="AB109" s="448">
        <f t="shared" si="215"/>
        <v>17908.56171278267</v>
      </c>
      <c r="AC109" s="716"/>
      <c r="AD109" s="755" t="s">
        <v>548</v>
      </c>
      <c r="AE109" s="756" t="s">
        <v>173</v>
      </c>
      <c r="AF109" s="448">
        <v>104.42462127415271</v>
      </c>
      <c r="AG109" s="504">
        <f t="shared" ref="AG109:AJ113" si="216">$AF109*$Q$8*R$12</f>
        <v>111.60585859881405</v>
      </c>
      <c r="AH109" s="448">
        <f t="shared" si="216"/>
        <v>105.8791383924913</v>
      </c>
      <c r="AI109" s="448">
        <f t="shared" si="216"/>
        <v>104.12656902348749</v>
      </c>
      <c r="AJ109" s="448">
        <f t="shared" si="216"/>
        <v>104.42462127415271</v>
      </c>
      <c r="AL109" s="755" t="s">
        <v>548</v>
      </c>
      <c r="AM109" s="756" t="s">
        <v>173</v>
      </c>
      <c r="AN109" s="448">
        <f t="shared" ref="AN109:AQ113" si="217">IF(J109=0,0,$C$4*C$102*J109*AG109)/10^6</f>
        <v>8063.2125683371523</v>
      </c>
      <c r="AO109" s="448">
        <f t="shared" si="217"/>
        <v>9568.9231943701034</v>
      </c>
      <c r="AP109" s="448">
        <f t="shared" si="217"/>
        <v>8221.4202224550681</v>
      </c>
      <c r="AQ109" s="448">
        <f t="shared" si="217"/>
        <v>11595.762744602109</v>
      </c>
      <c r="AR109" s="716"/>
      <c r="AS109" s="755" t="s">
        <v>548</v>
      </c>
      <c r="AT109" s="756" t="s">
        <v>173</v>
      </c>
      <c r="AU109" s="448">
        <f t="shared" ref="AU109:AY113" si="218">Q109+AF109</f>
        <v>265.69859829585931</v>
      </c>
      <c r="AV109" s="448">
        <f t="shared" si="218"/>
        <v>283.9705792512234</v>
      </c>
      <c r="AW109" s="448">
        <f t="shared" si="218"/>
        <v>269.39947989661982</v>
      </c>
      <c r="AX109" s="448">
        <f t="shared" si="218"/>
        <v>264.94023245977201</v>
      </c>
      <c r="AY109" s="448">
        <f t="shared" si="218"/>
        <v>265.69859829585931</v>
      </c>
      <c r="BA109" s="755" t="s">
        <v>548</v>
      </c>
      <c r="BB109" s="756" t="s">
        <v>173</v>
      </c>
      <c r="BC109" s="448">
        <f t="shared" ref="BC109:BF113" si="219">Y109+AN109</f>
        <v>20516.083764806739</v>
      </c>
      <c r="BD109" s="448">
        <f t="shared" si="219"/>
        <v>24347.2224167327</v>
      </c>
      <c r="BE109" s="448">
        <f t="shared" si="219"/>
        <v>20918.62821673679</v>
      </c>
      <c r="BF109" s="448">
        <f t="shared" si="219"/>
        <v>29504.324457384777</v>
      </c>
      <c r="BG109" s="719"/>
      <c r="BH109" s="720"/>
      <c r="BI109" s="755" t="s">
        <v>548</v>
      </c>
      <c r="BJ109" s="756" t="s">
        <v>173</v>
      </c>
      <c r="BK109" s="502">
        <f t="shared" si="191"/>
        <v>0.32474383568687554</v>
      </c>
      <c r="BL109" s="502">
        <f t="shared" si="192"/>
        <v>0.36295976719680428</v>
      </c>
      <c r="BM109" s="502">
        <f t="shared" si="193"/>
        <v>0.37342241053772318</v>
      </c>
      <c r="BN109" s="790">
        <f t="shared" si="194"/>
        <v>0.36827774371626293</v>
      </c>
      <c r="BO109" s="791"/>
      <c r="BP109" s="792" t="s">
        <v>548</v>
      </c>
      <c r="BQ109" s="793" t="s">
        <v>173</v>
      </c>
      <c r="BR109" s="794">
        <f t="shared" si="195"/>
        <v>72.247215957736771</v>
      </c>
      <c r="BS109" s="794">
        <f t="shared" si="196"/>
        <v>90.375907281171351</v>
      </c>
      <c r="BT109" s="794">
        <f t="shared" si="197"/>
        <v>78.956027261405197</v>
      </c>
      <c r="BU109" s="794">
        <f t="shared" si="198"/>
        <v>111.04433612604639</v>
      </c>
      <c r="BV109" s="721"/>
    </row>
    <row r="110" spans="1:74" x14ac:dyDescent="0.35">
      <c r="A110" s="976"/>
      <c r="G110" s="716"/>
      <c r="H110" s="759"/>
      <c r="I110" s="760" t="s">
        <v>170</v>
      </c>
      <c r="J110" s="522">
        <v>14.151494852739795</v>
      </c>
      <c r="K110" s="522">
        <v>12.315799660134983</v>
      </c>
      <c r="L110" s="522">
        <v>8.7655601352096344</v>
      </c>
      <c r="M110" s="522">
        <v>9.4138270623271918</v>
      </c>
      <c r="N110" s="716"/>
      <c r="O110" s="759"/>
      <c r="P110" s="760" t="s">
        <v>170</v>
      </c>
      <c r="Q110" s="446">
        <v>164.87146462862316</v>
      </c>
      <c r="R110" s="446">
        <f>$Q110*$P$8*R$12</f>
        <v>176.20960597035011</v>
      </c>
      <c r="S110" s="446">
        <f t="shared" si="214"/>
        <v>167.16793805320282</v>
      </c>
      <c r="T110" s="446">
        <f t="shared" si="214"/>
        <v>164.40088297361268</v>
      </c>
      <c r="U110" s="446">
        <f t="shared" si="214"/>
        <v>164.87146462862316</v>
      </c>
      <c r="V110" s="741"/>
      <c r="W110" s="759"/>
      <c r="X110" s="760" t="s">
        <v>170</v>
      </c>
      <c r="Y110" s="446">
        <f t="shared" si="215"/>
        <v>23199.456247219656</v>
      </c>
      <c r="Z110" s="446">
        <f t="shared" si="215"/>
        <v>22840.655418241087</v>
      </c>
      <c r="AA110" s="446">
        <f t="shared" si="215"/>
        <v>17883.277071941033</v>
      </c>
      <c r="AB110" s="446">
        <f t="shared" si="215"/>
        <v>22859.477593626008</v>
      </c>
      <c r="AC110" s="716"/>
      <c r="AD110" s="759"/>
      <c r="AE110" s="760" t="s">
        <v>170</v>
      </c>
      <c r="AF110" s="446">
        <v>105.0903609899178</v>
      </c>
      <c r="AG110" s="446">
        <f t="shared" si="216"/>
        <v>112.31738095508122</v>
      </c>
      <c r="AH110" s="446">
        <f t="shared" si="216"/>
        <v>106.55415111112795</v>
      </c>
      <c r="AI110" s="446">
        <f t="shared" si="216"/>
        <v>104.79040856266376</v>
      </c>
      <c r="AJ110" s="446">
        <f t="shared" si="216"/>
        <v>105.0903609899178</v>
      </c>
      <c r="AL110" s="759"/>
      <c r="AM110" s="760" t="s">
        <v>170</v>
      </c>
      <c r="AN110" s="446">
        <f t="shared" si="217"/>
        <v>14787.514851535147</v>
      </c>
      <c r="AO110" s="446">
        <f t="shared" si="217"/>
        <v>14558.812397015357</v>
      </c>
      <c r="AP110" s="446">
        <f t="shared" si="217"/>
        <v>11398.940668152041</v>
      </c>
      <c r="AQ110" s="446">
        <f t="shared" si="217"/>
        <v>14570.809798811189</v>
      </c>
      <c r="AR110" s="716"/>
      <c r="AS110" s="759"/>
      <c r="AT110" s="760" t="s">
        <v>170</v>
      </c>
      <c r="AU110" s="446">
        <f t="shared" si="218"/>
        <v>269.96182561854096</v>
      </c>
      <c r="AV110" s="446">
        <f t="shared" si="218"/>
        <v>288.52698692543134</v>
      </c>
      <c r="AW110" s="446">
        <f t="shared" si="218"/>
        <v>273.72208916433078</v>
      </c>
      <c r="AX110" s="446">
        <f t="shared" si="218"/>
        <v>269.19129153627642</v>
      </c>
      <c r="AY110" s="446">
        <f t="shared" si="218"/>
        <v>269.96182561854096</v>
      </c>
      <c r="BA110" s="759"/>
      <c r="BB110" s="760" t="s">
        <v>170</v>
      </c>
      <c r="BC110" s="446">
        <f t="shared" si="219"/>
        <v>37986.971098754802</v>
      </c>
      <c r="BD110" s="446">
        <f t="shared" si="219"/>
        <v>37399.467815256445</v>
      </c>
      <c r="BE110" s="446">
        <f t="shared" si="219"/>
        <v>29282.217740093074</v>
      </c>
      <c r="BF110" s="446">
        <f t="shared" si="219"/>
        <v>37430.287392437196</v>
      </c>
      <c r="BG110" s="719"/>
      <c r="BH110" s="720"/>
      <c r="BI110" s="759"/>
      <c r="BJ110" s="760" t="s">
        <v>170</v>
      </c>
      <c r="BK110" s="496">
        <f t="shared" si="191"/>
        <v>0.59179054974618583</v>
      </c>
      <c r="BL110" s="496">
        <f t="shared" si="192"/>
        <v>0.54873339797574539</v>
      </c>
      <c r="BM110" s="496">
        <f t="shared" si="193"/>
        <v>0.5144676239739735</v>
      </c>
      <c r="BN110" s="795">
        <f t="shared" si="194"/>
        <v>0.45983271593404729</v>
      </c>
      <c r="BO110" s="791"/>
      <c r="BP110" s="796"/>
      <c r="BQ110" s="797" t="s">
        <v>170</v>
      </c>
      <c r="BR110" s="798">
        <f t="shared" si="195"/>
        <v>131.658294787421</v>
      </c>
      <c r="BS110" s="798">
        <f t="shared" si="196"/>
        <v>136.63299125560687</v>
      </c>
      <c r="BT110" s="798">
        <f t="shared" si="197"/>
        <v>108.77847337846354</v>
      </c>
      <c r="BU110" s="798">
        <f t="shared" si="198"/>
        <v>138.6502973399158</v>
      </c>
      <c r="BV110" s="721"/>
    </row>
    <row r="111" spans="1:74" x14ac:dyDescent="0.35">
      <c r="A111" s="976"/>
      <c r="B111" s="722" t="s">
        <v>624</v>
      </c>
      <c r="G111" s="716"/>
      <c r="H111" s="759"/>
      <c r="I111" s="760" t="s">
        <v>545</v>
      </c>
      <c r="J111" s="522">
        <v>0.12678693522627368</v>
      </c>
      <c r="K111" s="522">
        <v>0.30780923097071072</v>
      </c>
      <c r="L111" s="522">
        <v>0.51304994369065871</v>
      </c>
      <c r="M111" s="522">
        <v>1.082260436959406</v>
      </c>
      <c r="N111" s="716"/>
      <c r="O111" s="759"/>
      <c r="P111" s="760" t="s">
        <v>545</v>
      </c>
      <c r="Q111" s="446">
        <v>118.14481307433265</v>
      </c>
      <c r="R111" s="446">
        <f t="shared" ref="R111:R113" si="220">$Q111*$P$8*R$12</f>
        <v>126.26958222371846</v>
      </c>
      <c r="S111" s="446">
        <f t="shared" si="214"/>
        <v>119.79043697952619</v>
      </c>
      <c r="T111" s="446">
        <f t="shared" si="214"/>
        <v>117.80760019281517</v>
      </c>
      <c r="U111" s="446">
        <f t="shared" si="214"/>
        <v>118.14481307433265</v>
      </c>
      <c r="V111" s="741"/>
      <c r="W111" s="759"/>
      <c r="X111" s="760" t="s">
        <v>545</v>
      </c>
      <c r="Y111" s="446">
        <f t="shared" si="215"/>
        <v>148.94267711526834</v>
      </c>
      <c r="Z111" s="446">
        <f t="shared" si="215"/>
        <v>409.06917005085785</v>
      </c>
      <c r="AA111" s="446">
        <f t="shared" si="215"/>
        <v>750.06040411843423</v>
      </c>
      <c r="AB111" s="446">
        <f t="shared" si="215"/>
        <v>1883.2198868406708</v>
      </c>
      <c r="AC111" s="716"/>
      <c r="AD111" s="759"/>
      <c r="AE111" s="760" t="s">
        <v>545</v>
      </c>
      <c r="AF111" s="446">
        <v>96.440656946909996</v>
      </c>
      <c r="AG111" s="446">
        <f t="shared" si="216"/>
        <v>103.07284039973554</v>
      </c>
      <c r="AH111" s="446">
        <f t="shared" si="216"/>
        <v>97.783966453054418</v>
      </c>
      <c r="AI111" s="446">
        <f t="shared" si="216"/>
        <v>96.165392794568049</v>
      </c>
      <c r="AJ111" s="446">
        <f t="shared" si="216"/>
        <v>96.440656946909996</v>
      </c>
      <c r="AL111" s="759"/>
      <c r="AM111" s="760" t="s">
        <v>545</v>
      </c>
      <c r="AN111" s="446">
        <f t="shared" si="217"/>
        <v>121.58070468477159</v>
      </c>
      <c r="AO111" s="446">
        <f t="shared" si="217"/>
        <v>333.91986046489262</v>
      </c>
      <c r="AP111" s="446">
        <f t="shared" si="217"/>
        <v>612.2682514850236</v>
      </c>
      <c r="AQ111" s="446">
        <f t="shared" si="217"/>
        <v>1537.257187483393</v>
      </c>
      <c r="AR111" s="716"/>
      <c r="AS111" s="759"/>
      <c r="AT111" s="760" t="s">
        <v>545</v>
      </c>
      <c r="AU111" s="446">
        <f t="shared" si="218"/>
        <v>214.58547002124266</v>
      </c>
      <c r="AV111" s="446">
        <f t="shared" si="218"/>
        <v>229.34242262345401</v>
      </c>
      <c r="AW111" s="446">
        <f t="shared" si="218"/>
        <v>217.5744034325806</v>
      </c>
      <c r="AX111" s="446">
        <f t="shared" si="218"/>
        <v>213.97299298738324</v>
      </c>
      <c r="AY111" s="446">
        <f t="shared" si="218"/>
        <v>214.58547002124266</v>
      </c>
      <c r="BA111" s="759"/>
      <c r="BB111" s="760" t="s">
        <v>545</v>
      </c>
      <c r="BC111" s="446">
        <f t="shared" si="219"/>
        <v>270.52338180003994</v>
      </c>
      <c r="BD111" s="446">
        <f t="shared" si="219"/>
        <v>742.98903051575053</v>
      </c>
      <c r="BE111" s="446">
        <f t="shared" si="219"/>
        <v>1362.3286556034577</v>
      </c>
      <c r="BF111" s="446">
        <f t="shared" si="219"/>
        <v>3420.4770743240638</v>
      </c>
      <c r="BG111" s="719"/>
      <c r="BH111" s="720"/>
      <c r="BI111" s="759"/>
      <c r="BJ111" s="760" t="s">
        <v>545</v>
      </c>
      <c r="BK111" s="496">
        <f t="shared" si="191"/>
        <v>5.3020059632544157E-3</v>
      </c>
      <c r="BL111" s="496">
        <f t="shared" si="192"/>
        <v>1.3714513868359555E-2</v>
      </c>
      <c r="BM111" s="496">
        <f t="shared" si="193"/>
        <v>3.0111890334342178E-2</v>
      </c>
      <c r="BN111" s="795">
        <f t="shared" si="194"/>
        <v>5.2864658844921066E-2</v>
      </c>
      <c r="BO111" s="791"/>
      <c r="BP111" s="796"/>
      <c r="BQ111" s="797" t="s">
        <v>545</v>
      </c>
      <c r="BR111" s="798">
        <f t="shared" si="195"/>
        <v>1.1795610193069204</v>
      </c>
      <c r="BS111" s="798">
        <f t="shared" si="196"/>
        <v>3.4148733435271903</v>
      </c>
      <c r="BT111" s="798">
        <f t="shared" si="197"/>
        <v>6.3668252548291759</v>
      </c>
      <c r="BU111" s="798">
        <f t="shared" si="198"/>
        <v>15.939928616720684</v>
      </c>
      <c r="BV111" s="721"/>
    </row>
    <row r="112" spans="1:74" x14ac:dyDescent="0.35">
      <c r="A112" s="976"/>
      <c r="B112" s="726" t="s">
        <v>623</v>
      </c>
      <c r="C112" s="729"/>
      <c r="D112" s="727"/>
      <c r="E112" s="518">
        <v>220</v>
      </c>
      <c r="G112" s="716"/>
      <c r="H112" s="759"/>
      <c r="I112" s="760" t="s">
        <v>468</v>
      </c>
      <c r="J112" s="522">
        <v>0.10308024011692897</v>
      </c>
      <c r="K112" s="522">
        <v>7.9424220968220854E-2</v>
      </c>
      <c r="L112" s="522">
        <v>7.9851325494167236E-2</v>
      </c>
      <c r="M112" s="522">
        <v>0.13764218387919908</v>
      </c>
      <c r="N112" s="716"/>
      <c r="O112" s="759"/>
      <c r="P112" s="760" t="s">
        <v>468</v>
      </c>
      <c r="Q112" s="446">
        <v>96.127436371728606</v>
      </c>
      <c r="R112" s="446">
        <f t="shared" si="220"/>
        <v>102.73807977721762</v>
      </c>
      <c r="S112" s="446">
        <f t="shared" si="214"/>
        <v>97.466383068768636</v>
      </c>
      <c r="T112" s="446">
        <f t="shared" si="214"/>
        <v>95.853066224040433</v>
      </c>
      <c r="U112" s="446">
        <f t="shared" si="214"/>
        <v>96.127436371728606</v>
      </c>
      <c r="V112" s="741"/>
      <c r="W112" s="759"/>
      <c r="X112" s="760" t="s">
        <v>468</v>
      </c>
      <c r="Y112" s="446">
        <f t="shared" si="215"/>
        <v>98.526436149597572</v>
      </c>
      <c r="Z112" s="446">
        <f t="shared" si="215"/>
        <v>85.88172802231054</v>
      </c>
      <c r="AA112" s="446">
        <f t="shared" si="215"/>
        <v>94.984212328887821</v>
      </c>
      <c r="AB112" s="446">
        <f t="shared" si="215"/>
        <v>194.87382266048837</v>
      </c>
      <c r="AC112" s="716"/>
      <c r="AD112" s="759"/>
      <c r="AE112" s="760" t="s">
        <v>468</v>
      </c>
      <c r="AF112" s="446">
        <v>102.62845845129472</v>
      </c>
      <c r="AG112" s="446">
        <f t="shared" si="216"/>
        <v>109.68617441339528</v>
      </c>
      <c r="AH112" s="446">
        <f t="shared" si="216"/>
        <v>104.05795704870124</v>
      </c>
      <c r="AI112" s="446">
        <f t="shared" si="216"/>
        <v>102.33553286870243</v>
      </c>
      <c r="AJ112" s="446">
        <f t="shared" si="216"/>
        <v>102.62845845129473</v>
      </c>
      <c r="AL112" s="759"/>
      <c r="AM112" s="760" t="s">
        <v>468</v>
      </c>
      <c r="AN112" s="446">
        <f t="shared" si="217"/>
        <v>105.18970067641349</v>
      </c>
      <c r="AO112" s="446">
        <f t="shared" si="217"/>
        <v>91.689840993775746</v>
      </c>
      <c r="AP112" s="446">
        <f t="shared" si="217"/>
        <v>101.40791907554876</v>
      </c>
      <c r="AQ112" s="446">
        <f t="shared" si="217"/>
        <v>208.0529843198737</v>
      </c>
      <c r="AR112" s="716"/>
      <c r="AS112" s="759"/>
      <c r="AT112" s="760" t="s">
        <v>468</v>
      </c>
      <c r="AU112" s="446">
        <f t="shared" si="218"/>
        <v>198.75589482302331</v>
      </c>
      <c r="AV112" s="446">
        <f t="shared" si="218"/>
        <v>212.42425419061288</v>
      </c>
      <c r="AW112" s="446">
        <f t="shared" si="218"/>
        <v>201.52434011746988</v>
      </c>
      <c r="AX112" s="446">
        <f t="shared" si="218"/>
        <v>198.18859909274286</v>
      </c>
      <c r="AY112" s="446">
        <f t="shared" si="218"/>
        <v>198.75589482302334</v>
      </c>
      <c r="BA112" s="759"/>
      <c r="BB112" s="760" t="s">
        <v>468</v>
      </c>
      <c r="BC112" s="446">
        <f t="shared" si="219"/>
        <v>203.71613682601105</v>
      </c>
      <c r="BD112" s="446">
        <f t="shared" si="219"/>
        <v>177.5715690160863</v>
      </c>
      <c r="BE112" s="446">
        <f t="shared" si="219"/>
        <v>196.39213140443658</v>
      </c>
      <c r="BF112" s="446">
        <f t="shared" si="219"/>
        <v>402.92680698036207</v>
      </c>
      <c r="BG112" s="719"/>
      <c r="BH112" s="720"/>
      <c r="BI112" s="759"/>
      <c r="BJ112" s="760" t="s">
        <v>468</v>
      </c>
      <c r="BK112" s="496">
        <f t="shared" si="191"/>
        <v>4.3106337953375991E-3</v>
      </c>
      <c r="BL112" s="496">
        <f t="shared" si="192"/>
        <v>3.5387651517701452E-3</v>
      </c>
      <c r="BM112" s="496">
        <f t="shared" si="193"/>
        <v>4.6866282433158067E-3</v>
      </c>
      <c r="BN112" s="795">
        <f t="shared" si="194"/>
        <v>6.7233420394509722E-3</v>
      </c>
      <c r="BO112" s="791"/>
      <c r="BP112" s="796"/>
      <c r="BQ112" s="797" t="s">
        <v>468</v>
      </c>
      <c r="BR112" s="798">
        <f t="shared" si="195"/>
        <v>0.95900601182392353</v>
      </c>
      <c r="BS112" s="798">
        <f t="shared" si="196"/>
        <v>0.88114204424427656</v>
      </c>
      <c r="BT112" s="798">
        <f t="shared" si="197"/>
        <v>0.99093556492891077</v>
      </c>
      <c r="BU112" s="798">
        <f t="shared" si="198"/>
        <v>2.0272445621758135</v>
      </c>
      <c r="BV112" s="721"/>
    </row>
    <row r="113" spans="1:75" x14ac:dyDescent="0.35">
      <c r="A113" s="976"/>
      <c r="B113" s="726" t="s">
        <v>622</v>
      </c>
      <c r="C113" s="729"/>
      <c r="D113" s="727"/>
      <c r="E113" s="525">
        <v>0.5</v>
      </c>
      <c r="G113" s="716"/>
      <c r="H113" s="759"/>
      <c r="I113" s="760" t="s">
        <v>544</v>
      </c>
      <c r="J113" s="522">
        <v>2.4990685945055824E-2</v>
      </c>
      <c r="K113" s="522">
        <v>7.6992750547061881E-2</v>
      </c>
      <c r="L113" s="522">
        <v>0.16507076605215493</v>
      </c>
      <c r="M113" s="522">
        <v>0.41103926659195789</v>
      </c>
      <c r="N113" s="716"/>
      <c r="O113" s="759"/>
      <c r="P113" s="760" t="s">
        <v>544</v>
      </c>
      <c r="Q113" s="446">
        <v>0</v>
      </c>
      <c r="R113" s="446">
        <f t="shared" si="220"/>
        <v>0</v>
      </c>
      <c r="S113" s="446">
        <f t="shared" si="214"/>
        <v>0</v>
      </c>
      <c r="T113" s="446">
        <f t="shared" si="214"/>
        <v>0</v>
      </c>
      <c r="U113" s="446">
        <f t="shared" si="214"/>
        <v>0</v>
      </c>
      <c r="V113" s="741"/>
      <c r="W113" s="759"/>
      <c r="X113" s="760" t="s">
        <v>544</v>
      </c>
      <c r="Y113" s="446">
        <f t="shared" si="215"/>
        <v>0</v>
      </c>
      <c r="Z113" s="446">
        <f t="shared" si="215"/>
        <v>0</v>
      </c>
      <c r="AA113" s="446">
        <f t="shared" si="215"/>
        <v>0</v>
      </c>
      <c r="AB113" s="446">
        <f t="shared" si="215"/>
        <v>0</v>
      </c>
      <c r="AC113" s="716"/>
      <c r="AD113" s="759"/>
      <c r="AE113" s="760" t="s">
        <v>544</v>
      </c>
      <c r="AF113" s="446">
        <v>128.26982324763119</v>
      </c>
      <c r="AG113" s="446">
        <f t="shared" si="216"/>
        <v>137.09088509199532</v>
      </c>
      <c r="AH113" s="446">
        <f t="shared" si="216"/>
        <v>130.05647711722131</v>
      </c>
      <c r="AI113" s="446">
        <f t="shared" si="216"/>
        <v>127.90371122304444</v>
      </c>
      <c r="AJ113" s="446">
        <f t="shared" si="216"/>
        <v>128.26982324763122</v>
      </c>
      <c r="AL113" s="759"/>
      <c r="AM113" s="760" t="s">
        <v>544</v>
      </c>
      <c r="AN113" s="446">
        <f t="shared" si="217"/>
        <v>31.873713551222352</v>
      </c>
      <c r="AO113" s="446">
        <f t="shared" si="217"/>
        <v>111.08995262104864</v>
      </c>
      <c r="AP113" s="446">
        <f t="shared" si="217"/>
        <v>262.0092348185288</v>
      </c>
      <c r="AQ113" s="446">
        <f t="shared" si="217"/>
        <v>776.53743666985531</v>
      </c>
      <c r="AR113" s="716"/>
      <c r="AS113" s="759"/>
      <c r="AT113" s="760" t="s">
        <v>544</v>
      </c>
      <c r="AU113" s="446">
        <f t="shared" si="218"/>
        <v>128.26982324763119</v>
      </c>
      <c r="AV113" s="446">
        <f t="shared" si="218"/>
        <v>137.09088509199532</v>
      </c>
      <c r="AW113" s="446">
        <f t="shared" si="218"/>
        <v>130.05647711722131</v>
      </c>
      <c r="AX113" s="446">
        <f t="shared" si="218"/>
        <v>127.90371122304444</v>
      </c>
      <c r="AY113" s="446">
        <f t="shared" si="218"/>
        <v>128.26982324763122</v>
      </c>
      <c r="BA113" s="759"/>
      <c r="BB113" s="760" t="s">
        <v>544</v>
      </c>
      <c r="BC113" s="446">
        <f t="shared" si="219"/>
        <v>31.873713551222352</v>
      </c>
      <c r="BD113" s="446">
        <f t="shared" si="219"/>
        <v>111.08995262104864</v>
      </c>
      <c r="BE113" s="446">
        <f t="shared" si="219"/>
        <v>262.0092348185288</v>
      </c>
      <c r="BF113" s="446">
        <f t="shared" si="219"/>
        <v>776.53743666985531</v>
      </c>
      <c r="BG113" s="719"/>
      <c r="BH113" s="720"/>
      <c r="BI113" s="759"/>
      <c r="BJ113" s="760" t="s">
        <v>544</v>
      </c>
      <c r="BK113" s="496">
        <f t="shared" si="191"/>
        <v>1.0450663995468718E-3</v>
      </c>
      <c r="BL113" s="496">
        <f t="shared" si="192"/>
        <v>3.4304304059071663E-3</v>
      </c>
      <c r="BM113" s="496">
        <f t="shared" si="193"/>
        <v>9.6883215092317416E-3</v>
      </c>
      <c r="BN113" s="795">
        <f t="shared" si="194"/>
        <v>2.0077838806802334E-2</v>
      </c>
      <c r="BO113" s="791"/>
      <c r="BP113" s="796"/>
      <c r="BQ113" s="797" t="s">
        <v>544</v>
      </c>
      <c r="BR113" s="798">
        <f t="shared" si="195"/>
        <v>0.23250060374060158</v>
      </c>
      <c r="BS113" s="798">
        <f t="shared" si="196"/>
        <v>0.85416701331162515</v>
      </c>
      <c r="BT113" s="798">
        <f t="shared" si="197"/>
        <v>2.0484881346533008</v>
      </c>
      <c r="BU113" s="798">
        <f t="shared" si="198"/>
        <v>6.0539370602445715</v>
      </c>
      <c r="BV113" s="721"/>
    </row>
    <row r="114" spans="1:75" x14ac:dyDescent="0.35">
      <c r="A114" s="976"/>
      <c r="B114" s="726" t="s">
        <v>621</v>
      </c>
      <c r="C114" s="729"/>
      <c r="D114" s="727"/>
      <c r="E114" s="524">
        <f>$E$112/$C$4*$E$113</f>
        <v>0.30116358658453113</v>
      </c>
      <c r="G114" s="716"/>
      <c r="H114" s="767"/>
      <c r="I114" s="765" t="s">
        <v>404</v>
      </c>
      <c r="J114" s="523">
        <v>22.171956137659635</v>
      </c>
      <c r="K114" s="523">
        <v>20.926312919277695</v>
      </c>
      <c r="L114" s="523">
        <v>15.885947301877595</v>
      </c>
      <c r="M114" s="523">
        <v>18.584256398376361</v>
      </c>
      <c r="N114" s="716"/>
      <c r="O114" s="767"/>
      <c r="P114" s="765" t="s">
        <v>404</v>
      </c>
      <c r="Q114" s="484">
        <f>U114</f>
        <v>156.53514275770539</v>
      </c>
      <c r="R114" s="484">
        <f>IF(J114=0,0,Y114/(J114*$C$4*C$102)*10^6)</f>
        <v>174.0371923894088</v>
      </c>
      <c r="S114" s="484">
        <f>IF(K114=0,0,Z114/(K114*$C$4*D$102)*10^6)</f>
        <v>164.17150423195486</v>
      </c>
      <c r="T114" s="484">
        <f>IF(L114=0,0,AA114/(L114*$C$4*E$102)*10^6)</f>
        <v>159.40656483930636</v>
      </c>
      <c r="U114" s="484">
        <f>IF(M114=0,0,AB114/(M114*$C$4*F$102)*10^6)</f>
        <v>156.53514275770539</v>
      </c>
      <c r="V114" s="741"/>
      <c r="W114" s="767"/>
      <c r="X114" s="765" t="s">
        <v>404</v>
      </c>
      <c r="Y114" s="484">
        <f t="shared" ref="Y114:AB114" si="221">SUM(Y109:Y113)</f>
        <v>35899.796556954105</v>
      </c>
      <c r="Z114" s="484">
        <f t="shared" si="221"/>
        <v>38113.905538676852</v>
      </c>
      <c r="AA114" s="484">
        <f t="shared" si="221"/>
        <v>31425.529682670076</v>
      </c>
      <c r="AB114" s="484">
        <f t="shared" si="221"/>
        <v>42846.133015909843</v>
      </c>
      <c r="AC114" s="716"/>
      <c r="AD114" s="767"/>
      <c r="AE114" s="765" t="s">
        <v>404</v>
      </c>
      <c r="AF114" s="484">
        <f>AJ114</f>
        <v>104.8109975829335</v>
      </c>
      <c r="AG114" s="484">
        <f>IF(J114=0,0,AN114/(J114*$C$4*C$102)*10^6)</f>
        <v>112.0310009031159</v>
      </c>
      <c r="AH114" s="484">
        <f>IF(K114=0,0,AO114/(K114*$C$4*D$102)*10^6)</f>
        <v>106.23937321696562</v>
      </c>
      <c r="AI114" s="484">
        <f>IF(L114=0,0,AP114/(L114*$C$4*E$102)*10^6)</f>
        <v>104.4738154763706</v>
      </c>
      <c r="AJ114" s="484">
        <f>IF(M114=0,0,AQ114/(M114*$C$4*F$102)*10^6)</f>
        <v>104.8109975829335</v>
      </c>
      <c r="AL114" s="767"/>
      <c r="AM114" s="765" t="s">
        <v>404</v>
      </c>
      <c r="AN114" s="484">
        <f t="shared" ref="AN114:AQ114" si="222">SUM(AN109:AN113)</f>
        <v>23109.371538784708</v>
      </c>
      <c r="AO114" s="484">
        <f t="shared" si="222"/>
        <v>24664.435245465178</v>
      </c>
      <c r="AP114" s="484">
        <f t="shared" si="222"/>
        <v>20596.046295986209</v>
      </c>
      <c r="AQ114" s="484">
        <f t="shared" si="222"/>
        <v>28688.420151886421</v>
      </c>
      <c r="AR114" s="716"/>
      <c r="AS114" s="767"/>
      <c r="AT114" s="765" t="s">
        <v>404</v>
      </c>
      <c r="AU114" s="484">
        <f>AY114</f>
        <v>261.3461403406389</v>
      </c>
      <c r="AV114" s="484">
        <f>IF(J114=0,0,BC114/(J114*$C$4*C$102)*10^6)</f>
        <v>286.06819329252471</v>
      </c>
      <c r="AW114" s="484">
        <f>IF(K114=0,0,BD114/(K114*$C$4*D$102)*10^6)</f>
        <v>270.41087744892047</v>
      </c>
      <c r="AX114" s="484">
        <f>IF(L114=0,0,BE114/(L114*$C$4*E$102)*10^6)</f>
        <v>263.88038031567697</v>
      </c>
      <c r="AY114" s="484">
        <f>IF(M114=0,0,BF114/(M114*$C$4*F$102)*10^6)</f>
        <v>261.3461403406389</v>
      </c>
      <c r="BA114" s="767"/>
      <c r="BB114" s="765" t="s">
        <v>404</v>
      </c>
      <c r="BC114" s="484">
        <f t="shared" ref="BC114:BF114" si="223">SUM(BC109:BC113)</f>
        <v>59009.168095738816</v>
      </c>
      <c r="BD114" s="484">
        <f t="shared" si="223"/>
        <v>62778.340784142034</v>
      </c>
      <c r="BE114" s="484">
        <f t="shared" si="223"/>
        <v>52021.575978656285</v>
      </c>
      <c r="BF114" s="484">
        <f t="shared" si="223"/>
        <v>71534.553167796257</v>
      </c>
      <c r="BG114" s="719"/>
      <c r="BH114" s="720" t="s">
        <v>548</v>
      </c>
      <c r="BI114" s="767"/>
      <c r="BJ114" s="765" t="s">
        <v>404</v>
      </c>
      <c r="BK114" s="482">
        <f t="shared" si="191"/>
        <v>0.92719209159120031</v>
      </c>
      <c r="BL114" s="482">
        <f t="shared" si="192"/>
        <v>0.93237687459858654</v>
      </c>
      <c r="BM114" s="482">
        <f t="shared" si="193"/>
        <v>0.93237687459858642</v>
      </c>
      <c r="BN114" s="781">
        <f t="shared" si="194"/>
        <v>0.90777629934148474</v>
      </c>
      <c r="BO114" s="791"/>
      <c r="BP114" s="767"/>
      <c r="BQ114" s="800" t="s">
        <v>404</v>
      </c>
      <c r="BR114" s="782">
        <f t="shared" si="195"/>
        <v>206.27657838002921</v>
      </c>
      <c r="BS114" s="782">
        <f t="shared" si="196"/>
        <v>232.15908093786132</v>
      </c>
      <c r="BT114" s="782">
        <f t="shared" si="197"/>
        <v>197.14074959428015</v>
      </c>
      <c r="BU114" s="782">
        <f t="shared" si="198"/>
        <v>273.71574370510325</v>
      </c>
      <c r="BV114" s="721"/>
    </row>
    <row r="115" spans="1:75" x14ac:dyDescent="0.35">
      <c r="A115" s="976"/>
      <c r="G115" s="716"/>
      <c r="H115" s="755" t="s">
        <v>591</v>
      </c>
      <c r="I115" s="768"/>
      <c r="J115" s="505">
        <v>1.4267636850535181</v>
      </c>
      <c r="K115" s="505">
        <v>1.2355734147871997</v>
      </c>
      <c r="L115" s="505">
        <v>0.93797002035788646</v>
      </c>
      <c r="M115" s="505">
        <v>1.4206609625180622</v>
      </c>
      <c r="N115" s="716"/>
      <c r="O115" s="755" t="s">
        <v>591</v>
      </c>
      <c r="P115" s="768"/>
      <c r="Q115" s="505">
        <v>5.1828753057843707E-2</v>
      </c>
      <c r="R115" s="505">
        <f t="shared" ref="R115:U117" si="224">$Q115</f>
        <v>5.1828753057843707E-2</v>
      </c>
      <c r="S115" s="505">
        <f t="shared" si="224"/>
        <v>5.1828753057843707E-2</v>
      </c>
      <c r="T115" s="505">
        <f t="shared" si="224"/>
        <v>5.1828753057843707E-2</v>
      </c>
      <c r="U115" s="505">
        <f t="shared" si="224"/>
        <v>5.1828753057843707E-2</v>
      </c>
      <c r="V115" s="741"/>
      <c r="W115" s="755" t="s">
        <v>591</v>
      </c>
      <c r="X115" s="768"/>
      <c r="Y115" s="448">
        <f t="shared" ref="Y115:AB117" si="225">IF(J115=0,0,$C$4*C$102*J115*R115)/10^6</f>
        <v>0.68796875610546493</v>
      </c>
      <c r="Z115" s="448">
        <f t="shared" si="225"/>
        <v>0.71044796757576711</v>
      </c>
      <c r="AA115" s="448">
        <f t="shared" si="225"/>
        <v>0.60328566218397017</v>
      </c>
      <c r="AB115" s="448">
        <f t="shared" si="225"/>
        <v>1.0844656406188016</v>
      </c>
      <c r="AC115" s="716"/>
      <c r="AD115" s="755" t="s">
        <v>591</v>
      </c>
      <c r="AE115" s="768"/>
      <c r="AF115" s="448">
        <v>6.9730960686619339</v>
      </c>
      <c r="AG115" s="504">
        <f t="shared" ref="AG115:AJ117" si="226">$AF115</f>
        <v>6.9730960686619339</v>
      </c>
      <c r="AH115" s="504">
        <f t="shared" si="226"/>
        <v>6.9730960686619339</v>
      </c>
      <c r="AI115" s="504">
        <f t="shared" si="226"/>
        <v>6.9730960686619339</v>
      </c>
      <c r="AJ115" s="504">
        <f t="shared" si="226"/>
        <v>6.9730960686619339</v>
      </c>
      <c r="AL115" s="755" t="s">
        <v>591</v>
      </c>
      <c r="AM115" s="768"/>
      <c r="AN115" s="448">
        <f t="shared" ref="AN115:AQ117" si="227">IF(J115=0,0,$C$4*C$102*J115*AG115)/10^6</f>
        <v>92.560054902483216</v>
      </c>
      <c r="AO115" s="448">
        <f t="shared" si="227"/>
        <v>95.584432142569284</v>
      </c>
      <c r="AP115" s="448">
        <f t="shared" si="227"/>
        <v>81.166700548635063</v>
      </c>
      <c r="AQ115" s="448">
        <f t="shared" si="227"/>
        <v>145.90517133912547</v>
      </c>
      <c r="AR115" s="716"/>
      <c r="AS115" s="755" t="s">
        <v>591</v>
      </c>
      <c r="AT115" s="768"/>
      <c r="AU115" s="448">
        <f t="shared" ref="AU115:AY117" si="228">Q115+AF115</f>
        <v>7.0249248217197779</v>
      </c>
      <c r="AV115" s="448">
        <f t="shared" si="228"/>
        <v>7.0249248217197779</v>
      </c>
      <c r="AW115" s="448">
        <f t="shared" si="228"/>
        <v>7.0249248217197779</v>
      </c>
      <c r="AX115" s="448">
        <f t="shared" si="228"/>
        <v>7.0249248217197779</v>
      </c>
      <c r="AY115" s="448">
        <f t="shared" si="228"/>
        <v>7.0249248217197779</v>
      </c>
      <c r="BA115" s="755" t="s">
        <v>591</v>
      </c>
      <c r="BB115" s="768"/>
      <c r="BC115" s="448">
        <f t="shared" ref="BC115:BF117" si="229">Y115+AN115</f>
        <v>93.248023658588679</v>
      </c>
      <c r="BD115" s="448">
        <f t="shared" si="229"/>
        <v>96.294880110145044</v>
      </c>
      <c r="BE115" s="448">
        <f t="shared" si="229"/>
        <v>81.769986210819027</v>
      </c>
      <c r="BF115" s="448">
        <f t="shared" si="229"/>
        <v>146.98963697974426</v>
      </c>
      <c r="BG115" s="719"/>
      <c r="BH115" s="720" t="str">
        <f>BI115</f>
        <v>Train</v>
      </c>
      <c r="BI115" s="755" t="s">
        <v>591</v>
      </c>
      <c r="BJ115" s="768"/>
      <c r="BK115" s="502">
        <f t="shared" si="191"/>
        <v>5.9664740320507295E-2</v>
      </c>
      <c r="BL115" s="502">
        <f t="shared" si="192"/>
        <v>5.5051268862329333E-2</v>
      </c>
      <c r="BM115" s="502">
        <f t="shared" si="193"/>
        <v>5.5051268862329333E-2</v>
      </c>
      <c r="BN115" s="790">
        <f t="shared" si="194"/>
        <v>6.9394347749433205E-2</v>
      </c>
      <c r="BO115" s="791"/>
      <c r="BP115" s="792" t="s">
        <v>591</v>
      </c>
      <c r="BQ115" s="801"/>
      <c r="BR115" s="794">
        <f t="shared" si="195"/>
        <v>13.273882073482536</v>
      </c>
      <c r="BS115" s="794">
        <f t="shared" si="196"/>
        <v>13.707602935823452</v>
      </c>
      <c r="BT115" s="794">
        <f t="shared" si="197"/>
        <v>11.63998025402368</v>
      </c>
      <c r="BU115" s="794">
        <f t="shared" si="198"/>
        <v>20.924015659965402</v>
      </c>
      <c r="BV115" s="721"/>
    </row>
    <row r="116" spans="1:75" x14ac:dyDescent="0.35">
      <c r="A116" s="976"/>
      <c r="G116" s="716"/>
      <c r="H116" s="759" t="s">
        <v>590</v>
      </c>
      <c r="J116" s="522">
        <v>7.5092825529132601E-2</v>
      </c>
      <c r="K116" s="522">
        <v>6.5030179725642137E-2</v>
      </c>
      <c r="L116" s="522">
        <v>4.9366843176730901E-2</v>
      </c>
      <c r="M116" s="522">
        <v>7.4771629606213877E-2</v>
      </c>
      <c r="N116" s="716"/>
      <c r="O116" s="759" t="s">
        <v>590</v>
      </c>
      <c r="Q116" s="446">
        <v>63.533074223942634</v>
      </c>
      <c r="R116" s="446">
        <f t="shared" si="224"/>
        <v>63.533074223942634</v>
      </c>
      <c r="S116" s="446">
        <f t="shared" si="224"/>
        <v>63.533074223942634</v>
      </c>
      <c r="T116" s="446">
        <f t="shared" si="224"/>
        <v>63.533074223942634</v>
      </c>
      <c r="U116" s="446">
        <f t="shared" si="224"/>
        <v>63.533074223942634</v>
      </c>
      <c r="V116" s="741"/>
      <c r="W116" s="759" t="s">
        <v>590</v>
      </c>
      <c r="Y116" s="446">
        <f t="shared" si="225"/>
        <v>44.385817632338338</v>
      </c>
      <c r="Z116" s="446">
        <f t="shared" si="225"/>
        <v>45.836113408105575</v>
      </c>
      <c r="AA116" s="446">
        <f t="shared" si="225"/>
        <v>38.922301549690189</v>
      </c>
      <c r="AB116" s="446">
        <f t="shared" si="225"/>
        <v>69.966686315132705</v>
      </c>
      <c r="AC116" s="716"/>
      <c r="AD116" s="759" t="s">
        <v>590</v>
      </c>
      <c r="AF116" s="446">
        <v>26.947748950756736</v>
      </c>
      <c r="AG116" s="498">
        <f t="shared" si="226"/>
        <v>26.947748950756736</v>
      </c>
      <c r="AH116" s="498">
        <f t="shared" si="226"/>
        <v>26.947748950756736</v>
      </c>
      <c r="AI116" s="498">
        <f t="shared" si="226"/>
        <v>26.947748950756736</v>
      </c>
      <c r="AJ116" s="498">
        <f t="shared" si="226"/>
        <v>26.947748950756736</v>
      </c>
      <c r="AL116" s="759" t="s">
        <v>590</v>
      </c>
      <c r="AN116" s="446">
        <f t="shared" si="227"/>
        <v>18.826381143060949</v>
      </c>
      <c r="AO116" s="446">
        <f t="shared" si="227"/>
        <v>19.441528559538241</v>
      </c>
      <c r="AP116" s="446">
        <f t="shared" si="227"/>
        <v>16.509013983010313</v>
      </c>
      <c r="AQ116" s="446">
        <f t="shared" si="227"/>
        <v>29.676585318234252</v>
      </c>
      <c r="AR116" s="716"/>
      <c r="AS116" s="759" t="s">
        <v>590</v>
      </c>
      <c r="AU116" s="446">
        <f t="shared" si="228"/>
        <v>90.480823174699367</v>
      </c>
      <c r="AV116" s="446">
        <f t="shared" si="228"/>
        <v>90.480823174699367</v>
      </c>
      <c r="AW116" s="446">
        <f t="shared" si="228"/>
        <v>90.480823174699367</v>
      </c>
      <c r="AX116" s="446">
        <f t="shared" si="228"/>
        <v>90.480823174699367</v>
      </c>
      <c r="AY116" s="446">
        <f t="shared" si="228"/>
        <v>90.480823174699367</v>
      </c>
      <c r="BA116" s="759" t="s">
        <v>590</v>
      </c>
      <c r="BC116" s="446">
        <f t="shared" si="229"/>
        <v>63.212198775399287</v>
      </c>
      <c r="BD116" s="446">
        <f t="shared" si="229"/>
        <v>65.277641967643817</v>
      </c>
      <c r="BE116" s="446">
        <f t="shared" si="229"/>
        <v>55.431315532700502</v>
      </c>
      <c r="BF116" s="446">
        <f t="shared" si="229"/>
        <v>99.643271633366965</v>
      </c>
      <c r="BG116" s="719"/>
      <c r="BH116" s="720" t="str">
        <f>BI116</f>
        <v>Bus</v>
      </c>
      <c r="BI116" s="759" t="s">
        <v>590</v>
      </c>
      <c r="BK116" s="496">
        <f t="shared" si="191"/>
        <v>3.1402494905530183E-3</v>
      </c>
      <c r="BL116" s="496">
        <f t="shared" si="192"/>
        <v>2.8974352032804934E-3</v>
      </c>
      <c r="BM116" s="496">
        <f t="shared" si="193"/>
        <v>2.897435203280493E-3</v>
      </c>
      <c r="BN116" s="795">
        <f t="shared" si="194"/>
        <v>3.6523340920754355E-3</v>
      </c>
      <c r="BO116" s="791"/>
      <c r="BP116" s="796" t="s">
        <v>590</v>
      </c>
      <c r="BQ116" s="802"/>
      <c r="BR116" s="798">
        <f t="shared" si="195"/>
        <v>0.69862537228855526</v>
      </c>
      <c r="BS116" s="798">
        <f t="shared" si="196"/>
        <v>0.72145278609597174</v>
      </c>
      <c r="BT116" s="798">
        <f t="shared" si="197"/>
        <v>0.61263053968545722</v>
      </c>
      <c r="BU116" s="798">
        <f t="shared" si="198"/>
        <v>1.1012639821034436</v>
      </c>
      <c r="BV116" s="721"/>
    </row>
    <row r="117" spans="1:75" x14ac:dyDescent="0.35">
      <c r="A117" s="976"/>
      <c r="G117" s="716"/>
      <c r="H117" s="764" t="s">
        <v>492</v>
      </c>
      <c r="I117" s="769"/>
      <c r="J117" s="491">
        <v>0</v>
      </c>
      <c r="K117" s="491">
        <v>0</v>
      </c>
      <c r="L117" s="491">
        <v>0</v>
      </c>
      <c r="M117" s="491">
        <v>0</v>
      </c>
      <c r="N117" s="716"/>
      <c r="O117" s="764" t="s">
        <v>492</v>
      </c>
      <c r="P117" s="769"/>
      <c r="Q117" s="491">
        <v>0.18742182767857141</v>
      </c>
      <c r="R117" s="491">
        <f t="shared" si="224"/>
        <v>0.18742182767857141</v>
      </c>
      <c r="S117" s="491">
        <f t="shared" si="224"/>
        <v>0.18742182767857141</v>
      </c>
      <c r="T117" s="491">
        <f t="shared" si="224"/>
        <v>0.18742182767857141</v>
      </c>
      <c r="U117" s="491">
        <f t="shared" si="224"/>
        <v>0.18742182767857141</v>
      </c>
      <c r="V117" s="741"/>
      <c r="W117" s="764" t="s">
        <v>492</v>
      </c>
      <c r="X117" s="769"/>
      <c r="Y117" s="445">
        <f t="shared" si="225"/>
        <v>0</v>
      </c>
      <c r="Z117" s="445">
        <f t="shared" si="225"/>
        <v>0</v>
      </c>
      <c r="AA117" s="445">
        <f t="shared" si="225"/>
        <v>0</v>
      </c>
      <c r="AB117" s="445">
        <f t="shared" si="225"/>
        <v>0</v>
      </c>
      <c r="AC117" s="716"/>
      <c r="AD117" s="764" t="s">
        <v>492</v>
      </c>
      <c r="AE117" s="769"/>
      <c r="AF117" s="445">
        <v>36.015470702126663</v>
      </c>
      <c r="AG117" s="490">
        <f t="shared" si="226"/>
        <v>36.015470702126663</v>
      </c>
      <c r="AH117" s="490">
        <f t="shared" si="226"/>
        <v>36.015470702126663</v>
      </c>
      <c r="AI117" s="490">
        <f t="shared" si="226"/>
        <v>36.015470702126663</v>
      </c>
      <c r="AJ117" s="490">
        <f t="shared" si="226"/>
        <v>36.015470702126663</v>
      </c>
      <c r="AL117" s="764" t="s">
        <v>492</v>
      </c>
      <c r="AM117" s="769"/>
      <c r="AN117" s="445">
        <f t="shared" si="227"/>
        <v>0</v>
      </c>
      <c r="AO117" s="445">
        <f t="shared" si="227"/>
        <v>0</v>
      </c>
      <c r="AP117" s="445">
        <f t="shared" si="227"/>
        <v>0</v>
      </c>
      <c r="AQ117" s="445">
        <f t="shared" si="227"/>
        <v>0</v>
      </c>
      <c r="AR117" s="716"/>
      <c r="AS117" s="764" t="s">
        <v>492</v>
      </c>
      <c r="AT117" s="769"/>
      <c r="AU117" s="445">
        <f t="shared" si="228"/>
        <v>36.202892529805233</v>
      </c>
      <c r="AV117" s="445">
        <f t="shared" si="228"/>
        <v>36.202892529805233</v>
      </c>
      <c r="AW117" s="445">
        <f t="shared" si="228"/>
        <v>36.202892529805233</v>
      </c>
      <c r="AX117" s="445">
        <f t="shared" si="228"/>
        <v>36.202892529805233</v>
      </c>
      <c r="AY117" s="445">
        <f t="shared" si="228"/>
        <v>36.202892529805233</v>
      </c>
      <c r="BA117" s="764" t="s">
        <v>492</v>
      </c>
      <c r="BB117" s="769"/>
      <c r="BC117" s="445">
        <f t="shared" si="229"/>
        <v>0</v>
      </c>
      <c r="BD117" s="445">
        <f t="shared" si="229"/>
        <v>0</v>
      </c>
      <c r="BE117" s="445">
        <f t="shared" si="229"/>
        <v>0</v>
      </c>
      <c r="BF117" s="445">
        <f t="shared" si="229"/>
        <v>0</v>
      </c>
      <c r="BG117" s="719"/>
      <c r="BH117" s="720" t="str">
        <f>BI117</f>
        <v>Tram/métro</v>
      </c>
      <c r="BI117" s="764" t="s">
        <v>492</v>
      </c>
      <c r="BJ117" s="769"/>
      <c r="BK117" s="488">
        <f t="shared" si="191"/>
        <v>0</v>
      </c>
      <c r="BL117" s="488">
        <f t="shared" si="192"/>
        <v>0</v>
      </c>
      <c r="BM117" s="488">
        <f t="shared" si="193"/>
        <v>0</v>
      </c>
      <c r="BN117" s="803">
        <f t="shared" si="194"/>
        <v>0</v>
      </c>
      <c r="BO117" s="791"/>
      <c r="BP117" s="799" t="s">
        <v>492</v>
      </c>
      <c r="BQ117" s="804"/>
      <c r="BR117" s="805">
        <f t="shared" si="195"/>
        <v>0</v>
      </c>
      <c r="BS117" s="805">
        <f t="shared" si="196"/>
        <v>0</v>
      </c>
      <c r="BT117" s="805">
        <f t="shared" si="197"/>
        <v>0</v>
      </c>
      <c r="BU117" s="805">
        <f t="shared" si="198"/>
        <v>0</v>
      </c>
      <c r="BV117" s="721"/>
    </row>
    <row r="118" spans="1:75" x14ac:dyDescent="0.35">
      <c r="A118" s="976"/>
      <c r="G118" s="716"/>
      <c r="H118" s="771" t="s">
        <v>7</v>
      </c>
      <c r="I118" s="772"/>
      <c r="J118" s="521">
        <v>23.913012566370409</v>
      </c>
      <c r="K118" s="521">
        <v>22.444049707139122</v>
      </c>
      <c r="L118" s="521">
        <v>17.038118098667908</v>
      </c>
      <c r="M118" s="521">
        <v>20.472286412255613</v>
      </c>
      <c r="N118" s="716"/>
      <c r="O118" s="771" t="s">
        <v>7</v>
      </c>
      <c r="P118" s="772"/>
      <c r="Q118" s="484"/>
      <c r="R118" s="484">
        <f>IF(J118=0,0,Y118/(J118*$C$4*C$102)*10^6)</f>
        <v>162.55221054441026</v>
      </c>
      <c r="S118" s="484">
        <f>IF(K118=0,0,Z118/(K118*$C$4*D$102)*10^6)</f>
        <v>153.82659801196698</v>
      </c>
      <c r="T118" s="484">
        <f>IF(L118=0,0,AA118/(L118*$C$4*E$102)*10^6)</f>
        <v>149.38214332570726</v>
      </c>
      <c r="U118" s="484">
        <f>IF(M118=0,0,AB118/(M118*$C$4*F$102)*10^6)</f>
        <v>143.54789448746052</v>
      </c>
      <c r="V118" s="741"/>
      <c r="W118" s="773" t="s">
        <v>7</v>
      </c>
      <c r="X118" s="774"/>
      <c r="Y118" s="520">
        <f t="shared" ref="Y118:AB118" si="230">SUM(Y105,Y108,Y114,Y115:Y117)</f>
        <v>36163.718503753989</v>
      </c>
      <c r="Z118" s="520">
        <f t="shared" si="230"/>
        <v>38302.367412996151</v>
      </c>
      <c r="AA118" s="520">
        <f t="shared" si="230"/>
        <v>31585.197481339132</v>
      </c>
      <c r="AB118" s="520">
        <f t="shared" si="230"/>
        <v>43283.04090494485</v>
      </c>
      <c r="AC118" s="716"/>
      <c r="AD118" s="771" t="s">
        <v>7</v>
      </c>
      <c r="AE118" s="772"/>
      <c r="AF118" s="484"/>
      <c r="AG118" s="484">
        <f>IF(J118=0,0,AN118/(J118*$C$4*C$102)*10^6)</f>
        <v>105.0136950632667</v>
      </c>
      <c r="AH118" s="484">
        <f>IF(K118=0,0,AO118/(K118*$C$4*D$102)*10^6)</f>
        <v>99.914310758767058</v>
      </c>
      <c r="AI118" s="484">
        <f>IF(L118=0,0,AP118/(L118*$C$4*E$102)*10^6)</f>
        <v>98.269246532121272</v>
      </c>
      <c r="AJ118" s="484">
        <f>IF(M118=0,0,AQ118/(M118*$C$4*F$102)*10^6)</f>
        <v>96.573328505640958</v>
      </c>
      <c r="AL118" s="771" t="s">
        <v>7</v>
      </c>
      <c r="AM118" s="772"/>
      <c r="AN118" s="484">
        <f t="shared" ref="AN118:AQ118" si="231">SUM(AN105,AN108,AN114,AN115:AN117)</f>
        <v>23362.867195641647</v>
      </c>
      <c r="AO118" s="484">
        <f t="shared" si="231"/>
        <v>24878.367525236765</v>
      </c>
      <c r="AP118" s="484">
        <f t="shared" si="231"/>
        <v>20777.942322677241</v>
      </c>
      <c r="AQ118" s="484">
        <f t="shared" si="231"/>
        <v>29119.11277390051</v>
      </c>
      <c r="AR118" s="716"/>
      <c r="AS118" s="771" t="s">
        <v>7</v>
      </c>
      <c r="AT118" s="772"/>
      <c r="AU118" s="484"/>
      <c r="AV118" s="484">
        <f>IF(J118=0,0,BC118/(J118*$C$4*C$102)*10^6)</f>
        <v>267.56590560767694</v>
      </c>
      <c r="AW118" s="484">
        <f>IF(K118=0,0,BD118/(K118*$C$4*D$102)*10^6)</f>
        <v>253.74090877073402</v>
      </c>
      <c r="AX118" s="484">
        <f>IF(L118=0,0,BE118/(L118*$C$4*E$102)*10^6)</f>
        <v>247.65138985782858</v>
      </c>
      <c r="AY118" s="484">
        <f>IF(M118=0,0,BF118/(M118*$C$4*F$102)*10^6)</f>
        <v>240.12122299310147</v>
      </c>
      <c r="BA118" s="771" t="s">
        <v>7</v>
      </c>
      <c r="BB118" s="772"/>
      <c r="BC118" s="484">
        <f>SUM(BC105,BC108,BC114,BC115:BC117)</f>
        <v>59526.585699395633</v>
      </c>
      <c r="BD118" s="484">
        <f t="shared" ref="BD118:BF118" si="232">SUM(BD105,BD108,BD114,BD115:BD117)</f>
        <v>63180.734938232912</v>
      </c>
      <c r="BE118" s="484">
        <f t="shared" si="232"/>
        <v>52363.139804016377</v>
      </c>
      <c r="BF118" s="484">
        <f t="shared" si="232"/>
        <v>72402.153678845352</v>
      </c>
      <c r="BG118" s="719"/>
      <c r="BH118" s="720"/>
      <c r="BI118" s="771" t="s">
        <v>7</v>
      </c>
      <c r="BJ118" s="772"/>
      <c r="BK118" s="482">
        <f t="shared" si="191"/>
        <v>1</v>
      </c>
      <c r="BL118" s="482">
        <f t="shared" si="192"/>
        <v>1</v>
      </c>
      <c r="BM118" s="482">
        <f t="shared" si="193"/>
        <v>1</v>
      </c>
      <c r="BN118" s="781">
        <f t="shared" si="194"/>
        <v>1</v>
      </c>
      <c r="BO118" s="791"/>
      <c r="BP118" s="806" t="s">
        <v>7</v>
      </c>
      <c r="BQ118" s="807"/>
      <c r="BR118" s="782">
        <f t="shared" si="195"/>
        <v>222.47447993870153</v>
      </c>
      <c r="BS118" s="782">
        <f t="shared" si="196"/>
        <v>248.9970389257156</v>
      </c>
      <c r="BT118" s="782">
        <f t="shared" si="197"/>
        <v>211.43890948513132</v>
      </c>
      <c r="BU118" s="782">
        <f t="shared" si="198"/>
        <v>301.52334215341489</v>
      </c>
      <c r="BV118" s="721"/>
    </row>
    <row r="119" spans="1:75" x14ac:dyDescent="0.35">
      <c r="A119" s="976"/>
      <c r="B119" s="783"/>
      <c r="C119" s="747"/>
      <c r="G119" s="747"/>
      <c r="J119" s="758">
        <f t="shared" ref="J119:M119" si="233">J118/$J118-1</f>
        <v>0</v>
      </c>
      <c r="K119" s="758">
        <f t="shared" si="233"/>
        <v>-6.1429435340034644E-2</v>
      </c>
      <c r="L119" s="758">
        <f t="shared" si="233"/>
        <v>-0.28749595847119958</v>
      </c>
      <c r="M119" s="758">
        <f t="shared" si="233"/>
        <v>-0.14388509789659842</v>
      </c>
      <c r="N119" s="747"/>
      <c r="V119" s="747"/>
      <c r="Y119" s="758">
        <f>Y118/$Y118-1</f>
        <v>0</v>
      </c>
      <c r="Z119" s="758">
        <f t="shared" ref="Z119:AB119" si="234">Z118/$Y118-1</f>
        <v>5.9137970256575301E-2</v>
      </c>
      <c r="AA119" s="758">
        <f t="shared" si="234"/>
        <v>-0.12660537167768249</v>
      </c>
      <c r="AB119" s="758">
        <f t="shared" si="234"/>
        <v>0.19686367154007778</v>
      </c>
      <c r="AC119" s="747"/>
      <c r="AK119" s="747"/>
      <c r="AN119" s="758">
        <f>AN118/$AN118-1</f>
        <v>0</v>
      </c>
      <c r="AO119" s="758">
        <f t="shared" ref="AO119:AQ119" si="235">AO118/$AN118-1</f>
        <v>6.4867908416559095E-2</v>
      </c>
      <c r="AP119" s="758">
        <f t="shared" si="235"/>
        <v>-0.11064245031734055</v>
      </c>
      <c r="AQ119" s="758">
        <f t="shared" si="235"/>
        <v>0.24638438125148832</v>
      </c>
      <c r="AR119" s="747"/>
      <c r="AZ119" s="747"/>
      <c r="BC119" s="758">
        <f>BC118/$BC118-1</f>
        <v>0</v>
      </c>
      <c r="BD119" s="758">
        <f t="shared" ref="BD119:BF119" si="236">BD118/$BC118-1</f>
        <v>6.1386844145411512E-2</v>
      </c>
      <c r="BE119" s="758">
        <f t="shared" si="236"/>
        <v>-0.12034027840189032</v>
      </c>
      <c r="BF119" s="758">
        <f t="shared" si="236"/>
        <v>0.21629945390233329</v>
      </c>
      <c r="BG119" s="719"/>
      <c r="BH119" s="720" t="str">
        <f>BI119</f>
        <v>TP</v>
      </c>
      <c r="BI119" s="776" t="s">
        <v>600</v>
      </c>
      <c r="BJ119" s="765" t="s">
        <v>404</v>
      </c>
      <c r="BK119" s="777">
        <f>SUM(BK115:BK117)</f>
        <v>6.2804989811060308E-2</v>
      </c>
      <c r="BL119" s="777">
        <f>SUM(BL115:BL117)</f>
        <v>5.7948704065609827E-2</v>
      </c>
      <c r="BM119" s="777">
        <f t="shared" ref="BM119" si="237">SUM(BM115:BM117)</f>
        <v>5.7948704065609827E-2</v>
      </c>
      <c r="BN119" s="777">
        <f>SUM(BN115:BN117)</f>
        <v>7.3046681841508643E-2</v>
      </c>
      <c r="BO119" s="791"/>
      <c r="BP119" s="776" t="s">
        <v>600</v>
      </c>
      <c r="BQ119" s="800" t="s">
        <v>404</v>
      </c>
      <c r="BR119" s="779">
        <f>SUM(BR115:BR117)</f>
        <v>13.972507445771091</v>
      </c>
      <c r="BS119" s="779">
        <f>SUM(BS115:BS117)</f>
        <v>14.429055721919424</v>
      </c>
      <c r="BT119" s="779">
        <f t="shared" ref="BT119" si="238">SUM(BT115:BT117)</f>
        <v>12.252610793709136</v>
      </c>
      <c r="BU119" s="779">
        <f>SUM(BU115:BU117)</f>
        <v>22.025279642068845</v>
      </c>
      <c r="BV119" s="721"/>
    </row>
    <row r="120" spans="1:75" x14ac:dyDescent="0.35">
      <c r="A120" s="786"/>
      <c r="B120" s="787"/>
      <c r="C120" s="716"/>
      <c r="D120" s="717"/>
      <c r="E120" s="717"/>
      <c r="F120" s="717"/>
      <c r="G120" s="716"/>
      <c r="H120" s="717"/>
      <c r="I120" s="717"/>
      <c r="J120" s="808"/>
      <c r="K120" s="808"/>
      <c r="L120" s="808"/>
      <c r="M120" s="808"/>
      <c r="N120" s="716"/>
      <c r="O120" s="717"/>
      <c r="P120" s="717"/>
      <c r="Q120" s="718"/>
      <c r="R120" s="717"/>
      <c r="S120" s="717"/>
      <c r="T120" s="717"/>
      <c r="U120" s="717"/>
      <c r="V120" s="716"/>
      <c r="W120" s="717"/>
      <c r="X120" s="717"/>
      <c r="Y120" s="519"/>
      <c r="Z120" s="519"/>
      <c r="AA120" s="519"/>
      <c r="AB120" s="519"/>
      <c r="AC120" s="716"/>
      <c r="AD120" s="717"/>
      <c r="AE120" s="717"/>
      <c r="AF120" s="718"/>
      <c r="AG120" s="717"/>
      <c r="AH120" s="717"/>
      <c r="AI120" s="717"/>
      <c r="AJ120" s="717"/>
      <c r="AK120" s="716"/>
      <c r="AL120" s="717"/>
      <c r="AM120" s="717"/>
      <c r="AN120" s="519"/>
      <c r="AO120" s="519"/>
      <c r="AP120" s="519"/>
      <c r="AQ120" s="519"/>
      <c r="AR120" s="716"/>
      <c r="AS120" s="717"/>
      <c r="AT120" s="717"/>
      <c r="AU120" s="718"/>
      <c r="AV120" s="717"/>
      <c r="AW120" s="717"/>
      <c r="AX120" s="717"/>
      <c r="AY120" s="717"/>
      <c r="AZ120" s="716"/>
      <c r="BA120" s="717"/>
      <c r="BB120" s="717"/>
      <c r="BC120" s="519"/>
      <c r="BD120" s="519"/>
      <c r="BE120" s="519"/>
      <c r="BF120" s="519"/>
      <c r="BG120" s="719"/>
      <c r="BH120" s="720"/>
      <c r="BI120" s="721"/>
      <c r="BJ120" s="721"/>
      <c r="BK120" s="721"/>
      <c r="BL120" s="721"/>
      <c r="BM120" s="721"/>
      <c r="BN120" s="721"/>
      <c r="BO120" s="721"/>
      <c r="BP120" s="721"/>
      <c r="BQ120" s="721"/>
      <c r="BR120" s="721"/>
      <c r="BS120" s="721"/>
      <c r="BT120" s="721"/>
      <c r="BU120" s="721"/>
      <c r="BV120" s="721"/>
    </row>
    <row r="121" spans="1:75" ht="18.5" x14ac:dyDescent="0.35">
      <c r="A121" s="986" t="s">
        <v>620</v>
      </c>
      <c r="B121" s="809" t="s">
        <v>619</v>
      </c>
      <c r="F121" s="810"/>
      <c r="G121" s="716"/>
      <c r="H121" s="743" t="s">
        <v>618</v>
      </c>
      <c r="I121" s="743"/>
      <c r="J121" s="743"/>
      <c r="K121" s="743"/>
      <c r="L121" s="743"/>
      <c r="M121" s="743"/>
      <c r="N121" s="716"/>
      <c r="AC121" s="716"/>
      <c r="AD121" s="811"/>
      <c r="AE121" s="512"/>
      <c r="AF121" s="512"/>
      <c r="AG121" s="512"/>
      <c r="AH121" s="512"/>
      <c r="AI121" s="512"/>
      <c r="AJ121" s="512"/>
      <c r="AK121" s="512"/>
      <c r="AL121" s="512"/>
      <c r="AM121" s="512"/>
      <c r="AN121" s="512"/>
      <c r="AO121" s="512"/>
      <c r="AP121" s="512"/>
      <c r="AQ121" s="512"/>
      <c r="AR121" s="512"/>
      <c r="AS121" s="811"/>
      <c r="AT121" s="512"/>
      <c r="AU121" s="512"/>
      <c r="AV121" s="512"/>
      <c r="AW121" s="512"/>
      <c r="AX121" s="512"/>
      <c r="AY121" s="512"/>
      <c r="AZ121" s="812"/>
      <c r="BA121" s="813" t="s">
        <v>617</v>
      </c>
      <c r="BB121" s="813"/>
      <c r="BC121" s="813"/>
      <c r="BD121" s="813"/>
      <c r="BE121" s="813"/>
      <c r="BF121" s="813"/>
      <c r="BG121" s="719"/>
      <c r="BH121" s="720"/>
      <c r="BI121" s="721"/>
      <c r="BJ121" s="721"/>
      <c r="BK121" s="721"/>
      <c r="BL121" s="721"/>
      <c r="BM121" s="721"/>
      <c r="BN121" s="721"/>
      <c r="BO121" s="721"/>
      <c r="BP121" s="721"/>
      <c r="BQ121" s="721"/>
      <c r="BR121" s="721"/>
      <c r="BS121" s="721"/>
      <c r="BT121" s="721"/>
      <c r="BU121" s="721"/>
      <c r="BV121" s="721"/>
    </row>
    <row r="122" spans="1:75" ht="14.5" x14ac:dyDescent="0.35">
      <c r="A122" s="986"/>
      <c r="B122" s="747" t="s">
        <v>616</v>
      </c>
      <c r="C122" s="747"/>
      <c r="D122" s="747"/>
      <c r="E122" s="747"/>
      <c r="G122" s="716"/>
      <c r="H122" s="977" t="s">
        <v>603</v>
      </c>
      <c r="I122" s="978"/>
      <c r="J122" s="728">
        <v>2015</v>
      </c>
      <c r="K122" s="728">
        <v>2019</v>
      </c>
      <c r="L122" s="728">
        <v>2021</v>
      </c>
      <c r="M122" s="728">
        <v>2023</v>
      </c>
      <c r="N122" s="716"/>
      <c r="AC122" s="716"/>
      <c r="AF122" s="516"/>
      <c r="AG122" s="515"/>
      <c r="AH122" s="515"/>
      <c r="AI122" s="515"/>
      <c r="AJ122" s="515"/>
      <c r="AN122" s="516"/>
      <c r="AO122" s="515"/>
      <c r="AP122" s="515"/>
      <c r="AQ122" s="515"/>
      <c r="AR122" s="515"/>
      <c r="AU122" s="516"/>
      <c r="AV122" s="515"/>
      <c r="AW122" s="515"/>
      <c r="AX122" s="515"/>
      <c r="AY122" s="515"/>
      <c r="BA122" s="977" t="s">
        <v>615</v>
      </c>
      <c r="BB122" s="987"/>
      <c r="BC122" s="728">
        <v>2015</v>
      </c>
      <c r="BD122" s="728">
        <v>2019</v>
      </c>
      <c r="BE122" s="728">
        <v>2021</v>
      </c>
      <c r="BF122" s="728">
        <v>2023</v>
      </c>
      <c r="BG122" s="719"/>
      <c r="BH122" s="720"/>
      <c r="BI122" s="721"/>
      <c r="BJ122" s="721"/>
      <c r="BK122" s="721"/>
      <c r="BL122" s="721"/>
      <c r="BM122" s="721"/>
      <c r="BN122" s="721"/>
      <c r="BO122" s="721"/>
      <c r="BP122" s="721"/>
      <c r="BQ122" s="721"/>
      <c r="BR122" s="721"/>
      <c r="BS122" s="721"/>
      <c r="BT122" s="721"/>
      <c r="BU122" s="721"/>
      <c r="BV122" s="721"/>
    </row>
    <row r="123" spans="1:75" ht="14.5" x14ac:dyDescent="0.35">
      <c r="A123" s="986"/>
      <c r="B123" s="726" t="s">
        <v>614</v>
      </c>
      <c r="C123" s="729"/>
      <c r="D123" s="727"/>
      <c r="E123" s="518" t="s">
        <v>613</v>
      </c>
      <c r="G123" s="716"/>
      <c r="H123" s="814" t="s">
        <v>493</v>
      </c>
      <c r="I123" s="769" t="s">
        <v>612</v>
      </c>
      <c r="J123" s="517">
        <v>10687</v>
      </c>
      <c r="K123" s="517">
        <v>11659.059884719638</v>
      </c>
      <c r="L123" s="517">
        <v>3729.0255161661062</v>
      </c>
      <c r="M123" s="517">
        <v>10128.272742461353</v>
      </c>
      <c r="N123" s="716"/>
      <c r="AC123" s="716"/>
      <c r="AF123" s="516"/>
      <c r="AG123" s="515"/>
      <c r="AH123" s="515"/>
      <c r="AI123" s="515"/>
      <c r="AJ123" s="515"/>
      <c r="AN123" s="516"/>
      <c r="AO123" s="515"/>
      <c r="AP123" s="515"/>
      <c r="AQ123" s="515"/>
      <c r="AR123" s="515"/>
      <c r="AU123" s="516"/>
      <c r="AV123" s="515"/>
      <c r="AW123" s="515"/>
      <c r="AX123" s="515"/>
      <c r="AY123" s="515"/>
      <c r="BA123" s="814" t="s">
        <v>493</v>
      </c>
      <c r="BB123" s="769"/>
      <c r="BC123" s="514">
        <v>2034003.241712742</v>
      </c>
      <c r="BD123" s="514">
        <v>2312134.2480073068</v>
      </c>
      <c r="BE123" s="514">
        <v>756262.48438231123</v>
      </c>
      <c r="BF123" s="514">
        <v>2115993.3183925636</v>
      </c>
      <c r="BG123" s="719"/>
      <c r="BH123" s="720"/>
      <c r="BI123" s="721"/>
      <c r="BJ123" s="721"/>
      <c r="BK123" s="721"/>
      <c r="BL123" s="721"/>
      <c r="BM123" s="721"/>
      <c r="BN123" s="721"/>
      <c r="BO123" s="721"/>
      <c r="BP123" s="721"/>
      <c r="BQ123" s="721"/>
      <c r="BR123" s="721"/>
      <c r="BS123" s="721"/>
      <c r="BT123" s="721"/>
      <c r="BU123" s="721"/>
      <c r="BV123" s="721"/>
    </row>
    <row r="124" spans="1:75" ht="14.5" x14ac:dyDescent="0.35">
      <c r="A124" s="986"/>
      <c r="B124" s="716"/>
      <c r="C124" s="716"/>
      <c r="D124" s="716"/>
      <c r="E124" s="716"/>
      <c r="F124" s="716"/>
      <c r="G124" s="716"/>
      <c r="H124" s="716"/>
      <c r="I124" s="716"/>
      <c r="J124" s="716"/>
      <c r="K124" s="716"/>
      <c r="L124" s="716"/>
      <c r="M124" s="716"/>
      <c r="N124" s="716"/>
      <c r="O124" s="716"/>
      <c r="P124" s="716"/>
      <c r="Q124" s="716"/>
      <c r="R124" s="716"/>
      <c r="S124" s="716"/>
      <c r="T124" s="716"/>
      <c r="U124" s="716"/>
      <c r="V124" s="716"/>
      <c r="W124" s="716"/>
      <c r="X124" s="716"/>
      <c r="Y124" s="716"/>
      <c r="Z124" s="716"/>
      <c r="AA124" s="716"/>
      <c r="AB124" s="716"/>
      <c r="AC124" s="716"/>
      <c r="AD124" s="716"/>
      <c r="AE124" s="716"/>
      <c r="AF124" s="716"/>
      <c r="AG124" s="716"/>
      <c r="AH124" s="716"/>
      <c r="AI124" s="716"/>
      <c r="AJ124" s="716"/>
      <c r="AK124" s="716"/>
      <c r="AL124" s="716"/>
      <c r="AM124" s="716"/>
      <c r="AN124" s="716"/>
      <c r="AO124" s="716"/>
      <c r="AP124" s="716"/>
      <c r="AQ124" s="716"/>
      <c r="AR124" s="716"/>
      <c r="AS124" s="716"/>
      <c r="AT124" s="716"/>
      <c r="AU124" s="716"/>
      <c r="AV124" s="716"/>
      <c r="AW124" s="716"/>
      <c r="AX124" s="716"/>
      <c r="AY124" s="716"/>
      <c r="AZ124" s="716"/>
      <c r="BA124" s="716"/>
      <c r="BB124" s="716"/>
      <c r="BC124" s="716"/>
      <c r="BD124" s="716"/>
      <c r="BE124" s="956" t="s">
        <v>871</v>
      </c>
      <c r="BF124" s="955">
        <f>'Transports - Emissions'!E19*0.263/1000</f>
        <v>2116220.8341197227</v>
      </c>
      <c r="BG124" s="719"/>
      <c r="BH124" s="720"/>
      <c r="BI124" s="749"/>
      <c r="BJ124" s="721"/>
      <c r="BK124" s="721"/>
      <c r="BL124" s="721"/>
      <c r="BM124" s="721"/>
      <c r="BN124" s="721"/>
      <c r="BO124" s="721"/>
      <c r="BP124" s="749"/>
      <c r="BQ124" s="721"/>
      <c r="BR124" s="721"/>
      <c r="BS124" s="721"/>
      <c r="BT124" s="721"/>
      <c r="BU124" s="721"/>
      <c r="BV124" s="721"/>
    </row>
    <row r="125" spans="1:75" ht="21" x14ac:dyDescent="0.35">
      <c r="A125" s="988" t="s">
        <v>611</v>
      </c>
      <c r="B125" s="815" t="s">
        <v>610</v>
      </c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513"/>
      <c r="R125" s="513"/>
      <c r="S125" s="513"/>
      <c r="T125" s="513"/>
      <c r="U125" s="513"/>
      <c r="V125" s="811"/>
      <c r="W125" s="811"/>
      <c r="X125" s="811"/>
      <c r="Y125" s="811"/>
      <c r="Z125" s="811"/>
      <c r="AA125" s="811"/>
      <c r="AB125" s="811"/>
      <c r="AC125" s="816"/>
      <c r="AD125" s="811"/>
      <c r="AE125" s="512"/>
      <c r="AF125" s="512"/>
      <c r="AG125" s="512"/>
      <c r="AH125" s="512"/>
      <c r="AI125" s="512"/>
      <c r="AJ125" s="512"/>
      <c r="AK125" s="747"/>
      <c r="AL125" s="817"/>
      <c r="AM125" s="747"/>
      <c r="AN125" s="747"/>
      <c r="AO125" s="747"/>
      <c r="AP125" s="747"/>
      <c r="AQ125" s="747"/>
      <c r="AS125" s="811"/>
      <c r="AT125" s="512"/>
      <c r="AU125" s="512"/>
      <c r="AV125" s="512"/>
      <c r="AW125" s="512"/>
      <c r="AX125" s="512"/>
      <c r="AY125" s="512"/>
      <c r="AZ125" s="747"/>
      <c r="BA125" s="817"/>
      <c r="BB125" s="747"/>
      <c r="BC125" s="747"/>
      <c r="BD125" s="747"/>
      <c r="BE125" s="747"/>
      <c r="BF125" s="747"/>
      <c r="BG125" s="719"/>
      <c r="BH125" s="720"/>
      <c r="BI125" s="749"/>
      <c r="BJ125" s="721"/>
      <c r="BK125" s="721"/>
      <c r="BL125" s="721"/>
      <c r="BM125" s="721"/>
      <c r="BN125" s="721"/>
      <c r="BO125" s="721"/>
      <c r="BP125" s="749"/>
      <c r="BQ125" s="721"/>
      <c r="BR125" s="721"/>
      <c r="BS125" s="721"/>
      <c r="BT125" s="721"/>
      <c r="BU125" s="721"/>
      <c r="BV125" s="721"/>
    </row>
    <row r="126" spans="1:75" ht="18.5" x14ac:dyDescent="0.35">
      <c r="A126" s="988"/>
      <c r="B126" s="809" t="s">
        <v>609</v>
      </c>
      <c r="G126" s="747"/>
      <c r="H126" s="747" t="s">
        <v>564</v>
      </c>
      <c r="M126" s="449" t="s">
        <v>563</v>
      </c>
      <c r="N126" s="747"/>
      <c r="O126" s="743" t="s">
        <v>608</v>
      </c>
      <c r="P126" s="743"/>
      <c r="Q126" s="745"/>
      <c r="R126" s="743"/>
      <c r="S126" s="743"/>
      <c r="T126" s="743"/>
      <c r="U126" s="743"/>
      <c r="W126" s="746" t="s">
        <v>607</v>
      </c>
      <c r="X126" s="818"/>
      <c r="Y126" s="818"/>
      <c r="Z126" s="818"/>
      <c r="AA126" s="818"/>
      <c r="AB126" s="818"/>
      <c r="AC126" s="716"/>
      <c r="AD126" s="743" t="s">
        <v>606</v>
      </c>
      <c r="AE126" s="743"/>
      <c r="AF126" s="745"/>
      <c r="AG126" s="743"/>
      <c r="AH126" s="743"/>
      <c r="AI126" s="743"/>
      <c r="AJ126" s="743"/>
      <c r="AL126" s="747" t="s">
        <v>850</v>
      </c>
      <c r="AS126" s="743" t="s">
        <v>605</v>
      </c>
      <c r="AT126" s="743"/>
      <c r="AU126" s="745"/>
      <c r="AV126" s="743"/>
      <c r="AW126" s="743"/>
      <c r="AX126" s="743"/>
      <c r="AY126" s="743"/>
      <c r="BA126" s="747" t="s">
        <v>851</v>
      </c>
      <c r="BG126" s="719"/>
      <c r="BH126" s="720"/>
      <c r="BI126" s="749" t="s">
        <v>604</v>
      </c>
      <c r="BJ126" s="721"/>
      <c r="BK126" s="721"/>
      <c r="BL126" s="721"/>
      <c r="BM126" s="721"/>
      <c r="BN126" s="750" t="s">
        <v>563</v>
      </c>
      <c r="BO126" s="721"/>
      <c r="BP126" s="749" t="s">
        <v>564</v>
      </c>
      <c r="BQ126" s="721"/>
      <c r="BR126" s="721"/>
      <c r="BS126" s="721"/>
      <c r="BT126" s="721"/>
      <c r="BU126" s="750" t="s">
        <v>563</v>
      </c>
      <c r="BV126" s="721"/>
    </row>
    <row r="127" spans="1:75" x14ac:dyDescent="0.35">
      <c r="A127" s="988"/>
      <c r="B127" s="819"/>
      <c r="G127" s="747"/>
      <c r="H127" s="977" t="s">
        <v>561</v>
      </c>
      <c r="I127" s="987"/>
      <c r="J127" s="728">
        <f>J$19</f>
        <v>2015</v>
      </c>
      <c r="K127" s="728">
        <f t="shared" ref="K127:M127" si="239">K$19</f>
        <v>2019</v>
      </c>
      <c r="L127" s="728">
        <f t="shared" si="239"/>
        <v>2021</v>
      </c>
      <c r="M127" s="728">
        <f t="shared" si="239"/>
        <v>2023</v>
      </c>
      <c r="N127" s="747"/>
      <c r="O127" s="977" t="s">
        <v>603</v>
      </c>
      <c r="P127" s="978"/>
      <c r="Q127" s="751" t="s">
        <v>602</v>
      </c>
      <c r="R127" s="728">
        <f t="shared" ref="R127:U127" si="240">R$39</f>
        <v>2015</v>
      </c>
      <c r="S127" s="728">
        <f t="shared" si="240"/>
        <v>2019</v>
      </c>
      <c r="T127" s="728">
        <f t="shared" si="240"/>
        <v>2021</v>
      </c>
      <c r="U127" s="728">
        <f t="shared" si="240"/>
        <v>2023</v>
      </c>
      <c r="W127" s="977" t="s">
        <v>601</v>
      </c>
      <c r="X127" s="978"/>
      <c r="Y127" s="728">
        <f>Y$19</f>
        <v>2015</v>
      </c>
      <c r="Z127" s="728">
        <f t="shared" ref="Z127:AB127" si="241">Z$19</f>
        <v>2019</v>
      </c>
      <c r="AA127" s="728">
        <f t="shared" si="241"/>
        <v>2021</v>
      </c>
      <c r="AB127" s="728">
        <f t="shared" si="241"/>
        <v>2023</v>
      </c>
      <c r="AC127" s="716"/>
      <c r="AD127" s="977" t="s">
        <v>603</v>
      </c>
      <c r="AE127" s="978"/>
      <c r="AF127" s="751" t="s">
        <v>602</v>
      </c>
      <c r="AG127" s="728">
        <f t="shared" ref="AG127:AJ127" si="242">AG$39</f>
        <v>2015</v>
      </c>
      <c r="AH127" s="728">
        <f t="shared" si="242"/>
        <v>2019</v>
      </c>
      <c r="AI127" s="728">
        <f t="shared" si="242"/>
        <v>2021</v>
      </c>
      <c r="AJ127" s="728">
        <f t="shared" si="242"/>
        <v>2023</v>
      </c>
      <c r="AL127" s="977" t="s">
        <v>601</v>
      </c>
      <c r="AM127" s="978"/>
      <c r="AN127" s="728">
        <f t="shared" ref="AN127:AQ127" si="243">AN$19</f>
        <v>2015</v>
      </c>
      <c r="AO127" s="728">
        <f t="shared" si="243"/>
        <v>2019</v>
      </c>
      <c r="AP127" s="728">
        <f t="shared" si="243"/>
        <v>2021</v>
      </c>
      <c r="AQ127" s="728">
        <f t="shared" si="243"/>
        <v>2023</v>
      </c>
      <c r="AS127" s="977" t="s">
        <v>603</v>
      </c>
      <c r="AT127" s="978"/>
      <c r="AU127" s="751" t="s">
        <v>602</v>
      </c>
      <c r="AV127" s="728">
        <f t="shared" ref="AV127:AY127" si="244">AV$39</f>
        <v>2015</v>
      </c>
      <c r="AW127" s="728">
        <f t="shared" si="244"/>
        <v>2019</v>
      </c>
      <c r="AX127" s="728">
        <f t="shared" si="244"/>
        <v>2021</v>
      </c>
      <c r="AY127" s="728">
        <f t="shared" si="244"/>
        <v>2023</v>
      </c>
      <c r="BA127" s="977" t="s">
        <v>601</v>
      </c>
      <c r="BB127" s="978"/>
      <c r="BC127" s="728">
        <f t="shared" ref="BC127:BF127" si="245">BC$19</f>
        <v>2015</v>
      </c>
      <c r="BD127" s="728">
        <f t="shared" si="245"/>
        <v>2019</v>
      </c>
      <c r="BE127" s="728">
        <f t="shared" si="245"/>
        <v>2021</v>
      </c>
      <c r="BF127" s="728">
        <f t="shared" si="245"/>
        <v>2023</v>
      </c>
      <c r="BG127" s="719"/>
      <c r="BH127" s="752" t="s">
        <v>843</v>
      </c>
      <c r="BI127" s="984" t="s">
        <v>561</v>
      </c>
      <c r="BJ127" s="985"/>
      <c r="BK127" s="753">
        <f>R$19</f>
        <v>2015</v>
      </c>
      <c r="BL127" s="753">
        <f>S$19</f>
        <v>2019</v>
      </c>
      <c r="BM127" s="753">
        <f>T$19</f>
        <v>2021</v>
      </c>
      <c r="BN127" s="753">
        <f>U$19</f>
        <v>2023</v>
      </c>
      <c r="BO127" s="721"/>
      <c r="BP127" s="984" t="s">
        <v>561</v>
      </c>
      <c r="BQ127" s="985"/>
      <c r="BR127" s="753">
        <f>Y$19</f>
        <v>2015</v>
      </c>
      <c r="BS127" s="753">
        <f>Z$19</f>
        <v>2019</v>
      </c>
      <c r="BT127" s="753">
        <f>AA$19</f>
        <v>2021</v>
      </c>
      <c r="BU127" s="753">
        <f>AB$19</f>
        <v>2023</v>
      </c>
      <c r="BV127" s="721"/>
      <c r="BW127" s="820"/>
    </row>
    <row r="128" spans="1:75" x14ac:dyDescent="0.35">
      <c r="A128" s="988"/>
      <c r="G128" s="747"/>
      <c r="H128" s="755" t="s">
        <v>559</v>
      </c>
      <c r="I128" s="756" t="s">
        <v>594</v>
      </c>
      <c r="J128" s="508">
        <f t="shared" ref="J128:J144" si="246">(J20*C$20+J81*C$81+J102*C$102)*$C$4/10^6</f>
        <v>91.367134769950951</v>
      </c>
      <c r="K128" s="508">
        <f t="shared" ref="K128:K144" si="247">(K20*D$20+K81*D$81+K102*D$102)*$C$4/10^6</f>
        <v>85.723969991492993</v>
      </c>
      <c r="L128" s="508">
        <f t="shared" ref="L128:L144" si="248">(L20*E$20+L81*E$81+L102*E$102)*$C$4/10^6</f>
        <v>126.08377418600854</v>
      </c>
      <c r="M128" s="507">
        <f t="shared" ref="M128:M144" si="249">(M20*F$20+M81*F$81+M102*F$102)*$C$4/10^6</f>
        <v>132.20947872736966</v>
      </c>
      <c r="N128" s="747"/>
      <c r="O128" s="755" t="s">
        <v>559</v>
      </c>
      <c r="P128" s="756" t="s">
        <v>594</v>
      </c>
      <c r="Q128" s="448"/>
      <c r="R128" s="448">
        <f t="shared" ref="R128:R144" si="250">IF(J128=0,0,Y128/(J128)*10^6)</f>
        <v>0</v>
      </c>
      <c r="S128" s="448">
        <f t="shared" ref="S128:S144" si="251">IF(K128=0,0,Z128/(K128)*10^6)</f>
        <v>0</v>
      </c>
      <c r="T128" s="448">
        <f t="shared" ref="T128:T144" si="252">IF(L128=0,0,AA128/(L128)*10^6)</f>
        <v>0</v>
      </c>
      <c r="U128" s="448">
        <f t="shared" ref="U128:U144" si="253">IF(M128=0,0,AB128/(M128)*10^6)</f>
        <v>0</v>
      </c>
      <c r="W128" s="755" t="s">
        <v>559</v>
      </c>
      <c r="X128" s="756" t="s">
        <v>594</v>
      </c>
      <c r="Y128" s="470">
        <f t="shared" ref="Y128:AB143" si="254">(Y20+Y81+Y102)/10^6</f>
        <v>0</v>
      </c>
      <c r="Z128" s="470">
        <f t="shared" si="254"/>
        <v>0</v>
      </c>
      <c r="AA128" s="470">
        <f t="shared" si="254"/>
        <v>0</v>
      </c>
      <c r="AB128" s="470">
        <f t="shared" si="254"/>
        <v>0</v>
      </c>
      <c r="AC128" s="716"/>
      <c r="AD128" s="755" t="s">
        <v>559</v>
      </c>
      <c r="AE128" s="756" t="s">
        <v>594</v>
      </c>
      <c r="AF128" s="448"/>
      <c r="AG128" s="448">
        <f t="shared" ref="AG128:AG144" si="255">IF(J128=0,0,AN128/(J128)*10^6)</f>
        <v>5.681473415054481</v>
      </c>
      <c r="AH128" s="448">
        <f t="shared" ref="AH128:AH144" si="256">IF(K128=0,0,AO128/(K128)*10^6)</f>
        <v>5.5800314024745088</v>
      </c>
      <c r="AI128" s="448">
        <f t="shared" ref="AI128:AI144" si="257">IF(L128=0,0,AP128/(L128)*10^6)</f>
        <v>5.743655923856454</v>
      </c>
      <c r="AJ128" s="448">
        <f t="shared" ref="AJ128:AJ144" si="258">IF(M128=0,0,AQ128/(M128)*10^6)</f>
        <v>5.5800314024745097</v>
      </c>
      <c r="AL128" s="755" t="s">
        <v>559</v>
      </c>
      <c r="AM128" s="756" t="s">
        <v>594</v>
      </c>
      <c r="AN128" s="503">
        <f>(AN20+AN81+AN102)/10^6</f>
        <v>5.1909994720517624E-4</v>
      </c>
      <c r="AO128" s="503">
        <f t="shared" ref="AO128:AQ128" si="259">(AO20+AO81+AO102)/10^6</f>
        <v>4.7834244449731334E-4</v>
      </c>
      <c r="AP128" s="503">
        <f t="shared" si="259"/>
        <v>7.2418181650564734E-4</v>
      </c>
      <c r="AQ128" s="503">
        <f t="shared" si="259"/>
        <v>7.3773304300350838E-4</v>
      </c>
      <c r="AS128" s="755" t="s">
        <v>559</v>
      </c>
      <c r="AT128" s="756" t="s">
        <v>594</v>
      </c>
      <c r="AU128" s="448"/>
      <c r="AV128" s="448">
        <f t="shared" ref="AV128:AV144" si="260">IF(J128=0,0,BC128/(J128)*10^6)</f>
        <v>5.681473415054481</v>
      </c>
      <c r="AW128" s="448">
        <f t="shared" ref="AW128:AW144" si="261">IF(K128=0,0,BD128/(K128)*10^6)</f>
        <v>5.5800314024745088</v>
      </c>
      <c r="AX128" s="448">
        <f t="shared" ref="AX128:AX144" si="262">IF(L128=0,0,BE128/(L128)*10^6)</f>
        <v>5.743655923856454</v>
      </c>
      <c r="AY128" s="448">
        <f t="shared" ref="AY128:AY144" si="263">IF(M128=0,0,BF128/(M128)*10^6)</f>
        <v>5.5800314024745097</v>
      </c>
      <c r="BA128" s="755" t="s">
        <v>559</v>
      </c>
      <c r="BB128" s="756" t="s">
        <v>594</v>
      </c>
      <c r="BC128" s="503">
        <f t="shared" ref="BC128:BF143" si="264">(BC20+BC81+BC102)/10^6</f>
        <v>5.1909994720517624E-4</v>
      </c>
      <c r="BD128" s="503">
        <f t="shared" si="264"/>
        <v>4.7834244449731334E-4</v>
      </c>
      <c r="BE128" s="503">
        <f t="shared" si="264"/>
        <v>7.2418181650564734E-4</v>
      </c>
      <c r="BF128" s="503">
        <f t="shared" si="264"/>
        <v>7.3773304300350838E-4</v>
      </c>
      <c r="BG128" s="719"/>
      <c r="BH128" s="720" t="str">
        <f>BJ128</f>
        <v>vélo conventionnel</v>
      </c>
      <c r="BI128" s="755" t="s">
        <v>559</v>
      </c>
      <c r="BJ128" s="756" t="s">
        <v>594</v>
      </c>
      <c r="BK128" s="502">
        <f t="shared" ref="BK128:BK144" si="265">J128/J$144</f>
        <v>8.8948557501137889E-3</v>
      </c>
      <c r="BL128" s="502">
        <f t="shared" ref="BL128:BL144" si="266">K128/K$144</f>
        <v>7.8243336023197021E-3</v>
      </c>
      <c r="BM128" s="502">
        <f t="shared" ref="BM128:BM144" si="267">L128/L$144</f>
        <v>1.3419398013510327E-2</v>
      </c>
      <c r="BN128" s="501">
        <f t="shared" ref="BN128:BN144" si="268">M128/M$144</f>
        <v>1.1153879088268629E-2</v>
      </c>
      <c r="BO128" s="721"/>
      <c r="BP128" s="755" t="s">
        <v>559</v>
      </c>
      <c r="BQ128" s="756" t="s">
        <v>594</v>
      </c>
      <c r="BR128" s="448">
        <f>BR20+BR81+BR102</f>
        <v>91.367134769950965</v>
      </c>
      <c r="BS128" s="448">
        <f t="shared" ref="BS128:BU128" si="269">BS20+BS81+BS102</f>
        <v>85.723969991492993</v>
      </c>
      <c r="BT128" s="448">
        <f t="shared" si="269"/>
        <v>126.08377418600854</v>
      </c>
      <c r="BU128" s="757">
        <f t="shared" si="269"/>
        <v>132.20947872736966</v>
      </c>
      <c r="BV128" s="721"/>
      <c r="BW128" s="821"/>
    </row>
    <row r="129" spans="1:75" x14ac:dyDescent="0.35">
      <c r="A129" s="988"/>
      <c r="G129" s="747"/>
      <c r="H129" s="759"/>
      <c r="I129" s="760" t="s">
        <v>164</v>
      </c>
      <c r="J129" s="500">
        <f t="shared" si="246"/>
        <v>14.118313218894048</v>
      </c>
      <c r="K129" s="500">
        <f t="shared" si="247"/>
        <v>25.066165641158673</v>
      </c>
      <c r="L129" s="500">
        <f t="shared" si="248"/>
        <v>46.804856856101637</v>
      </c>
      <c r="M129" s="499">
        <f t="shared" si="249"/>
        <v>49.078842752004455</v>
      </c>
      <c r="N129" s="747"/>
      <c r="O129" s="759"/>
      <c r="P129" s="760" t="s">
        <v>164</v>
      </c>
      <c r="Q129" s="446"/>
      <c r="R129" s="446">
        <f t="shared" si="250"/>
        <v>0</v>
      </c>
      <c r="S129" s="446">
        <f t="shared" si="251"/>
        <v>0</v>
      </c>
      <c r="T129" s="446">
        <f t="shared" si="252"/>
        <v>0</v>
      </c>
      <c r="U129" s="446">
        <f t="shared" si="253"/>
        <v>0</v>
      </c>
      <c r="W129" s="759"/>
      <c r="X129" s="760" t="s">
        <v>164</v>
      </c>
      <c r="Y129" s="479">
        <f t="shared" si="254"/>
        <v>0</v>
      </c>
      <c r="Z129" s="479">
        <f t="shared" si="254"/>
        <v>0</v>
      </c>
      <c r="AA129" s="479">
        <f t="shared" si="254"/>
        <v>0</v>
      </c>
      <c r="AB129" s="479">
        <f t="shared" si="254"/>
        <v>0</v>
      </c>
      <c r="AC129" s="716"/>
      <c r="AD129" s="759"/>
      <c r="AE129" s="760" t="s">
        <v>164</v>
      </c>
      <c r="AF129" s="446"/>
      <c r="AG129" s="446">
        <f t="shared" si="255"/>
        <v>10.758116175670294</v>
      </c>
      <c r="AH129" s="446">
        <f t="shared" si="256"/>
        <v>10.56603132783181</v>
      </c>
      <c r="AI129" s="446">
        <f t="shared" si="257"/>
        <v>10.875861451396423</v>
      </c>
      <c r="AJ129" s="446">
        <f t="shared" si="258"/>
        <v>10.566031327831809</v>
      </c>
      <c r="AL129" s="759"/>
      <c r="AM129" s="760" t="s">
        <v>164</v>
      </c>
      <c r="AN129" s="497">
        <f t="shared" ref="AN129:AQ144" si="270">(AN21+AN82+AN103)/10^6</f>
        <v>1.5188645381336379E-4</v>
      </c>
      <c r="AO129" s="497">
        <f t="shared" si="270"/>
        <v>2.6484989143310387E-4</v>
      </c>
      <c r="AP129" s="497">
        <f t="shared" si="270"/>
        <v>5.0904313841940337E-4</v>
      </c>
      <c r="AQ129" s="497">
        <f t="shared" si="270"/>
        <v>5.1856859005141014E-4</v>
      </c>
      <c r="AS129" s="759"/>
      <c r="AT129" s="760" t="s">
        <v>164</v>
      </c>
      <c r="AU129" s="446"/>
      <c r="AV129" s="446">
        <f t="shared" si="260"/>
        <v>10.758116175670294</v>
      </c>
      <c r="AW129" s="446">
        <f t="shared" si="261"/>
        <v>10.56603132783181</v>
      </c>
      <c r="AX129" s="446">
        <f t="shared" si="262"/>
        <v>10.875861451396423</v>
      </c>
      <c r="AY129" s="446">
        <f t="shared" si="263"/>
        <v>10.566031327831809</v>
      </c>
      <c r="BA129" s="759"/>
      <c r="BB129" s="760" t="s">
        <v>164</v>
      </c>
      <c r="BC129" s="497">
        <f t="shared" si="264"/>
        <v>1.5188645381336379E-4</v>
      </c>
      <c r="BD129" s="497">
        <f t="shared" si="264"/>
        <v>2.6484989143310387E-4</v>
      </c>
      <c r="BE129" s="497">
        <f t="shared" si="264"/>
        <v>5.0904313841940337E-4</v>
      </c>
      <c r="BF129" s="497">
        <f t="shared" si="264"/>
        <v>5.1856859005141014E-4</v>
      </c>
      <c r="BG129" s="719"/>
      <c r="BH129" s="720" t="str">
        <f>BJ129</f>
        <v>vélo électrique</v>
      </c>
      <c r="BI129" s="759"/>
      <c r="BJ129" s="760" t="s">
        <v>164</v>
      </c>
      <c r="BK129" s="496">
        <f t="shared" si="265"/>
        <v>1.3744587682778951E-3</v>
      </c>
      <c r="BL129" s="496">
        <f t="shared" si="266"/>
        <v>2.287878665989132E-3</v>
      </c>
      <c r="BM129" s="496">
        <f t="shared" si="267"/>
        <v>4.9815529965877622E-3</v>
      </c>
      <c r="BN129" s="495">
        <f t="shared" si="268"/>
        <v>4.1405463747183017E-3</v>
      </c>
      <c r="BO129" s="721"/>
      <c r="BP129" s="759"/>
      <c r="BQ129" s="760" t="s">
        <v>164</v>
      </c>
      <c r="BR129" s="446">
        <f t="shared" ref="BR129:BU144" si="271">BR21+BR82+BR103</f>
        <v>14.118313218894047</v>
      </c>
      <c r="BS129" s="446">
        <f t="shared" si="271"/>
        <v>25.06616564115868</v>
      </c>
      <c r="BT129" s="446">
        <f t="shared" si="271"/>
        <v>46.804856856101637</v>
      </c>
      <c r="BU129" s="761">
        <f t="shared" si="271"/>
        <v>49.078842752004455</v>
      </c>
      <c r="BV129" s="721"/>
      <c r="BW129" s="821"/>
    </row>
    <row r="130" spans="1:75" x14ac:dyDescent="0.35">
      <c r="A130" s="988"/>
      <c r="G130" s="747"/>
      <c r="H130" s="759"/>
      <c r="I130" s="760" t="s">
        <v>593</v>
      </c>
      <c r="J130" s="500">
        <f t="shared" si="246"/>
        <v>512.56171827527146</v>
      </c>
      <c r="K130" s="500">
        <f t="shared" si="247"/>
        <v>533.67771891934251</v>
      </c>
      <c r="L130" s="500">
        <f t="shared" si="248"/>
        <v>429.83267537558623</v>
      </c>
      <c r="M130" s="499">
        <f t="shared" si="249"/>
        <v>611.32365457459923</v>
      </c>
      <c r="N130" s="747"/>
      <c r="O130" s="759"/>
      <c r="P130" s="760" t="s">
        <v>593</v>
      </c>
      <c r="Q130" s="446"/>
      <c r="R130" s="446">
        <f t="shared" si="250"/>
        <v>0</v>
      </c>
      <c r="S130" s="446">
        <f t="shared" si="251"/>
        <v>0</v>
      </c>
      <c r="T130" s="446">
        <f t="shared" si="252"/>
        <v>0</v>
      </c>
      <c r="U130" s="446">
        <f t="shared" si="253"/>
        <v>0</v>
      </c>
      <c r="W130" s="759"/>
      <c r="X130" s="760" t="s">
        <v>593</v>
      </c>
      <c r="Y130" s="479">
        <f t="shared" si="254"/>
        <v>0</v>
      </c>
      <c r="Z130" s="479">
        <f t="shared" si="254"/>
        <v>0</v>
      </c>
      <c r="AA130" s="479">
        <f t="shared" si="254"/>
        <v>0</v>
      </c>
      <c r="AB130" s="479">
        <f t="shared" si="254"/>
        <v>0</v>
      </c>
      <c r="AC130" s="716"/>
      <c r="AD130" s="759"/>
      <c r="AE130" s="760" t="s">
        <v>593</v>
      </c>
      <c r="AF130" s="446"/>
      <c r="AG130" s="446">
        <f t="shared" si="255"/>
        <v>0.49356071061539719</v>
      </c>
      <c r="AH130" s="446">
        <f t="shared" si="256"/>
        <v>0.49357605952645345</v>
      </c>
      <c r="AI130" s="446">
        <f t="shared" si="257"/>
        <v>1.598496925277449</v>
      </c>
      <c r="AJ130" s="446">
        <f t="shared" si="258"/>
        <v>0.4935918477905209</v>
      </c>
      <c r="AL130" s="759"/>
      <c r="AM130" s="760" t="s">
        <v>593</v>
      </c>
      <c r="AN130" s="497">
        <f t="shared" si="270"/>
        <v>2.5298032590619199E-4</v>
      </c>
      <c r="AO130" s="497">
        <f t="shared" si="270"/>
        <v>2.634105455612753E-4</v>
      </c>
      <c r="AP130" s="497">
        <f t="shared" si="270"/>
        <v>6.8708620997165449E-4</v>
      </c>
      <c r="AQ130" s="497">
        <f t="shared" si="270"/>
        <v>3.0174437225953055E-4</v>
      </c>
      <c r="AS130" s="759"/>
      <c r="AT130" s="760" t="s">
        <v>593</v>
      </c>
      <c r="AU130" s="446"/>
      <c r="AV130" s="446">
        <f t="shared" si="260"/>
        <v>0.49356071061539719</v>
      </c>
      <c r="AW130" s="446">
        <f t="shared" si="261"/>
        <v>0.49357605952645345</v>
      </c>
      <c r="AX130" s="446">
        <f t="shared" si="262"/>
        <v>1.598496925277449</v>
      </c>
      <c r="AY130" s="446">
        <f t="shared" si="263"/>
        <v>0.4935918477905209</v>
      </c>
      <c r="BA130" s="759"/>
      <c r="BB130" s="760" t="s">
        <v>593</v>
      </c>
      <c r="BC130" s="497">
        <f t="shared" si="264"/>
        <v>2.5298032590619199E-4</v>
      </c>
      <c r="BD130" s="497">
        <f t="shared" si="264"/>
        <v>2.634105455612753E-4</v>
      </c>
      <c r="BE130" s="497">
        <f t="shared" si="264"/>
        <v>6.8708620997165449E-4</v>
      </c>
      <c r="BF130" s="497">
        <f t="shared" si="264"/>
        <v>3.0174437225953055E-4</v>
      </c>
      <c r="BG130" s="719"/>
      <c r="BH130" s="720" t="s">
        <v>844</v>
      </c>
      <c r="BI130" s="759"/>
      <c r="BJ130" s="760" t="s">
        <v>593</v>
      </c>
      <c r="BK130" s="496">
        <f t="shared" si="265"/>
        <v>4.9899370912399793E-2</v>
      </c>
      <c r="BL130" s="496">
        <f t="shared" si="266"/>
        <v>4.8710675781398392E-2</v>
      </c>
      <c r="BM130" s="496">
        <f t="shared" si="267"/>
        <v>4.5748120940347407E-2</v>
      </c>
      <c r="BN130" s="495">
        <f t="shared" si="268"/>
        <v>5.157444226056087E-2</v>
      </c>
      <c r="BO130" s="721"/>
      <c r="BP130" s="759"/>
      <c r="BQ130" s="760" t="s">
        <v>593</v>
      </c>
      <c r="BR130" s="446">
        <f t="shared" si="271"/>
        <v>512.56171827527146</v>
      </c>
      <c r="BS130" s="446">
        <f t="shared" si="271"/>
        <v>533.67771891934251</v>
      </c>
      <c r="BT130" s="446">
        <f t="shared" si="271"/>
        <v>429.83267537558623</v>
      </c>
      <c r="BU130" s="761">
        <f t="shared" si="271"/>
        <v>611.32365457459935</v>
      </c>
      <c r="BV130" s="721"/>
      <c r="BW130" s="821"/>
    </row>
    <row r="131" spans="1:75" x14ac:dyDescent="0.35">
      <c r="A131" s="988"/>
      <c r="G131" s="747"/>
      <c r="H131" s="764"/>
      <c r="I131" s="765" t="s">
        <v>404</v>
      </c>
      <c r="J131" s="486">
        <f t="shared" si="246"/>
        <v>618.04716626411641</v>
      </c>
      <c r="K131" s="486">
        <f t="shared" si="247"/>
        <v>644.46785455199415</v>
      </c>
      <c r="L131" s="486">
        <f t="shared" si="248"/>
        <v>602.72130641769638</v>
      </c>
      <c r="M131" s="485">
        <f t="shared" si="249"/>
        <v>792.61197605397331</v>
      </c>
      <c r="N131" s="747"/>
      <c r="O131" s="764"/>
      <c r="P131" s="765" t="s">
        <v>404</v>
      </c>
      <c r="Q131" s="484"/>
      <c r="R131" s="484">
        <f t="shared" si="250"/>
        <v>0</v>
      </c>
      <c r="S131" s="484">
        <f t="shared" si="251"/>
        <v>0</v>
      </c>
      <c r="T131" s="484">
        <f t="shared" si="252"/>
        <v>0</v>
      </c>
      <c r="U131" s="484">
        <f t="shared" si="253"/>
        <v>0</v>
      </c>
      <c r="W131" s="764"/>
      <c r="X131" s="765" t="s">
        <v>404</v>
      </c>
      <c r="Y131" s="480">
        <f t="shared" si="254"/>
        <v>0</v>
      </c>
      <c r="Z131" s="480">
        <f t="shared" si="254"/>
        <v>0</v>
      </c>
      <c r="AA131" s="480">
        <f t="shared" si="254"/>
        <v>0</v>
      </c>
      <c r="AB131" s="480">
        <f t="shared" si="254"/>
        <v>0</v>
      </c>
      <c r="AC131" s="716"/>
      <c r="AD131" s="764"/>
      <c r="AE131" s="765" t="s">
        <v>404</v>
      </c>
      <c r="AF131" s="484"/>
      <c r="AG131" s="484">
        <f t="shared" si="255"/>
        <v>1.4949776932233096</v>
      </c>
      <c r="AH131" s="484">
        <f t="shared" si="256"/>
        <v>1.5619132504156297</v>
      </c>
      <c r="AI131" s="484">
        <f t="shared" si="257"/>
        <v>3.1860681619340263</v>
      </c>
      <c r="AJ131" s="484">
        <f t="shared" si="258"/>
        <v>1.9657109056958699</v>
      </c>
      <c r="AL131" s="764"/>
      <c r="AM131" s="765" t="s">
        <v>404</v>
      </c>
      <c r="AN131" s="483">
        <f t="shared" si="270"/>
        <v>9.2396672692473202E-4</v>
      </c>
      <c r="AO131" s="483">
        <f t="shared" si="270"/>
        <v>1.0066028814916925E-3</v>
      </c>
      <c r="AP131" s="483">
        <f t="shared" si="270"/>
        <v>1.9203111648967051E-3</v>
      </c>
      <c r="AQ131" s="483">
        <f t="shared" si="270"/>
        <v>1.5580460053144492E-3</v>
      </c>
      <c r="AS131" s="764"/>
      <c r="AT131" s="765" t="s">
        <v>404</v>
      </c>
      <c r="AU131" s="484"/>
      <c r="AV131" s="484">
        <f t="shared" si="260"/>
        <v>1.4949776932233096</v>
      </c>
      <c r="AW131" s="484">
        <f t="shared" si="261"/>
        <v>1.5619132504156297</v>
      </c>
      <c r="AX131" s="484">
        <f t="shared" si="262"/>
        <v>3.1860681619340263</v>
      </c>
      <c r="AY131" s="484">
        <f t="shared" si="263"/>
        <v>1.9657109056958699</v>
      </c>
      <c r="BA131" s="764"/>
      <c r="BB131" s="765" t="s">
        <v>404</v>
      </c>
      <c r="BC131" s="483">
        <f t="shared" si="264"/>
        <v>9.2396672692473202E-4</v>
      </c>
      <c r="BD131" s="483">
        <f t="shared" si="264"/>
        <v>1.0066028814916925E-3</v>
      </c>
      <c r="BE131" s="483">
        <f t="shared" si="264"/>
        <v>1.9203111648967051E-3</v>
      </c>
      <c r="BF131" s="483">
        <f t="shared" si="264"/>
        <v>1.5580460053144492E-3</v>
      </c>
      <c r="BG131" s="719"/>
      <c r="BH131" s="720"/>
      <c r="BI131" s="764"/>
      <c r="BJ131" s="765" t="s">
        <v>404</v>
      </c>
      <c r="BK131" s="482">
        <f t="shared" si="265"/>
        <v>6.0168685430791471E-2</v>
      </c>
      <c r="BL131" s="482">
        <f t="shared" si="266"/>
        <v>5.8822888049707221E-2</v>
      </c>
      <c r="BM131" s="482">
        <f t="shared" si="267"/>
        <v>6.4149071950445488E-2</v>
      </c>
      <c r="BN131" s="481">
        <f t="shared" si="268"/>
        <v>6.6868867723547804E-2</v>
      </c>
      <c r="BO131" s="721"/>
      <c r="BP131" s="764"/>
      <c r="BQ131" s="765" t="s">
        <v>404</v>
      </c>
      <c r="BR131" s="484">
        <f t="shared" si="271"/>
        <v>618.04716626411641</v>
      </c>
      <c r="BS131" s="484">
        <f t="shared" si="271"/>
        <v>644.46785455199415</v>
      </c>
      <c r="BT131" s="484">
        <f t="shared" si="271"/>
        <v>602.72130641769627</v>
      </c>
      <c r="BU131" s="766">
        <f t="shared" si="271"/>
        <v>792.61197605397354</v>
      </c>
      <c r="BV131" s="721"/>
      <c r="BW131" s="821"/>
    </row>
    <row r="132" spans="1:75" x14ac:dyDescent="0.35">
      <c r="A132" s="988"/>
      <c r="G132" s="747"/>
      <c r="H132" s="755" t="s">
        <v>558</v>
      </c>
      <c r="I132" s="756" t="s">
        <v>592</v>
      </c>
      <c r="J132" s="508">
        <f t="shared" si="246"/>
        <v>186.67565240811746</v>
      </c>
      <c r="K132" s="508">
        <f t="shared" si="247"/>
        <v>193.12826358148723</v>
      </c>
      <c r="L132" s="508">
        <f t="shared" si="248"/>
        <v>113.6163613698193</v>
      </c>
      <c r="M132" s="507">
        <f t="shared" si="249"/>
        <v>196.2059425610579</v>
      </c>
      <c r="N132" s="747"/>
      <c r="O132" s="755" t="s">
        <v>558</v>
      </c>
      <c r="P132" s="756" t="s">
        <v>592</v>
      </c>
      <c r="Q132" s="448"/>
      <c r="R132" s="511">
        <f t="shared" si="250"/>
        <v>97.647564770077395</v>
      </c>
      <c r="S132" s="511">
        <f t="shared" si="251"/>
        <v>100.01966209648529</v>
      </c>
      <c r="T132" s="511">
        <f t="shared" si="252"/>
        <v>96.065361803053435</v>
      </c>
      <c r="U132" s="448">
        <f t="shared" si="253"/>
        <v>100.01966209648529</v>
      </c>
      <c r="W132" s="755" t="s">
        <v>558</v>
      </c>
      <c r="X132" s="756" t="s">
        <v>592</v>
      </c>
      <c r="Y132" s="470">
        <f t="shared" si="254"/>
        <v>1.8228422859518104E-2</v>
      </c>
      <c r="Z132" s="470">
        <f t="shared" si="254"/>
        <v>1.9316623664701299E-2</v>
      </c>
      <c r="AA132" s="470">
        <f t="shared" si="254"/>
        <v>1.0914596861738155E-2</v>
      </c>
      <c r="AB132" s="470">
        <f t="shared" si="254"/>
        <v>1.9624452076279414E-2</v>
      </c>
      <c r="AC132" s="716"/>
      <c r="AD132" s="755" t="s">
        <v>558</v>
      </c>
      <c r="AE132" s="756" t="s">
        <v>592</v>
      </c>
      <c r="AF132" s="448"/>
      <c r="AG132" s="511">
        <f t="shared" si="255"/>
        <v>62.236787315781925</v>
      </c>
      <c r="AH132" s="511">
        <f t="shared" si="256"/>
        <v>62.881676738163158</v>
      </c>
      <c r="AI132" s="511">
        <f t="shared" si="257"/>
        <v>60.529245746902234</v>
      </c>
      <c r="AJ132" s="448">
        <f t="shared" si="258"/>
        <v>62.895280874994391</v>
      </c>
      <c r="AL132" s="755" t="s">
        <v>558</v>
      </c>
      <c r="AM132" s="756" t="s">
        <v>592</v>
      </c>
      <c r="AN132" s="503">
        <f t="shared" si="270"/>
        <v>1.161809287595884E-2</v>
      </c>
      <c r="AO132" s="503">
        <f t="shared" si="270"/>
        <v>1.2144229039533848E-2</v>
      </c>
      <c r="AP132" s="503">
        <f t="shared" si="270"/>
        <v>6.8771126582226425E-3</v>
      </c>
      <c r="AQ132" s="503">
        <f t="shared" si="270"/>
        <v>1.2340427866720753E-2</v>
      </c>
      <c r="AS132" s="755" t="s">
        <v>558</v>
      </c>
      <c r="AT132" s="756" t="s">
        <v>592</v>
      </c>
      <c r="AU132" s="448"/>
      <c r="AV132" s="511">
        <f t="shared" si="260"/>
        <v>159.88435208585932</v>
      </c>
      <c r="AW132" s="511">
        <f t="shared" si="261"/>
        <v>162.90133883464847</v>
      </c>
      <c r="AX132" s="511">
        <f t="shared" si="262"/>
        <v>156.59460754995564</v>
      </c>
      <c r="AY132" s="448">
        <f t="shared" si="263"/>
        <v>162.91494297147969</v>
      </c>
      <c r="BA132" s="755" t="s">
        <v>558</v>
      </c>
      <c r="BB132" s="756" t="s">
        <v>592</v>
      </c>
      <c r="BC132" s="503">
        <f t="shared" si="264"/>
        <v>2.9846515735476944E-2</v>
      </c>
      <c r="BD132" s="503">
        <f t="shared" si="264"/>
        <v>3.1460852704235154E-2</v>
      </c>
      <c r="BE132" s="503">
        <f t="shared" si="264"/>
        <v>1.7791709519960792E-2</v>
      </c>
      <c r="BF132" s="503">
        <f t="shared" si="264"/>
        <v>3.1964879943000166E-2</v>
      </c>
      <c r="BG132" s="719"/>
      <c r="BH132" s="720"/>
      <c r="BI132" s="755" t="s">
        <v>558</v>
      </c>
      <c r="BJ132" s="756" t="s">
        <v>592</v>
      </c>
      <c r="BK132" s="502">
        <f t="shared" si="265"/>
        <v>1.8173416561757832E-2</v>
      </c>
      <c r="BL132" s="502">
        <f t="shared" si="266"/>
        <v>1.7627507947289938E-2</v>
      </c>
      <c r="BM132" s="502">
        <f t="shared" si="267"/>
        <v>1.2092461412355277E-2</v>
      </c>
      <c r="BN132" s="501">
        <f t="shared" si="268"/>
        <v>1.6552953546081644E-2</v>
      </c>
      <c r="BO132" s="721"/>
      <c r="BP132" s="755" t="s">
        <v>558</v>
      </c>
      <c r="BQ132" s="756" t="s">
        <v>592</v>
      </c>
      <c r="BR132" s="448">
        <f t="shared" si="271"/>
        <v>186.67565240811743</v>
      </c>
      <c r="BS132" s="448">
        <f t="shared" si="271"/>
        <v>193.12826358148729</v>
      </c>
      <c r="BT132" s="448">
        <f t="shared" si="271"/>
        <v>113.61636136981927</v>
      </c>
      <c r="BU132" s="757">
        <f t="shared" si="271"/>
        <v>196.2059425610579</v>
      </c>
      <c r="BV132" s="721"/>
      <c r="BW132" s="821"/>
    </row>
    <row r="133" spans="1:75" x14ac:dyDescent="0.35">
      <c r="A133" s="988"/>
      <c r="G133" s="747"/>
      <c r="H133" s="759"/>
      <c r="I133" s="760" t="s">
        <v>544</v>
      </c>
      <c r="J133" s="500">
        <f t="shared" si="246"/>
        <v>1.7857342508232967</v>
      </c>
      <c r="K133" s="500">
        <f t="shared" si="247"/>
        <v>2.0652263463618841</v>
      </c>
      <c r="L133" s="500">
        <f t="shared" si="248"/>
        <v>1.9102346564368391</v>
      </c>
      <c r="M133" s="499">
        <f t="shared" si="249"/>
        <v>4.0735432869514066</v>
      </c>
      <c r="N133" s="747"/>
      <c r="O133" s="759"/>
      <c r="P133" s="760" t="s">
        <v>544</v>
      </c>
      <c r="Q133" s="446"/>
      <c r="R133" s="510">
        <f t="shared" si="250"/>
        <v>0</v>
      </c>
      <c r="S133" s="510">
        <f t="shared" si="251"/>
        <v>0</v>
      </c>
      <c r="T133" s="510">
        <f t="shared" si="252"/>
        <v>0</v>
      </c>
      <c r="U133" s="446">
        <f t="shared" si="253"/>
        <v>0</v>
      </c>
      <c r="W133" s="759"/>
      <c r="X133" s="760" t="s">
        <v>544</v>
      </c>
      <c r="Y133" s="479">
        <f t="shared" si="254"/>
        <v>0</v>
      </c>
      <c r="Z133" s="479">
        <f t="shared" si="254"/>
        <v>0</v>
      </c>
      <c r="AA133" s="479">
        <f t="shared" si="254"/>
        <v>0</v>
      </c>
      <c r="AB133" s="479">
        <f t="shared" si="254"/>
        <v>0</v>
      </c>
      <c r="AC133" s="716"/>
      <c r="AD133" s="759"/>
      <c r="AE133" s="760" t="s">
        <v>544</v>
      </c>
      <c r="AF133" s="446"/>
      <c r="AG133" s="510">
        <f t="shared" si="255"/>
        <v>76.414389959479522</v>
      </c>
      <c r="AH133" s="510">
        <f t="shared" si="256"/>
        <v>77.703220130850724</v>
      </c>
      <c r="AI133" s="510">
        <f t="shared" si="257"/>
        <v>74.758050660669809</v>
      </c>
      <c r="AJ133" s="446">
        <f t="shared" si="258"/>
        <v>77.703220130850752</v>
      </c>
      <c r="AL133" s="759"/>
      <c r="AM133" s="760" t="s">
        <v>544</v>
      </c>
      <c r="AN133" s="497">
        <f t="shared" si="270"/>
        <v>1.364557934064104E-4</v>
      </c>
      <c r="AO133" s="497">
        <f t="shared" si="270"/>
        <v>1.6047473741139003E-4</v>
      </c>
      <c r="AP133" s="497">
        <f t="shared" si="270"/>
        <v>1.428054192196724E-4</v>
      </c>
      <c r="AQ133" s="497">
        <f t="shared" si="270"/>
        <v>3.1652743073853445E-4</v>
      </c>
      <c r="AS133" s="759"/>
      <c r="AT133" s="760" t="s">
        <v>544</v>
      </c>
      <c r="AU133" s="446"/>
      <c r="AV133" s="510">
        <f t="shared" si="260"/>
        <v>76.414389959479522</v>
      </c>
      <c r="AW133" s="510">
        <f t="shared" si="261"/>
        <v>77.703220130850724</v>
      </c>
      <c r="AX133" s="510">
        <f t="shared" si="262"/>
        <v>74.758050660669809</v>
      </c>
      <c r="AY133" s="446">
        <f t="shared" si="263"/>
        <v>77.703220130850752</v>
      </c>
      <c r="BA133" s="759"/>
      <c r="BB133" s="760" t="s">
        <v>544</v>
      </c>
      <c r="BC133" s="497">
        <f t="shared" si="264"/>
        <v>1.364557934064104E-4</v>
      </c>
      <c r="BD133" s="497">
        <f t="shared" si="264"/>
        <v>1.6047473741139003E-4</v>
      </c>
      <c r="BE133" s="497">
        <f t="shared" si="264"/>
        <v>1.428054192196724E-4</v>
      </c>
      <c r="BF133" s="497">
        <f t="shared" si="264"/>
        <v>3.1652743073853445E-4</v>
      </c>
      <c r="BG133" s="719"/>
      <c r="BH133" s="720"/>
      <c r="BI133" s="759"/>
      <c r="BJ133" s="760" t="s">
        <v>544</v>
      </c>
      <c r="BK133" s="496">
        <f t="shared" si="265"/>
        <v>1.7384641216017051E-4</v>
      </c>
      <c r="BL133" s="496">
        <f t="shared" si="266"/>
        <v>1.885006014051707E-4</v>
      </c>
      <c r="BM133" s="496">
        <f t="shared" si="267"/>
        <v>2.0331084883380433E-4</v>
      </c>
      <c r="BN133" s="495">
        <f t="shared" si="268"/>
        <v>3.4366529329699525E-4</v>
      </c>
      <c r="BO133" s="721"/>
      <c r="BP133" s="759"/>
      <c r="BQ133" s="760" t="s">
        <v>544</v>
      </c>
      <c r="BR133" s="446">
        <f t="shared" si="271"/>
        <v>1.785734250823297</v>
      </c>
      <c r="BS133" s="446">
        <f t="shared" si="271"/>
        <v>2.0652263463618841</v>
      </c>
      <c r="BT133" s="446">
        <f t="shared" si="271"/>
        <v>1.9102346564368389</v>
      </c>
      <c r="BU133" s="761">
        <f t="shared" si="271"/>
        <v>4.0735432869514074</v>
      </c>
      <c r="BV133" s="721"/>
      <c r="BW133" s="821"/>
    </row>
    <row r="134" spans="1:75" x14ac:dyDescent="0.35">
      <c r="A134" s="988"/>
      <c r="G134" s="747"/>
      <c r="H134" s="764"/>
      <c r="I134" s="765" t="s">
        <v>404</v>
      </c>
      <c r="J134" s="486">
        <f t="shared" si="246"/>
        <v>188.46138665894071</v>
      </c>
      <c r="K134" s="486">
        <f t="shared" si="247"/>
        <v>195.19348992784919</v>
      </c>
      <c r="L134" s="486">
        <f t="shared" si="248"/>
        <v>115.52659602625612</v>
      </c>
      <c r="M134" s="485">
        <f t="shared" si="249"/>
        <v>200.27948584800936</v>
      </c>
      <c r="N134" s="747"/>
      <c r="O134" s="764"/>
      <c r="P134" s="765" t="s">
        <v>404</v>
      </c>
      <c r="Q134" s="484"/>
      <c r="R134" s="484">
        <f t="shared" si="250"/>
        <v>96.722321652584199</v>
      </c>
      <c r="S134" s="484">
        <f t="shared" si="251"/>
        <v>98.961413476655622</v>
      </c>
      <c r="T134" s="484">
        <f t="shared" si="252"/>
        <v>94.476919057301401</v>
      </c>
      <c r="U134" s="484">
        <f t="shared" si="253"/>
        <v>97.985332812229544</v>
      </c>
      <c r="W134" s="764"/>
      <c r="X134" s="765" t="s">
        <v>404</v>
      </c>
      <c r="Y134" s="480">
        <f t="shared" si="254"/>
        <v>1.8228422859518104E-2</v>
      </c>
      <c r="Z134" s="480">
        <f t="shared" si="254"/>
        <v>1.9316623664701299E-2</v>
      </c>
      <c r="AA134" s="480">
        <f t="shared" si="254"/>
        <v>1.0914596861738155E-2</v>
      </c>
      <c r="AB134" s="480">
        <f t="shared" si="254"/>
        <v>1.9624452076279414E-2</v>
      </c>
      <c r="AC134" s="716"/>
      <c r="AD134" s="764"/>
      <c r="AE134" s="765" t="s">
        <v>404</v>
      </c>
      <c r="AF134" s="484"/>
      <c r="AG134" s="484">
        <f t="shared" si="255"/>
        <v>62.371124811033596</v>
      </c>
      <c r="AH134" s="484">
        <f t="shared" si="256"/>
        <v>63.038494682858087</v>
      </c>
      <c r="AI134" s="484">
        <f t="shared" si="257"/>
        <v>60.764519330655901</v>
      </c>
      <c r="AJ134" s="484">
        <f t="shared" si="258"/>
        <v>63.196463900773935</v>
      </c>
      <c r="AL134" s="764"/>
      <c r="AM134" s="765" t="s">
        <v>404</v>
      </c>
      <c r="AN134" s="483">
        <f t="shared" si="270"/>
        <v>1.1754548669365253E-2</v>
      </c>
      <c r="AO134" s="483">
        <f t="shared" si="270"/>
        <v>1.2304703776945236E-2</v>
      </c>
      <c r="AP134" s="483">
        <f t="shared" si="270"/>
        <v>7.0199180774423147E-3</v>
      </c>
      <c r="AQ134" s="483">
        <f t="shared" si="270"/>
        <v>1.2656955297459289E-2</v>
      </c>
      <c r="AS134" s="764"/>
      <c r="AT134" s="765" t="s">
        <v>404</v>
      </c>
      <c r="AU134" s="484"/>
      <c r="AV134" s="484">
        <f t="shared" si="260"/>
        <v>159.09344646361779</v>
      </c>
      <c r="AW134" s="484">
        <f t="shared" si="261"/>
        <v>161.99990815951372</v>
      </c>
      <c r="AX134" s="484">
        <f t="shared" si="262"/>
        <v>155.24143838795729</v>
      </c>
      <c r="AY134" s="484">
        <f t="shared" si="263"/>
        <v>161.18179671300348</v>
      </c>
      <c r="BA134" s="764"/>
      <c r="BB134" s="765" t="s">
        <v>404</v>
      </c>
      <c r="BC134" s="483">
        <f t="shared" si="264"/>
        <v>2.9982971528883358E-2</v>
      </c>
      <c r="BD134" s="483">
        <f t="shared" si="264"/>
        <v>3.1621327441646536E-2</v>
      </c>
      <c r="BE134" s="483">
        <f t="shared" si="264"/>
        <v>1.7934514939180468E-2</v>
      </c>
      <c r="BF134" s="483">
        <f t="shared" si="264"/>
        <v>3.2281407373738698E-2</v>
      </c>
      <c r="BG134" s="719"/>
      <c r="BH134" s="720" t="s">
        <v>846</v>
      </c>
      <c r="BI134" s="764"/>
      <c r="BJ134" s="765" t="s">
        <v>404</v>
      </c>
      <c r="BK134" s="482">
        <f t="shared" si="265"/>
        <v>1.8347262973917998E-2</v>
      </c>
      <c r="BL134" s="482">
        <f t="shared" si="266"/>
        <v>1.7816008548695115E-2</v>
      </c>
      <c r="BM134" s="482">
        <f t="shared" si="267"/>
        <v>1.2295772261189079E-2</v>
      </c>
      <c r="BN134" s="481">
        <f t="shared" si="268"/>
        <v>1.6896618839378645E-2</v>
      </c>
      <c r="BO134" s="721"/>
      <c r="BP134" s="764"/>
      <c r="BQ134" s="765" t="s">
        <v>404</v>
      </c>
      <c r="BR134" s="484">
        <f t="shared" si="271"/>
        <v>188.46138665894071</v>
      </c>
      <c r="BS134" s="484">
        <f t="shared" si="271"/>
        <v>195.19348992784919</v>
      </c>
      <c r="BT134" s="484">
        <f t="shared" si="271"/>
        <v>115.52659602625612</v>
      </c>
      <c r="BU134" s="766">
        <f t="shared" si="271"/>
        <v>200.2794858480093</v>
      </c>
      <c r="BV134" s="721"/>
      <c r="BW134" s="821"/>
    </row>
    <row r="135" spans="1:75" x14ac:dyDescent="0.35">
      <c r="A135" s="988"/>
      <c r="G135" s="747"/>
      <c r="H135" s="755" t="s">
        <v>548</v>
      </c>
      <c r="I135" s="756" t="s">
        <v>173</v>
      </c>
      <c r="J135" s="508">
        <f t="shared" si="246"/>
        <v>5190.5301222018261</v>
      </c>
      <c r="K135" s="508">
        <f t="shared" si="247"/>
        <v>5357.8298582274574</v>
      </c>
      <c r="L135" s="508">
        <f t="shared" si="248"/>
        <v>4629.0407704816871</v>
      </c>
      <c r="M135" s="507">
        <f t="shared" si="249"/>
        <v>4936.7080231564478</v>
      </c>
      <c r="N135" s="747"/>
      <c r="O135" s="755" t="s">
        <v>548</v>
      </c>
      <c r="P135" s="756" t="s">
        <v>173</v>
      </c>
      <c r="Q135" s="448"/>
      <c r="R135" s="448">
        <f t="shared" si="250"/>
        <v>132.04417263627755</v>
      </c>
      <c r="S135" s="448">
        <f t="shared" si="251"/>
        <v>125.43996569064288</v>
      </c>
      <c r="T135" s="448">
        <f t="shared" si="252"/>
        <v>128.45436949907577</v>
      </c>
      <c r="U135" s="448">
        <f t="shared" si="253"/>
        <v>123.94727771720883</v>
      </c>
      <c r="W135" s="755" t="s">
        <v>548</v>
      </c>
      <c r="X135" s="756" t="s">
        <v>173</v>
      </c>
      <c r="Y135" s="470">
        <f t="shared" si="254"/>
        <v>0.68537925552981682</v>
      </c>
      <c r="Z135" s="470">
        <f t="shared" si="254"/>
        <v>0.67208599359235421</v>
      </c>
      <c r="AA135" s="470">
        <f t="shared" si="254"/>
        <v>0.59462051355774104</v>
      </c>
      <c r="AB135" s="470">
        <f t="shared" si="254"/>
        <v>0.61189152035494521</v>
      </c>
      <c r="AC135" s="716"/>
      <c r="AD135" s="755" t="s">
        <v>548</v>
      </c>
      <c r="AE135" s="756" t="s">
        <v>173</v>
      </c>
      <c r="AF135" s="448"/>
      <c r="AG135" s="448">
        <f t="shared" si="255"/>
        <v>78.618649984241912</v>
      </c>
      <c r="AH135" s="448">
        <f t="shared" si="256"/>
        <v>74.70917421208226</v>
      </c>
      <c r="AI135" s="448">
        <f t="shared" si="257"/>
        <v>78.451985214194721</v>
      </c>
      <c r="AJ135" s="448">
        <f t="shared" si="258"/>
        <v>73.86729567182924</v>
      </c>
      <c r="AL135" s="755" t="s">
        <v>548</v>
      </c>
      <c r="AM135" s="756" t="s">
        <v>173</v>
      </c>
      <c r="AN135" s="503">
        <f t="shared" si="270"/>
        <v>0.40807247091004978</v>
      </c>
      <c r="AO135" s="503">
        <f t="shared" si="270"/>
        <v>0.40027904427701111</v>
      </c>
      <c r="AP135" s="503">
        <f t="shared" si="270"/>
        <v>0.36315743808173384</v>
      </c>
      <c r="AQ135" s="503">
        <f t="shared" si="270"/>
        <v>0.36466127119198893</v>
      </c>
      <c r="AS135" s="755" t="s">
        <v>548</v>
      </c>
      <c r="AT135" s="756" t="s">
        <v>173</v>
      </c>
      <c r="AU135" s="448"/>
      <c r="AV135" s="448">
        <f t="shared" si="260"/>
        <v>210.66282262051951</v>
      </c>
      <c r="AW135" s="448">
        <f t="shared" si="261"/>
        <v>200.14913990272515</v>
      </c>
      <c r="AX135" s="448">
        <f t="shared" si="262"/>
        <v>206.90635471327053</v>
      </c>
      <c r="AY135" s="448">
        <f t="shared" si="263"/>
        <v>197.81457338903806</v>
      </c>
      <c r="BA135" s="755" t="s">
        <v>548</v>
      </c>
      <c r="BB135" s="756" t="s">
        <v>173</v>
      </c>
      <c r="BC135" s="503">
        <f t="shared" si="264"/>
        <v>1.0934517264398667</v>
      </c>
      <c r="BD135" s="503">
        <f t="shared" si="264"/>
        <v>1.0723650378693654</v>
      </c>
      <c r="BE135" s="503">
        <f t="shared" si="264"/>
        <v>0.9577779516394751</v>
      </c>
      <c r="BF135" s="503">
        <f t="shared" si="264"/>
        <v>0.97655279154693408</v>
      </c>
      <c r="BG135" s="719"/>
      <c r="BH135" s="720"/>
      <c r="BI135" s="755" t="s">
        <v>548</v>
      </c>
      <c r="BJ135" s="756" t="s">
        <v>173</v>
      </c>
      <c r="BK135" s="502">
        <f t="shared" si="265"/>
        <v>0.50531317218004645</v>
      </c>
      <c r="BL135" s="502">
        <f t="shared" si="266"/>
        <v>0.48902831027775623</v>
      </c>
      <c r="BM135" s="502">
        <f t="shared" si="267"/>
        <v>0.49267989414892988</v>
      </c>
      <c r="BN135" s="501">
        <f t="shared" si="268"/>
        <v>0.41648635872711881</v>
      </c>
      <c r="BO135" s="721"/>
      <c r="BP135" s="755" t="s">
        <v>548</v>
      </c>
      <c r="BQ135" s="756" t="s">
        <v>173</v>
      </c>
      <c r="BR135" s="448">
        <f t="shared" si="271"/>
        <v>5190.5301222018252</v>
      </c>
      <c r="BS135" s="448">
        <f t="shared" si="271"/>
        <v>5357.8298582274574</v>
      </c>
      <c r="BT135" s="448">
        <f t="shared" si="271"/>
        <v>4629.0407704816871</v>
      </c>
      <c r="BU135" s="757">
        <f t="shared" si="271"/>
        <v>4936.7080231564478</v>
      </c>
      <c r="BV135" s="721"/>
      <c r="BW135" s="821"/>
    </row>
    <row r="136" spans="1:75" x14ac:dyDescent="0.35">
      <c r="A136" s="988"/>
      <c r="G136" s="747"/>
      <c r="H136" s="759"/>
      <c r="I136" s="760" t="s">
        <v>170</v>
      </c>
      <c r="J136" s="500">
        <f t="shared" si="246"/>
        <v>2112.8553621986757</v>
      </c>
      <c r="K136" s="500">
        <f t="shared" si="247"/>
        <v>2310.6637879344144</v>
      </c>
      <c r="L136" s="500">
        <f t="shared" si="248"/>
        <v>1917.1511737342371</v>
      </c>
      <c r="M136" s="499">
        <f t="shared" si="249"/>
        <v>1936.1585446358324</v>
      </c>
      <c r="N136" s="747"/>
      <c r="O136" s="759"/>
      <c r="P136" s="760" t="s">
        <v>170</v>
      </c>
      <c r="Q136" s="446"/>
      <c r="R136" s="446">
        <f t="shared" si="250"/>
        <v>137.03590629808389</v>
      </c>
      <c r="S136" s="446">
        <f t="shared" si="251"/>
        <v>129.7638675775691</v>
      </c>
      <c r="T136" s="446">
        <f t="shared" si="252"/>
        <v>132.60442484479992</v>
      </c>
      <c r="U136" s="446">
        <f t="shared" si="253"/>
        <v>128.351616752035</v>
      </c>
      <c r="W136" s="759"/>
      <c r="X136" s="760" t="s">
        <v>170</v>
      </c>
      <c r="Y136" s="479">
        <f t="shared" si="254"/>
        <v>0.28953704943566183</v>
      </c>
      <c r="Z136" s="479">
        <f t="shared" si="254"/>
        <v>0.29984066979380558</v>
      </c>
      <c r="AA136" s="479">
        <f t="shared" si="254"/>
        <v>0.25422272873356161</v>
      </c>
      <c r="AB136" s="479">
        <f t="shared" si="254"/>
        <v>0.24850907949227619</v>
      </c>
      <c r="AC136" s="716"/>
      <c r="AD136" s="759"/>
      <c r="AE136" s="760" t="s">
        <v>170</v>
      </c>
      <c r="AF136" s="446"/>
      <c r="AG136" s="446">
        <f t="shared" si="255"/>
        <v>80.761624410664552</v>
      </c>
      <c r="AH136" s="446">
        <f t="shared" si="256"/>
        <v>76.454592592690688</v>
      </c>
      <c r="AI136" s="446">
        <f t="shared" si="257"/>
        <v>79.940191177704662</v>
      </c>
      <c r="AJ136" s="446">
        <f t="shared" si="258"/>
        <v>75.734176990710566</v>
      </c>
      <c r="AL136" s="759"/>
      <c r="AM136" s="760" t="s">
        <v>170</v>
      </c>
      <c r="AN136" s="497">
        <f t="shared" si="270"/>
        <v>0.17063763119594808</v>
      </c>
      <c r="AO136" s="497">
        <f t="shared" si="270"/>
        <v>0.17666085852520907</v>
      </c>
      <c r="AP136" s="497">
        <f t="shared" si="270"/>
        <v>0.15325743134487579</v>
      </c>
      <c r="AQ136" s="497">
        <f t="shared" si="270"/>
        <v>0.14663337390152673</v>
      </c>
      <c r="AS136" s="759"/>
      <c r="AT136" s="760" t="s">
        <v>170</v>
      </c>
      <c r="AU136" s="446"/>
      <c r="AV136" s="446">
        <f t="shared" si="260"/>
        <v>217.79753070874844</v>
      </c>
      <c r="AW136" s="446">
        <f t="shared" si="261"/>
        <v>206.21846017025976</v>
      </c>
      <c r="AX136" s="446">
        <f t="shared" si="262"/>
        <v>212.54461602250458</v>
      </c>
      <c r="AY136" s="446">
        <f t="shared" si="263"/>
        <v>204.08579374274561</v>
      </c>
      <c r="BA136" s="759"/>
      <c r="BB136" s="760" t="s">
        <v>170</v>
      </c>
      <c r="BC136" s="497">
        <f t="shared" si="264"/>
        <v>0.46017468063160988</v>
      </c>
      <c r="BD136" s="497">
        <f t="shared" si="264"/>
        <v>0.4765015283190146</v>
      </c>
      <c r="BE136" s="497">
        <f t="shared" si="264"/>
        <v>0.4074801600784374</v>
      </c>
      <c r="BF136" s="497">
        <f t="shared" si="264"/>
        <v>0.39514245339380299</v>
      </c>
      <c r="BG136" s="719"/>
      <c r="BH136" s="720"/>
      <c r="BI136" s="759"/>
      <c r="BJ136" s="760" t="s">
        <v>170</v>
      </c>
      <c r="BK136" s="496">
        <f t="shared" si="265"/>
        <v>0.20569260177558407</v>
      </c>
      <c r="BL136" s="496">
        <f t="shared" si="266"/>
        <v>0.21090255527587806</v>
      </c>
      <c r="BM136" s="496">
        <f t="shared" si="267"/>
        <v>0.20404699033242557</v>
      </c>
      <c r="BN136" s="495">
        <f t="shared" si="268"/>
        <v>0.16334440246238982</v>
      </c>
      <c r="BO136" s="721"/>
      <c r="BP136" s="759"/>
      <c r="BQ136" s="760" t="s">
        <v>170</v>
      </c>
      <c r="BR136" s="446">
        <f t="shared" si="271"/>
        <v>2112.8553621986757</v>
      </c>
      <c r="BS136" s="446">
        <f t="shared" si="271"/>
        <v>2310.6637879344148</v>
      </c>
      <c r="BT136" s="446">
        <f t="shared" si="271"/>
        <v>1917.1511737342369</v>
      </c>
      <c r="BU136" s="761">
        <f t="shared" si="271"/>
        <v>1936.1585446358322</v>
      </c>
      <c r="BV136" s="721"/>
      <c r="BW136" s="821"/>
    </row>
    <row r="137" spans="1:75" x14ac:dyDescent="0.35">
      <c r="A137" s="988"/>
      <c r="G137" s="747"/>
      <c r="H137" s="759"/>
      <c r="I137" s="760" t="s">
        <v>545</v>
      </c>
      <c r="J137" s="500">
        <f t="shared" si="246"/>
        <v>85.607256183362409</v>
      </c>
      <c r="K137" s="500">
        <f t="shared" si="247"/>
        <v>194.60577664048168</v>
      </c>
      <c r="L137" s="500">
        <f t="shared" si="248"/>
        <v>362.27211529364695</v>
      </c>
      <c r="M137" s="499">
        <f t="shared" si="249"/>
        <v>710.52297159654722</v>
      </c>
      <c r="N137" s="747"/>
      <c r="O137" s="759"/>
      <c r="P137" s="760" t="s">
        <v>545</v>
      </c>
      <c r="Q137" s="446"/>
      <c r="R137" s="446">
        <f t="shared" si="250"/>
        <v>96.837384769819522</v>
      </c>
      <c r="S137" s="446">
        <f t="shared" si="251"/>
        <v>92.084548891859157</v>
      </c>
      <c r="T137" s="446">
        <f t="shared" si="252"/>
        <v>94.15748943644077</v>
      </c>
      <c r="U137" s="446">
        <f t="shared" si="253"/>
        <v>90.988747425251333</v>
      </c>
      <c r="W137" s="759"/>
      <c r="X137" s="760" t="s">
        <v>545</v>
      </c>
      <c r="Y137" s="479">
        <f t="shared" si="254"/>
        <v>8.2899828061167771E-3</v>
      </c>
      <c r="Z137" s="479">
        <f t="shared" si="254"/>
        <v>1.7920185153688657E-2</v>
      </c>
      <c r="AA137" s="479">
        <f t="shared" si="254"/>
        <v>3.4110632868878617E-2</v>
      </c>
      <c r="AB137" s="479">
        <f t="shared" si="254"/>
        <v>6.4649595202437266E-2</v>
      </c>
      <c r="AC137" s="716"/>
      <c r="AD137" s="759"/>
      <c r="AE137" s="760" t="s">
        <v>545</v>
      </c>
      <c r="AF137" s="446"/>
      <c r="AG137" s="446">
        <f t="shared" si="255"/>
        <v>72.678851488208039</v>
      </c>
      <c r="AH137" s="446">
        <f t="shared" si="256"/>
        <v>69.134976914243197</v>
      </c>
      <c r="AI137" s="446">
        <f t="shared" si="257"/>
        <v>73.028592389670266</v>
      </c>
      <c r="AJ137" s="446">
        <f t="shared" si="258"/>
        <v>68.348674370809476</v>
      </c>
      <c r="AL137" s="759"/>
      <c r="AM137" s="760" t="s">
        <v>545</v>
      </c>
      <c r="AN137" s="497">
        <f t="shared" si="270"/>
        <v>6.221837058463576E-3</v>
      </c>
      <c r="AO137" s="497">
        <f t="shared" si="270"/>
        <v>1.3454065875418069E-2</v>
      </c>
      <c r="AP137" s="497">
        <f t="shared" si="270"/>
        <v>2.6456222641923377E-2</v>
      </c>
      <c r="AQ137" s="497">
        <f t="shared" si="270"/>
        <v>4.8563303218632309E-2</v>
      </c>
      <c r="AS137" s="759"/>
      <c r="AT137" s="760" t="s">
        <v>545</v>
      </c>
      <c r="AU137" s="446"/>
      <c r="AV137" s="446">
        <f t="shared" si="260"/>
        <v>169.51623625802759</v>
      </c>
      <c r="AW137" s="446">
        <f t="shared" si="261"/>
        <v>161.21952580610238</v>
      </c>
      <c r="AX137" s="446">
        <f t="shared" si="262"/>
        <v>167.18608182611104</v>
      </c>
      <c r="AY137" s="446">
        <f t="shared" si="263"/>
        <v>159.33742179606082</v>
      </c>
      <c r="BA137" s="759"/>
      <c r="BB137" s="760" t="s">
        <v>545</v>
      </c>
      <c r="BC137" s="497">
        <f t="shared" si="264"/>
        <v>1.4511819864580354E-2</v>
      </c>
      <c r="BD137" s="497">
        <f t="shared" si="264"/>
        <v>3.137425102910673E-2</v>
      </c>
      <c r="BE137" s="497">
        <f t="shared" si="264"/>
        <v>6.0566855510801994E-2</v>
      </c>
      <c r="BF137" s="497">
        <f t="shared" si="264"/>
        <v>0.11321289842106957</v>
      </c>
      <c r="BG137" s="719"/>
      <c r="BH137" s="720"/>
      <c r="BI137" s="759"/>
      <c r="BJ137" s="760" t="s">
        <v>545</v>
      </c>
      <c r="BK137" s="496">
        <f t="shared" si="265"/>
        <v>8.3341148524718484E-3</v>
      </c>
      <c r="BL137" s="496">
        <f t="shared" si="266"/>
        <v>1.7762365853153415E-2</v>
      </c>
      <c r="BM137" s="496">
        <f t="shared" si="267"/>
        <v>3.855748874672587E-2</v>
      </c>
      <c r="BN137" s="495">
        <f t="shared" si="268"/>
        <v>5.9943412461126229E-2</v>
      </c>
      <c r="BO137" s="721"/>
      <c r="BP137" s="759"/>
      <c r="BQ137" s="760" t="s">
        <v>545</v>
      </c>
      <c r="BR137" s="446">
        <f t="shared" si="271"/>
        <v>85.607256183362409</v>
      </c>
      <c r="BS137" s="446">
        <f t="shared" si="271"/>
        <v>194.60577664048168</v>
      </c>
      <c r="BT137" s="446">
        <f t="shared" si="271"/>
        <v>362.27211529364689</v>
      </c>
      <c r="BU137" s="761">
        <f t="shared" si="271"/>
        <v>710.52297159654722</v>
      </c>
      <c r="BV137" s="721"/>
      <c r="BW137" s="821"/>
    </row>
    <row r="138" spans="1:75" x14ac:dyDescent="0.35">
      <c r="A138" s="988"/>
      <c r="G138" s="747"/>
      <c r="H138" s="759"/>
      <c r="I138" s="760" t="s">
        <v>468</v>
      </c>
      <c r="J138" s="500">
        <f t="shared" si="246"/>
        <v>24.268072137699569</v>
      </c>
      <c r="K138" s="500">
        <f t="shared" si="247"/>
        <v>28.041234890357835</v>
      </c>
      <c r="L138" s="500">
        <f t="shared" si="248"/>
        <v>25.139316905578944</v>
      </c>
      <c r="M138" s="499">
        <f t="shared" si="249"/>
        <v>27.792671938659833</v>
      </c>
      <c r="N138" s="747"/>
      <c r="O138" s="759"/>
      <c r="P138" s="760" t="s">
        <v>468</v>
      </c>
      <c r="Q138" s="446"/>
      <c r="R138" s="446">
        <f t="shared" si="250"/>
        <v>79.353842562879919</v>
      </c>
      <c r="S138" s="446">
        <f t="shared" si="251"/>
        <v>75.189136058693222</v>
      </c>
      <c r="T138" s="446">
        <f t="shared" si="252"/>
        <v>77.002343727522302</v>
      </c>
      <c r="U138" s="446">
        <f t="shared" si="253"/>
        <v>75.08083881427919</v>
      </c>
      <c r="W138" s="759"/>
      <c r="X138" s="760" t="s">
        <v>468</v>
      </c>
      <c r="Y138" s="479">
        <f t="shared" si="254"/>
        <v>1.9257647757196246E-3</v>
      </c>
      <c r="Z138" s="479">
        <f t="shared" si="254"/>
        <v>2.1083962254248908E-3</v>
      </c>
      <c r="AA138" s="479">
        <f t="shared" si="254"/>
        <v>1.9357863214385022E-3</v>
      </c>
      <c r="AB138" s="479">
        <f t="shared" si="254"/>
        <v>2.0866971220446593E-3</v>
      </c>
      <c r="AC138" s="716"/>
      <c r="AD138" s="759"/>
      <c r="AE138" s="760" t="s">
        <v>468</v>
      </c>
      <c r="AF138" s="446"/>
      <c r="AG138" s="446">
        <f t="shared" si="255"/>
        <v>78.1304189281025</v>
      </c>
      <c r="AH138" s="446">
        <f t="shared" si="256"/>
        <v>73.953714702090082</v>
      </c>
      <c r="AI138" s="446">
        <f t="shared" si="257"/>
        <v>78.758924673463824</v>
      </c>
      <c r="AJ138" s="446">
        <f t="shared" si="258"/>
        <v>74.195015435410113</v>
      </c>
      <c r="AL138" s="759"/>
      <c r="AM138" s="760" t="s">
        <v>468</v>
      </c>
      <c r="AN138" s="497">
        <f t="shared" si="270"/>
        <v>1.8960746426958794E-3</v>
      </c>
      <c r="AO138" s="497">
        <f t="shared" si="270"/>
        <v>2.0737534849758175E-3</v>
      </c>
      <c r="AP138" s="497">
        <f t="shared" si="270"/>
        <v>1.9799455665088276E-3</v>
      </c>
      <c r="AQ138" s="497">
        <f t="shared" si="270"/>
        <v>2.0620777234801558E-3</v>
      </c>
      <c r="AS138" s="759"/>
      <c r="AT138" s="760" t="s">
        <v>468</v>
      </c>
      <c r="AU138" s="446"/>
      <c r="AV138" s="446">
        <f t="shared" si="260"/>
        <v>157.48426149098242</v>
      </c>
      <c r="AW138" s="446">
        <f t="shared" si="261"/>
        <v>149.14285076078329</v>
      </c>
      <c r="AX138" s="446">
        <f t="shared" si="262"/>
        <v>155.76126840098613</v>
      </c>
      <c r="AY138" s="446">
        <f t="shared" si="263"/>
        <v>149.27585424968933</v>
      </c>
      <c r="BA138" s="759"/>
      <c r="BB138" s="760" t="s">
        <v>468</v>
      </c>
      <c r="BC138" s="497">
        <f t="shared" si="264"/>
        <v>3.8218394184155041E-3</v>
      </c>
      <c r="BD138" s="497">
        <f t="shared" si="264"/>
        <v>4.1821497104007083E-3</v>
      </c>
      <c r="BE138" s="497">
        <f t="shared" si="264"/>
        <v>3.9157318879473298E-3</v>
      </c>
      <c r="BF138" s="497">
        <f t="shared" si="264"/>
        <v>4.148774845524816E-3</v>
      </c>
      <c r="BG138" s="719"/>
      <c r="BH138" s="720"/>
      <c r="BI138" s="759"/>
      <c r="BJ138" s="760" t="s">
        <v>468</v>
      </c>
      <c r="BK138" s="496">
        <f t="shared" si="265"/>
        <v>2.3625672572714423E-3</v>
      </c>
      <c r="BL138" s="496">
        <f t="shared" si="266"/>
        <v>2.5594238860489017E-3</v>
      </c>
      <c r="BM138" s="496">
        <f t="shared" si="267"/>
        <v>2.6756376982024761E-3</v>
      </c>
      <c r="BN138" s="495">
        <f t="shared" si="268"/>
        <v>2.3447343210767357E-3</v>
      </c>
      <c r="BO138" s="721"/>
      <c r="BP138" s="759"/>
      <c r="BQ138" s="760" t="s">
        <v>468</v>
      </c>
      <c r="BR138" s="446">
        <f t="shared" si="271"/>
        <v>24.268072137699573</v>
      </c>
      <c r="BS138" s="446">
        <f t="shared" si="271"/>
        <v>28.041234890357831</v>
      </c>
      <c r="BT138" s="446">
        <f t="shared" si="271"/>
        <v>25.139316905578944</v>
      </c>
      <c r="BU138" s="761">
        <f t="shared" si="271"/>
        <v>27.792671938659826</v>
      </c>
      <c r="BV138" s="721"/>
      <c r="BW138" s="821"/>
    </row>
    <row r="139" spans="1:75" x14ac:dyDescent="0.35">
      <c r="A139" s="988"/>
      <c r="G139" s="747"/>
      <c r="H139" s="759"/>
      <c r="I139" s="760" t="s">
        <v>544</v>
      </c>
      <c r="J139" s="500">
        <f t="shared" si="246"/>
        <v>8.6835581071018115</v>
      </c>
      <c r="K139" s="500">
        <f t="shared" si="247"/>
        <v>44.53192693413348</v>
      </c>
      <c r="L139" s="500">
        <f t="shared" si="248"/>
        <v>109.91430700033031</v>
      </c>
      <c r="M139" s="499">
        <f t="shared" si="249"/>
        <v>271.71037674232758</v>
      </c>
      <c r="N139" s="747"/>
      <c r="O139" s="759"/>
      <c r="P139" s="760" t="s">
        <v>544</v>
      </c>
      <c r="Q139" s="446"/>
      <c r="R139" s="446">
        <f t="shared" si="250"/>
        <v>0</v>
      </c>
      <c r="S139" s="446">
        <f t="shared" si="251"/>
        <v>0</v>
      </c>
      <c r="T139" s="446">
        <f t="shared" si="252"/>
        <v>0</v>
      </c>
      <c r="U139" s="446">
        <f t="shared" si="253"/>
        <v>0</v>
      </c>
      <c r="W139" s="759"/>
      <c r="X139" s="760" t="s">
        <v>544</v>
      </c>
      <c r="Y139" s="479">
        <f t="shared" si="254"/>
        <v>0</v>
      </c>
      <c r="Z139" s="479">
        <f t="shared" si="254"/>
        <v>0</v>
      </c>
      <c r="AA139" s="479">
        <f t="shared" si="254"/>
        <v>0</v>
      </c>
      <c r="AB139" s="479">
        <f t="shared" si="254"/>
        <v>0</v>
      </c>
      <c r="AC139" s="716"/>
      <c r="AD139" s="759"/>
      <c r="AE139" s="760" t="s">
        <v>544</v>
      </c>
      <c r="AF139" s="446"/>
      <c r="AG139" s="446">
        <f t="shared" si="255"/>
        <v>96.509910433049768</v>
      </c>
      <c r="AH139" s="446">
        <f t="shared" si="256"/>
        <v>91.712404243313884</v>
      </c>
      <c r="AI139" s="446">
        <f t="shared" si="257"/>
        <v>99.934609704335784</v>
      </c>
      <c r="AJ139" s="446">
        <f t="shared" si="258"/>
        <v>90.779322898516881</v>
      </c>
      <c r="AL139" s="759"/>
      <c r="AM139" s="760" t="s">
        <v>544</v>
      </c>
      <c r="AN139" s="497">
        <f t="shared" si="270"/>
        <v>8.3804941515657904E-4</v>
      </c>
      <c r="AO139" s="497">
        <f t="shared" si="270"/>
        <v>4.084130084716967E-3</v>
      </c>
      <c r="AP139" s="497">
        <f t="shared" si="270"/>
        <v>1.0984243371000553E-2</v>
      </c>
      <c r="AQ139" s="497">
        <f t="shared" si="270"/>
        <v>2.4665684025169426E-2</v>
      </c>
      <c r="AS139" s="759"/>
      <c r="AT139" s="760" t="s">
        <v>544</v>
      </c>
      <c r="AU139" s="446"/>
      <c r="AV139" s="446">
        <f t="shared" si="260"/>
        <v>96.509910433049768</v>
      </c>
      <c r="AW139" s="446">
        <f t="shared" si="261"/>
        <v>91.712404243313884</v>
      </c>
      <c r="AX139" s="446">
        <f t="shared" si="262"/>
        <v>99.934609704335784</v>
      </c>
      <c r="AY139" s="446">
        <f t="shared" si="263"/>
        <v>90.779322898516881</v>
      </c>
      <c r="BA139" s="759"/>
      <c r="BB139" s="760" t="s">
        <v>544</v>
      </c>
      <c r="BC139" s="497">
        <f t="shared" si="264"/>
        <v>8.3804941515657904E-4</v>
      </c>
      <c r="BD139" s="497">
        <f t="shared" si="264"/>
        <v>4.084130084716967E-3</v>
      </c>
      <c r="BE139" s="497">
        <f t="shared" si="264"/>
        <v>1.0984243371000553E-2</v>
      </c>
      <c r="BF139" s="497">
        <f t="shared" si="264"/>
        <v>2.4665684025169426E-2</v>
      </c>
      <c r="BG139" s="719"/>
      <c r="BH139" s="720"/>
      <c r="BI139" s="759"/>
      <c r="BJ139" s="760" t="s">
        <v>544</v>
      </c>
      <c r="BK139" s="496">
        <f t="shared" si="265"/>
        <v>8.4536958453253707E-4</v>
      </c>
      <c r="BL139" s="496">
        <f t="shared" si="266"/>
        <v>4.0645883796721479E-3</v>
      </c>
      <c r="BM139" s="496">
        <f t="shared" si="267"/>
        <v>1.1698442900674805E-2</v>
      </c>
      <c r="BN139" s="495">
        <f t="shared" si="268"/>
        <v>2.2922900221559125E-2</v>
      </c>
      <c r="BO139" s="721"/>
      <c r="BP139" s="759"/>
      <c r="BQ139" s="760" t="s">
        <v>544</v>
      </c>
      <c r="BR139" s="446">
        <f t="shared" si="271"/>
        <v>8.6835581071018115</v>
      </c>
      <c r="BS139" s="446">
        <f t="shared" si="271"/>
        <v>44.53192693413348</v>
      </c>
      <c r="BT139" s="446">
        <f t="shared" si="271"/>
        <v>109.9143070003303</v>
      </c>
      <c r="BU139" s="761">
        <f t="shared" si="271"/>
        <v>271.71037674232758</v>
      </c>
      <c r="BV139" s="721"/>
      <c r="BW139" s="821"/>
    </row>
    <row r="140" spans="1:75" x14ac:dyDescent="0.35">
      <c r="A140" s="988"/>
      <c r="G140" s="747"/>
      <c r="H140" s="767"/>
      <c r="I140" s="765" t="s">
        <v>404</v>
      </c>
      <c r="J140" s="486">
        <f t="shared" si="246"/>
        <v>7421.9443708286681</v>
      </c>
      <c r="K140" s="486">
        <f t="shared" si="247"/>
        <v>7935.6725846268446</v>
      </c>
      <c r="L140" s="486">
        <f t="shared" si="248"/>
        <v>7043.5176834154809</v>
      </c>
      <c r="M140" s="485">
        <f t="shared" si="249"/>
        <v>7882.8925880698143</v>
      </c>
      <c r="N140" s="747"/>
      <c r="O140" s="767"/>
      <c r="P140" s="765" t="s">
        <v>404</v>
      </c>
      <c r="Q140" s="509">
        <v>112.96132059627642</v>
      </c>
      <c r="R140" s="484">
        <f t="shared" si="250"/>
        <v>132.73234119340671</v>
      </c>
      <c r="S140" s="484">
        <f t="shared" si="251"/>
        <v>124.99951758177504</v>
      </c>
      <c r="T140" s="484">
        <f t="shared" si="252"/>
        <v>125.63177963834215</v>
      </c>
      <c r="U140" s="484">
        <f t="shared" si="253"/>
        <v>117.61379237551169</v>
      </c>
      <c r="W140" s="767"/>
      <c r="X140" s="765" t="s">
        <v>404</v>
      </c>
      <c r="Y140" s="480">
        <f t="shared" si="254"/>
        <v>0.98513205254731506</v>
      </c>
      <c r="Z140" s="480">
        <f t="shared" si="254"/>
        <v>0.9919552447652733</v>
      </c>
      <c r="AA140" s="480">
        <f t="shared" si="254"/>
        <v>0.88488966148161985</v>
      </c>
      <c r="AB140" s="480">
        <f t="shared" si="254"/>
        <v>0.92713689217170314</v>
      </c>
      <c r="AC140" s="716"/>
      <c r="AD140" s="767"/>
      <c r="AE140" s="765" t="s">
        <v>404</v>
      </c>
      <c r="AF140" s="509">
        <v>112.96132059627642</v>
      </c>
      <c r="AG140" s="484">
        <f t="shared" si="255"/>
        <v>79.179529495274338</v>
      </c>
      <c r="AH140" s="484">
        <f t="shared" si="256"/>
        <v>75.17344571435369</v>
      </c>
      <c r="AI140" s="484">
        <f t="shared" si="257"/>
        <v>78.914443888570133</v>
      </c>
      <c r="AJ140" s="484">
        <f t="shared" si="258"/>
        <v>74.412495604538933</v>
      </c>
      <c r="AL140" s="767"/>
      <c r="AM140" s="765" t="s">
        <v>404</v>
      </c>
      <c r="AN140" s="483">
        <f t="shared" si="270"/>
        <v>0.58766606322231385</v>
      </c>
      <c r="AO140" s="483">
        <f t="shared" si="270"/>
        <v>0.59655185224733098</v>
      </c>
      <c r="AP140" s="483">
        <f t="shared" si="270"/>
        <v>0.5558352810060424</v>
      </c>
      <c r="AQ140" s="483">
        <f t="shared" si="270"/>
        <v>0.58658571006079752</v>
      </c>
      <c r="AS140" s="767"/>
      <c r="AT140" s="765" t="s">
        <v>404</v>
      </c>
      <c r="AU140" s="509">
        <v>186.09801602192732</v>
      </c>
      <c r="AV140" s="484">
        <f t="shared" si="260"/>
        <v>211.91187068868106</v>
      </c>
      <c r="AW140" s="484">
        <f t="shared" si="261"/>
        <v>200.17296329612876</v>
      </c>
      <c r="AX140" s="484">
        <f t="shared" si="262"/>
        <v>204.54622352691231</v>
      </c>
      <c r="AY140" s="484">
        <f t="shared" si="263"/>
        <v>192.02628798005065</v>
      </c>
      <c r="BA140" s="767"/>
      <c r="BB140" s="765" t="s">
        <v>404</v>
      </c>
      <c r="BC140" s="483">
        <f t="shared" si="264"/>
        <v>1.5727981157696289</v>
      </c>
      <c r="BD140" s="483">
        <f t="shared" si="264"/>
        <v>1.5885070970126045</v>
      </c>
      <c r="BE140" s="483">
        <f t="shared" si="264"/>
        <v>1.4407249424876625</v>
      </c>
      <c r="BF140" s="483">
        <f t="shared" si="264"/>
        <v>1.513722602232501</v>
      </c>
      <c r="BG140" s="719"/>
      <c r="BH140" s="720" t="s">
        <v>548</v>
      </c>
      <c r="BI140" s="767"/>
      <c r="BJ140" s="765" t="s">
        <v>404</v>
      </c>
      <c r="BK140" s="482">
        <f t="shared" si="265"/>
        <v>0.72254782564990661</v>
      </c>
      <c r="BL140" s="482">
        <f t="shared" si="266"/>
        <v>0.72431724367250871</v>
      </c>
      <c r="BM140" s="482">
        <f t="shared" si="267"/>
        <v>0.74965845382695873</v>
      </c>
      <c r="BN140" s="481">
        <f t="shared" si="268"/>
        <v>0.66504180819327074</v>
      </c>
      <c r="BO140" s="721"/>
      <c r="BP140" s="767"/>
      <c r="BQ140" s="765" t="s">
        <v>404</v>
      </c>
      <c r="BR140" s="484">
        <f t="shared" si="271"/>
        <v>7421.9443708286672</v>
      </c>
      <c r="BS140" s="484">
        <f t="shared" si="271"/>
        <v>7935.6725846268437</v>
      </c>
      <c r="BT140" s="484">
        <f t="shared" si="271"/>
        <v>7043.51768341548</v>
      </c>
      <c r="BU140" s="766">
        <f t="shared" si="271"/>
        <v>7882.8925880698134</v>
      </c>
      <c r="BV140" s="721"/>
      <c r="BW140" s="821"/>
    </row>
    <row r="141" spans="1:75" x14ac:dyDescent="0.35">
      <c r="A141" s="988"/>
      <c r="G141" s="747"/>
      <c r="H141" s="755" t="s">
        <v>591</v>
      </c>
      <c r="I141" s="768"/>
      <c r="J141" s="508">
        <f t="shared" si="246"/>
        <v>1668.5816398536629</v>
      </c>
      <c r="K141" s="508">
        <f t="shared" si="247"/>
        <v>1748.4699707336783</v>
      </c>
      <c r="L141" s="508">
        <f t="shared" si="248"/>
        <v>1300.4674520935714</v>
      </c>
      <c r="M141" s="507">
        <f t="shared" si="249"/>
        <v>2159.1660271824894</v>
      </c>
      <c r="N141" s="747"/>
      <c r="O141" s="755" t="s">
        <v>591</v>
      </c>
      <c r="P141" s="768"/>
      <c r="Q141" s="505"/>
      <c r="R141" s="506">
        <f t="shared" si="250"/>
        <v>5.1854037186699765E-2</v>
      </c>
      <c r="S141" s="506">
        <f t="shared" si="251"/>
        <v>5.1854048595702799E-2</v>
      </c>
      <c r="T141" s="506">
        <f t="shared" si="252"/>
        <v>5.2068550477772244E-2</v>
      </c>
      <c r="U141" s="506">
        <f t="shared" si="253"/>
        <v>5.1854009775598613E-2</v>
      </c>
      <c r="W141" s="755" t="s">
        <v>591</v>
      </c>
      <c r="X141" s="768"/>
      <c r="Y141" s="470">
        <f t="shared" si="254"/>
        <v>8.6522694402016312E-5</v>
      </c>
      <c r="Z141" s="470">
        <f t="shared" si="254"/>
        <v>9.066524683055121E-5</v>
      </c>
      <c r="AA141" s="470">
        <f t="shared" si="254"/>
        <v>6.7713455174033983E-5</v>
      </c>
      <c r="AB141" s="470">
        <f t="shared" si="254"/>
        <v>1.1196141628066122E-4</v>
      </c>
      <c r="AC141" s="716"/>
      <c r="AD141" s="755" t="s">
        <v>591</v>
      </c>
      <c r="AE141" s="768"/>
      <c r="AF141" s="505"/>
      <c r="AG141" s="504">
        <f t="shared" si="255"/>
        <v>6.9734980231831685</v>
      </c>
      <c r="AH141" s="504">
        <f t="shared" si="256"/>
        <v>6.9734982045578322</v>
      </c>
      <c r="AI141" s="504">
        <f t="shared" si="257"/>
        <v>6.9769082489300001</v>
      </c>
      <c r="AJ141" s="504">
        <f t="shared" si="258"/>
        <v>6.9734975874150997</v>
      </c>
      <c r="AL141" s="755" t="s">
        <v>591</v>
      </c>
      <c r="AM141" s="768"/>
      <c r="AN141" s="503">
        <f t="shared" si="270"/>
        <v>1.1635850767039248E-2</v>
      </c>
      <c r="AO141" s="503">
        <f t="shared" si="270"/>
        <v>1.2192952201634591E-2</v>
      </c>
      <c r="AP141" s="503">
        <f t="shared" si="270"/>
        <v>9.0732420939766186E-3</v>
      </c>
      <c r="AQ141" s="503">
        <f t="shared" si="270"/>
        <v>1.5056939081385735E-2</v>
      </c>
      <c r="AS141" s="755" t="s">
        <v>591</v>
      </c>
      <c r="AT141" s="768"/>
      <c r="AU141" s="505"/>
      <c r="AV141" s="504">
        <f t="shared" si="260"/>
        <v>7.025352060369868</v>
      </c>
      <c r="AW141" s="504">
        <f t="shared" si="261"/>
        <v>7.0253522531535362</v>
      </c>
      <c r="AX141" s="504">
        <f t="shared" si="262"/>
        <v>7.0289767994077721</v>
      </c>
      <c r="AY141" s="504">
        <f t="shared" si="263"/>
        <v>7.0253515971906975</v>
      </c>
      <c r="BA141" s="755" t="s">
        <v>591</v>
      </c>
      <c r="BB141" s="768"/>
      <c r="BC141" s="503">
        <f t="shared" si="264"/>
        <v>1.1722373461441263E-2</v>
      </c>
      <c r="BD141" s="503">
        <f t="shared" si="264"/>
        <v>1.2283617448465144E-2</v>
      </c>
      <c r="BE141" s="503">
        <f t="shared" si="264"/>
        <v>9.1409555491506513E-3</v>
      </c>
      <c r="BF141" s="503">
        <f t="shared" si="264"/>
        <v>1.5168900497666395E-2</v>
      </c>
      <c r="BG141" s="719"/>
      <c r="BH141" s="720" t="str">
        <f>BI141</f>
        <v>Train</v>
      </c>
      <c r="BI141" s="755" t="s">
        <v>591</v>
      </c>
      <c r="BJ141" s="768"/>
      <c r="BK141" s="502">
        <f t="shared" si="265"/>
        <v>0.16244126546329932</v>
      </c>
      <c r="BL141" s="502">
        <f t="shared" si="266"/>
        <v>0.15958911312688959</v>
      </c>
      <c r="BM141" s="502">
        <f t="shared" si="267"/>
        <v>0.13841186509465936</v>
      </c>
      <c r="BN141" s="501">
        <f t="shared" si="268"/>
        <v>0.18215847328430021</v>
      </c>
      <c r="BO141" s="721"/>
      <c r="BP141" s="755" t="s">
        <v>591</v>
      </c>
      <c r="BQ141" s="768"/>
      <c r="BR141" s="448">
        <f t="shared" si="271"/>
        <v>1668.5816398536626</v>
      </c>
      <c r="BS141" s="448">
        <f t="shared" si="271"/>
        <v>1748.4699707336783</v>
      </c>
      <c r="BT141" s="448">
        <f t="shared" si="271"/>
        <v>1300.4674520935714</v>
      </c>
      <c r="BU141" s="757">
        <f t="shared" si="271"/>
        <v>2159.1660271824899</v>
      </c>
      <c r="BV141" s="721"/>
      <c r="BW141" s="821"/>
    </row>
    <row r="142" spans="1:75" x14ac:dyDescent="0.35">
      <c r="A142" s="988"/>
      <c r="G142" s="747"/>
      <c r="H142" s="759" t="s">
        <v>590</v>
      </c>
      <c r="J142" s="500">
        <f t="shared" si="246"/>
        <v>292.1976612729049</v>
      </c>
      <c r="K142" s="500">
        <f t="shared" si="247"/>
        <v>333.16208568702518</v>
      </c>
      <c r="L142" s="500">
        <f t="shared" si="248"/>
        <v>267.38044574783794</v>
      </c>
      <c r="M142" s="499">
        <f t="shared" si="249"/>
        <v>711.09620978917371</v>
      </c>
      <c r="N142" s="747"/>
      <c r="O142" s="759" t="s">
        <v>590</v>
      </c>
      <c r="Q142" s="446"/>
      <c r="R142" s="498">
        <f t="shared" si="250"/>
        <v>57.599070701974043</v>
      </c>
      <c r="S142" s="498">
        <f t="shared" si="251"/>
        <v>57.619928158798984</v>
      </c>
      <c r="T142" s="498">
        <f t="shared" si="252"/>
        <v>61.413031281043246</v>
      </c>
      <c r="U142" s="498">
        <f t="shared" si="253"/>
        <v>57.642402506598977</v>
      </c>
      <c r="W142" s="759" t="s">
        <v>590</v>
      </c>
      <c r="Y142" s="479">
        <f t="shared" si="254"/>
        <v>1.6830313750609512E-2</v>
      </c>
      <c r="Z142" s="479">
        <f t="shared" si="254"/>
        <v>1.9196775442522022E-2</v>
      </c>
      <c r="AA142" s="479">
        <f t="shared" si="254"/>
        <v>1.6420643678651255E-2</v>
      </c>
      <c r="AB142" s="479">
        <f t="shared" si="254"/>
        <v>4.0989293945584496E-2</v>
      </c>
      <c r="AC142" s="716"/>
      <c r="AD142" s="759" t="s">
        <v>590</v>
      </c>
      <c r="AF142" s="446"/>
      <c r="AG142" s="498">
        <f t="shared" si="255"/>
        <v>25.07052112345373</v>
      </c>
      <c r="AH142" s="498">
        <f t="shared" si="256"/>
        <v>25.077119400352895</v>
      </c>
      <c r="AI142" s="498">
        <f t="shared" si="257"/>
        <v>26.277071288912754</v>
      </c>
      <c r="AJ142" s="498">
        <f t="shared" si="258"/>
        <v>25.084229182295967</v>
      </c>
      <c r="AL142" s="759" t="s">
        <v>590</v>
      </c>
      <c r="AN142" s="497">
        <f t="shared" si="270"/>
        <v>7.325547639166141E-3</v>
      </c>
      <c r="AO142" s="497">
        <f t="shared" si="270"/>
        <v>8.3547454024441338E-3</v>
      </c>
      <c r="AP142" s="497">
        <f t="shared" si="270"/>
        <v>7.0259750341772065E-3</v>
      </c>
      <c r="AQ142" s="497">
        <f t="shared" si="270"/>
        <v>1.7837300297013647E-2</v>
      </c>
      <c r="AS142" s="759" t="s">
        <v>590</v>
      </c>
      <c r="AU142" s="446"/>
      <c r="AV142" s="498">
        <f t="shared" si="260"/>
        <v>82.669591825427787</v>
      </c>
      <c r="AW142" s="498">
        <f t="shared" si="261"/>
        <v>82.697047559151883</v>
      </c>
      <c r="AX142" s="498">
        <f t="shared" si="262"/>
        <v>87.690102569955997</v>
      </c>
      <c r="AY142" s="498">
        <f t="shared" si="263"/>
        <v>82.72663168889494</v>
      </c>
      <c r="BA142" s="759" t="s">
        <v>590</v>
      </c>
      <c r="BC142" s="497">
        <f t="shared" si="264"/>
        <v>2.4155861389775657E-2</v>
      </c>
      <c r="BD142" s="497">
        <f t="shared" si="264"/>
        <v>2.7551520844966159E-2</v>
      </c>
      <c r="BE142" s="497">
        <f t="shared" si="264"/>
        <v>2.3446618712828462E-2</v>
      </c>
      <c r="BF142" s="497">
        <f t="shared" si="264"/>
        <v>5.8826594242598139E-2</v>
      </c>
      <c r="BG142" s="719"/>
      <c r="BH142" s="720" t="str">
        <f>BI142</f>
        <v>Bus</v>
      </c>
      <c r="BI142" s="759" t="s">
        <v>590</v>
      </c>
      <c r="BK142" s="496">
        <f t="shared" si="265"/>
        <v>2.8446290387535312E-2</v>
      </c>
      <c r="BL142" s="496">
        <f t="shared" si="266"/>
        <v>3.040889616193225E-2</v>
      </c>
      <c r="BM142" s="496">
        <f t="shared" si="267"/>
        <v>2.845794112434025E-2</v>
      </c>
      <c r="BN142" s="495">
        <f t="shared" si="268"/>
        <v>5.9991773815780067E-2</v>
      </c>
      <c r="BO142" s="721"/>
      <c r="BP142" s="759" t="s">
        <v>590</v>
      </c>
      <c r="BR142" s="446">
        <f t="shared" si="271"/>
        <v>292.19766127290495</v>
      </c>
      <c r="BS142" s="446">
        <f t="shared" si="271"/>
        <v>333.16208568702518</v>
      </c>
      <c r="BT142" s="446">
        <f t="shared" si="271"/>
        <v>267.38044574783794</v>
      </c>
      <c r="BU142" s="761">
        <f t="shared" si="271"/>
        <v>711.09620978917371</v>
      </c>
      <c r="BV142" s="721"/>
      <c r="BW142" s="821"/>
    </row>
    <row r="143" spans="1:75" x14ac:dyDescent="0.35">
      <c r="A143" s="988"/>
      <c r="G143" s="747"/>
      <c r="H143" s="764" t="s">
        <v>492</v>
      </c>
      <c r="I143" s="769"/>
      <c r="J143" s="494">
        <f t="shared" si="246"/>
        <v>82.675194056763488</v>
      </c>
      <c r="K143" s="494">
        <f t="shared" si="247"/>
        <v>99.106997618185133</v>
      </c>
      <c r="L143" s="494">
        <f t="shared" si="248"/>
        <v>66.022152046039665</v>
      </c>
      <c r="M143" s="493">
        <f t="shared" si="249"/>
        <v>107.18232357862142</v>
      </c>
      <c r="N143" s="747"/>
      <c r="O143" s="764" t="s">
        <v>492</v>
      </c>
      <c r="P143" s="769"/>
      <c r="Q143" s="491"/>
      <c r="R143" s="492">
        <f t="shared" si="250"/>
        <v>0.18742182767857099</v>
      </c>
      <c r="S143" s="492">
        <f t="shared" si="251"/>
        <v>0.18742182767857099</v>
      </c>
      <c r="T143" s="492">
        <f t="shared" si="252"/>
        <v>0.18742182767857105</v>
      </c>
      <c r="U143" s="492">
        <f t="shared" si="253"/>
        <v>0.18742182767857096</v>
      </c>
      <c r="W143" s="764" t="s">
        <v>492</v>
      </c>
      <c r="X143" s="769"/>
      <c r="Y143" s="478">
        <f t="shared" si="254"/>
        <v>1.5495135973799142E-5</v>
      </c>
      <c r="Z143" s="478">
        <f t="shared" si="254"/>
        <v>1.8574814629336039E-5</v>
      </c>
      <c r="AA143" s="478">
        <f t="shared" si="254"/>
        <v>1.2373992403741263E-5</v>
      </c>
      <c r="AB143" s="478">
        <f t="shared" si="254"/>
        <v>2.0088306979941218E-5</v>
      </c>
      <c r="AC143" s="716"/>
      <c r="AD143" s="764" t="s">
        <v>492</v>
      </c>
      <c r="AE143" s="769"/>
      <c r="AF143" s="491"/>
      <c r="AG143" s="490">
        <f t="shared" si="255"/>
        <v>36.015470702126628</v>
      </c>
      <c r="AH143" s="490">
        <f t="shared" si="256"/>
        <v>36.015470702126628</v>
      </c>
      <c r="AI143" s="490">
        <f t="shared" si="257"/>
        <v>36.015470702126628</v>
      </c>
      <c r="AJ143" s="490">
        <f t="shared" si="258"/>
        <v>36.01547070212662</v>
      </c>
      <c r="AL143" s="764" t="s">
        <v>492</v>
      </c>
      <c r="AM143" s="769"/>
      <c r="AN143" s="489">
        <f t="shared" si="270"/>
        <v>2.977586029343999E-3</v>
      </c>
      <c r="AO143" s="489">
        <f t="shared" si="270"/>
        <v>3.5693851690934801E-3</v>
      </c>
      <c r="AP143" s="489">
        <f t="shared" si="270"/>
        <v>2.377818882705491E-3</v>
      </c>
      <c r="AQ143" s="489">
        <f t="shared" si="270"/>
        <v>3.8602218346316954E-3</v>
      </c>
      <c r="AS143" s="764" t="s">
        <v>492</v>
      </c>
      <c r="AT143" s="769"/>
      <c r="AU143" s="491"/>
      <c r="AV143" s="490">
        <f t="shared" si="260"/>
        <v>36.202892529805197</v>
      </c>
      <c r="AW143" s="490">
        <f t="shared" si="261"/>
        <v>36.202892529805204</v>
      </c>
      <c r="AX143" s="490">
        <f t="shared" si="262"/>
        <v>36.20289252980519</v>
      </c>
      <c r="AY143" s="490">
        <f t="shared" si="263"/>
        <v>36.202892529805197</v>
      </c>
      <c r="BA143" s="764" t="s">
        <v>492</v>
      </c>
      <c r="BB143" s="769"/>
      <c r="BC143" s="489">
        <f t="shared" si="264"/>
        <v>2.9930811653177979E-3</v>
      </c>
      <c r="BD143" s="489">
        <f t="shared" si="264"/>
        <v>3.5879599837228167E-3</v>
      </c>
      <c r="BE143" s="489">
        <f t="shared" si="264"/>
        <v>2.3901928751092322E-3</v>
      </c>
      <c r="BF143" s="489">
        <f t="shared" si="264"/>
        <v>3.880310141611637E-3</v>
      </c>
      <c r="BG143" s="719"/>
      <c r="BH143" s="720" t="str">
        <f>BI143</f>
        <v>Tram/métro</v>
      </c>
      <c r="BI143" s="764" t="s">
        <v>492</v>
      </c>
      <c r="BJ143" s="769"/>
      <c r="BK143" s="488">
        <f t="shared" si="265"/>
        <v>8.0486700945494784E-3</v>
      </c>
      <c r="BL143" s="488">
        <f t="shared" si="266"/>
        <v>9.0458504402670305E-3</v>
      </c>
      <c r="BM143" s="488">
        <f t="shared" si="267"/>
        <v>7.0268957424072572E-3</v>
      </c>
      <c r="BN143" s="487">
        <f t="shared" si="268"/>
        <v>9.0424581437226256E-3</v>
      </c>
      <c r="BO143" s="721"/>
      <c r="BP143" s="764" t="s">
        <v>492</v>
      </c>
      <c r="BQ143" s="769"/>
      <c r="BR143" s="445">
        <f t="shared" si="271"/>
        <v>82.675194056763473</v>
      </c>
      <c r="BS143" s="445">
        <f t="shared" si="271"/>
        <v>99.106997618185133</v>
      </c>
      <c r="BT143" s="445">
        <f t="shared" si="271"/>
        <v>66.022152046039679</v>
      </c>
      <c r="BU143" s="770">
        <f t="shared" si="271"/>
        <v>107.18232357862142</v>
      </c>
      <c r="BV143" s="721"/>
      <c r="BW143" s="821"/>
    </row>
    <row r="144" spans="1:75" x14ac:dyDescent="0.35">
      <c r="A144" s="988"/>
      <c r="G144" s="747"/>
      <c r="H144" s="771" t="s">
        <v>7</v>
      </c>
      <c r="I144" s="772"/>
      <c r="J144" s="486">
        <f t="shared" si="246"/>
        <v>10271.907418935054</v>
      </c>
      <c r="K144" s="486">
        <f t="shared" si="247"/>
        <v>10956.072983145577</v>
      </c>
      <c r="L144" s="486">
        <f t="shared" si="248"/>
        <v>9395.6356357468812</v>
      </c>
      <c r="M144" s="485">
        <f t="shared" si="249"/>
        <v>11853.228610522081</v>
      </c>
      <c r="N144" s="747"/>
      <c r="O144" s="771" t="s">
        <v>7</v>
      </c>
      <c r="P144" s="772"/>
      <c r="Q144" s="484"/>
      <c r="R144" s="484">
        <f t="shared" si="250"/>
        <v>99.328466016645422</v>
      </c>
      <c r="S144" s="484">
        <f t="shared" si="251"/>
        <v>94.06453256740437</v>
      </c>
      <c r="T144" s="484">
        <f t="shared" si="252"/>
        <v>97.098804683166662</v>
      </c>
      <c r="U144" s="484">
        <f t="shared" si="253"/>
        <v>83.342920344916564</v>
      </c>
      <c r="W144" s="773" t="s">
        <v>7</v>
      </c>
      <c r="X144" s="774"/>
      <c r="Y144" s="476">
        <f>(Y36+Y97+Y118)/10^6</f>
        <v>1.0202928069878185</v>
      </c>
      <c r="Z144" s="476">
        <f t="shared" ref="Z144:AB144" si="272">(Z36+Z97+Z118)/10^6</f>
        <v>1.0305778839339563</v>
      </c>
      <c r="AA144" s="476">
        <f t="shared" si="272"/>
        <v>0.91230498946958694</v>
      </c>
      <c r="AB144" s="476">
        <f t="shared" si="272"/>
        <v>0.98788268791682776</v>
      </c>
      <c r="AC144" s="716"/>
      <c r="AD144" s="771" t="s">
        <v>7</v>
      </c>
      <c r="AE144" s="772"/>
      <c r="AF144" s="484"/>
      <c r="AG144" s="484">
        <f t="shared" si="255"/>
        <v>60.581110953847443</v>
      </c>
      <c r="AH144" s="484">
        <f t="shared" si="256"/>
        <v>57.865646080875166</v>
      </c>
      <c r="AI144" s="484">
        <f t="shared" si="257"/>
        <v>62.076965185855329</v>
      </c>
      <c r="AJ144" s="484">
        <f t="shared" si="258"/>
        <v>53.787469517853239</v>
      </c>
      <c r="AL144" s="771" t="s">
        <v>7</v>
      </c>
      <c r="AM144" s="772"/>
      <c r="AN144" s="483">
        <f t="shared" si="270"/>
        <v>0.62228356305415322</v>
      </c>
      <c r="AO144" s="483">
        <f t="shared" si="270"/>
        <v>0.63398024167894018</v>
      </c>
      <c r="AP144" s="483">
        <f t="shared" si="270"/>
        <v>0.58325254625924083</v>
      </c>
      <c r="AQ144" s="483">
        <f t="shared" si="270"/>
        <v>0.63755517257660232</v>
      </c>
      <c r="AS144" s="771" t="s">
        <v>7</v>
      </c>
      <c r="AT144" s="772"/>
      <c r="AU144" s="484"/>
      <c r="AV144" s="484">
        <f t="shared" si="260"/>
        <v>159.90957697049279</v>
      </c>
      <c r="AW144" s="484">
        <f t="shared" si="261"/>
        <v>151.93017864827959</v>
      </c>
      <c r="AX144" s="484">
        <f t="shared" si="262"/>
        <v>159.17576986902202</v>
      </c>
      <c r="AY144" s="484">
        <f t="shared" si="263"/>
        <v>137.13038986276979</v>
      </c>
      <c r="BA144" s="771" t="s">
        <v>7</v>
      </c>
      <c r="BB144" s="772"/>
      <c r="BC144" s="483">
        <f t="shared" ref="BC144:BF144" si="273">(BC36+BC97+BC118)/10^6</f>
        <v>1.6425763700419711</v>
      </c>
      <c r="BD144" s="483">
        <f t="shared" si="273"/>
        <v>1.6645581256128972</v>
      </c>
      <c r="BE144" s="483">
        <f t="shared" si="273"/>
        <v>1.495557535728828</v>
      </c>
      <c r="BF144" s="483">
        <f t="shared" si="273"/>
        <v>1.6254378604934301</v>
      </c>
      <c r="BG144" s="719"/>
      <c r="BH144" s="720"/>
      <c r="BI144" s="771" t="s">
        <v>7</v>
      </c>
      <c r="BJ144" s="772"/>
      <c r="BK144" s="482">
        <f t="shared" si="265"/>
        <v>1</v>
      </c>
      <c r="BL144" s="482">
        <f t="shared" si="266"/>
        <v>1</v>
      </c>
      <c r="BM144" s="482">
        <f t="shared" si="267"/>
        <v>1</v>
      </c>
      <c r="BN144" s="481">
        <f t="shared" si="268"/>
        <v>1</v>
      </c>
      <c r="BO144" s="721"/>
      <c r="BP144" s="771" t="s">
        <v>7</v>
      </c>
      <c r="BQ144" s="772"/>
      <c r="BR144" s="484">
        <f t="shared" si="271"/>
        <v>10271.907418935054</v>
      </c>
      <c r="BS144" s="484">
        <f t="shared" si="271"/>
        <v>10956.072983145577</v>
      </c>
      <c r="BT144" s="484">
        <f t="shared" si="271"/>
        <v>9395.6356357468812</v>
      </c>
      <c r="BU144" s="782">
        <f t="shared" si="271"/>
        <v>11853.228610522081</v>
      </c>
      <c r="BV144" s="721"/>
      <c r="BW144" s="821"/>
    </row>
    <row r="145" spans="1:75" x14ac:dyDescent="0.35">
      <c r="A145" s="988"/>
      <c r="G145" s="747"/>
      <c r="J145" s="758">
        <f t="shared" ref="J145:M145" si="274">J144/$J144-1</f>
        <v>0</v>
      </c>
      <c r="K145" s="758">
        <f>K144/$J144-1</f>
        <v>6.6605503370225527E-2</v>
      </c>
      <c r="L145" s="758">
        <f t="shared" si="274"/>
        <v>-8.5307601348983075E-2</v>
      </c>
      <c r="M145" s="758">
        <f t="shared" si="274"/>
        <v>0.1539462075633633</v>
      </c>
      <c r="N145" s="747"/>
      <c r="Y145" s="758">
        <f>Y144/$Y144-1</f>
        <v>0</v>
      </c>
      <c r="Z145" s="758">
        <f t="shared" ref="Z145:AB145" si="275">Z144/$Y144-1</f>
        <v>1.0080515000886914E-2</v>
      </c>
      <c r="AA145" s="758">
        <f t="shared" si="275"/>
        <v>-0.10584002629308054</v>
      </c>
      <c r="AB145" s="758">
        <f t="shared" si="275"/>
        <v>-3.1765507753283351E-2</v>
      </c>
      <c r="AC145" s="716"/>
      <c r="AN145" s="758">
        <f>AN144/$AN144-1</f>
        <v>0</v>
      </c>
      <c r="AO145" s="758">
        <f t="shared" ref="AO145:AQ145" si="276">AO144/$AN144-1</f>
        <v>1.8796380491523657E-2</v>
      </c>
      <c r="AP145" s="758">
        <f t="shared" si="276"/>
        <v>-6.2722236472628423E-2</v>
      </c>
      <c r="AQ145" s="758">
        <f t="shared" si="276"/>
        <v>2.454123880035719E-2</v>
      </c>
      <c r="BC145" s="758">
        <f>BC144/$BC144-1</f>
        <v>0</v>
      </c>
      <c r="BD145" s="758">
        <f t="shared" ref="BD145:BF145" si="277">BD144/$BC144-1</f>
        <v>1.3382486179540187E-2</v>
      </c>
      <c r="BE145" s="758">
        <f t="shared" si="277"/>
        <v>-8.9505022107061238E-2</v>
      </c>
      <c r="BF145" s="758">
        <f t="shared" si="277"/>
        <v>-1.0433919457944696E-2</v>
      </c>
      <c r="BG145" s="719"/>
      <c r="BH145" s="720" t="str">
        <f>BI145</f>
        <v>TP</v>
      </c>
      <c r="BI145" s="776" t="s">
        <v>600</v>
      </c>
      <c r="BJ145" s="765" t="s">
        <v>404</v>
      </c>
      <c r="BK145" s="777">
        <f>SUM(BK141:BK143)</f>
        <v>0.19893622594538413</v>
      </c>
      <c r="BL145" s="777">
        <f>SUM(BL141:BL143)</f>
        <v>0.19904385972908886</v>
      </c>
      <c r="BM145" s="777">
        <f t="shared" ref="BM145" si="278">SUM(BM141:BM143)</f>
        <v>0.17389670196140686</v>
      </c>
      <c r="BN145" s="778">
        <f>SUM(BN141:BN143)</f>
        <v>0.25119270524380288</v>
      </c>
      <c r="BO145" s="721"/>
      <c r="BP145" s="776" t="s">
        <v>600</v>
      </c>
      <c r="BQ145" s="765" t="s">
        <v>404</v>
      </c>
      <c r="BR145" s="779">
        <f>SUM(BR141:BR143)</f>
        <v>2043.4544951833311</v>
      </c>
      <c r="BS145" s="779">
        <f>SUM(BS141:BS143)</f>
        <v>2180.7390540388888</v>
      </c>
      <c r="BT145" s="779">
        <f t="shared" ref="BT145" si="279">SUM(BT141:BT143)</f>
        <v>1633.8700498874491</v>
      </c>
      <c r="BU145" s="780">
        <f>SUM(BU141:BU143)</f>
        <v>2977.4445605502851</v>
      </c>
      <c r="BV145" s="721"/>
      <c r="BW145" s="821"/>
    </row>
    <row r="146" spans="1:75" x14ac:dyDescent="0.35">
      <c r="A146" s="988"/>
      <c r="B146" s="716"/>
      <c r="C146" s="716"/>
      <c r="D146" s="716"/>
      <c r="E146" s="716"/>
      <c r="F146" s="716"/>
      <c r="G146" s="716"/>
      <c r="H146" s="716"/>
      <c r="I146" s="716"/>
      <c r="J146" s="822"/>
      <c r="K146" s="822"/>
      <c r="L146" s="822"/>
      <c r="M146" s="822"/>
      <c r="N146" s="716"/>
      <c r="O146" s="716"/>
      <c r="P146" s="716"/>
      <c r="Q146" s="716"/>
      <c r="R146" s="716"/>
      <c r="S146" s="716"/>
      <c r="T146" s="716"/>
      <c r="U146" s="716"/>
      <c r="V146" s="716"/>
      <c r="W146" s="716"/>
      <c r="X146" s="716"/>
      <c r="Y146" s="823">
        <f>ROUND(Y131+Y134+Y140+SUM(Y141:Y143)-Y144,-2)</f>
        <v>0</v>
      </c>
      <c r="Z146" s="823">
        <f t="shared" ref="Z146:AB146" si="280">ROUND(Z131+Z134+Z140+SUM(Z141:Z143)-Z144,-2)</f>
        <v>0</v>
      </c>
      <c r="AA146" s="823">
        <f t="shared" si="280"/>
        <v>0</v>
      </c>
      <c r="AB146" s="823">
        <f t="shared" si="280"/>
        <v>0</v>
      </c>
      <c r="AC146" s="716"/>
      <c r="AD146" s="716"/>
      <c r="AE146" s="716"/>
      <c r="AF146" s="716"/>
      <c r="AG146" s="716"/>
      <c r="AH146" s="716"/>
      <c r="AI146" s="716"/>
      <c r="AJ146" s="716"/>
      <c r="AK146" s="716"/>
      <c r="AL146" s="716"/>
      <c r="AM146" s="716"/>
      <c r="AN146" s="824">
        <f t="shared" ref="AN146:AQ146" si="281">AN131+AN134+AN140+SUM(AN141:AN143)</f>
        <v>0.62228356305415322</v>
      </c>
      <c r="AO146" s="824">
        <f t="shared" si="281"/>
        <v>0.63398024167894018</v>
      </c>
      <c r="AP146" s="824">
        <f t="shared" si="281"/>
        <v>0.58325254625924083</v>
      </c>
      <c r="AQ146" s="824">
        <f t="shared" si="281"/>
        <v>0.63755517257660232</v>
      </c>
      <c r="AR146" s="716"/>
      <c r="AS146" s="716"/>
      <c r="AT146" s="716"/>
      <c r="AU146" s="716"/>
      <c r="AV146" s="716"/>
      <c r="AW146" s="716"/>
      <c r="AX146" s="716"/>
      <c r="AY146" s="716"/>
      <c r="AZ146" s="716"/>
      <c r="BA146" s="716"/>
      <c r="BB146" s="716"/>
      <c r="BC146" s="824">
        <f>BC131+BC134+BC140+SUM(BC141:BC143)</f>
        <v>1.6425763700419718</v>
      </c>
      <c r="BD146" s="824">
        <f t="shared" ref="BD146:BF146" si="282">BD131+BD134+BD140+SUM(BD141:BD143)</f>
        <v>1.664558125612897</v>
      </c>
      <c r="BE146" s="824">
        <f t="shared" si="282"/>
        <v>1.495557535728828</v>
      </c>
      <c r="BF146" s="824">
        <f t="shared" si="282"/>
        <v>1.6254378604934303</v>
      </c>
      <c r="BG146" s="719"/>
      <c r="BH146" s="720"/>
      <c r="BI146" s="749"/>
      <c r="BJ146" s="721"/>
      <c r="BK146" s="721"/>
      <c r="BL146" s="721"/>
      <c r="BM146" s="721"/>
      <c r="BN146" s="721"/>
      <c r="BO146" s="721"/>
      <c r="BP146" s="721"/>
      <c r="BQ146" s="721"/>
      <c r="BR146" s="825"/>
      <c r="BS146" s="825"/>
      <c r="BT146" s="825"/>
      <c r="BU146" s="825"/>
      <c r="BV146" s="721"/>
      <c r="BW146" s="820"/>
    </row>
    <row r="147" spans="1:75" ht="18.5" x14ac:dyDescent="0.35">
      <c r="A147" s="988"/>
      <c r="B147" s="809" t="s">
        <v>599</v>
      </c>
      <c r="H147" s="741" t="s">
        <v>598</v>
      </c>
      <c r="M147" s="449"/>
      <c r="O147" s="741" t="s">
        <v>597</v>
      </c>
      <c r="Q147" s="722"/>
      <c r="W147" s="746" t="s">
        <v>571</v>
      </c>
      <c r="X147" s="818"/>
      <c r="Y147" s="826"/>
      <c r="Z147" s="818"/>
      <c r="AA147" s="818"/>
      <c r="AB147" s="818"/>
      <c r="AC147" s="716"/>
      <c r="AQ147" s="747"/>
      <c r="AR147" s="747"/>
      <c r="BF147" s="747"/>
      <c r="BG147" s="827"/>
      <c r="BH147" s="828"/>
      <c r="BI147" s="828"/>
      <c r="BJ147" s="828"/>
      <c r="BK147" s="828"/>
      <c r="BL147" s="828"/>
      <c r="BM147" s="828"/>
      <c r="BO147" s="721"/>
      <c r="BP147" s="721" t="s">
        <v>609</v>
      </c>
      <c r="BQ147" s="721"/>
      <c r="BR147" s="721"/>
      <c r="BS147" s="721"/>
      <c r="BT147" s="721"/>
      <c r="BU147" s="721"/>
      <c r="BV147" s="721"/>
    </row>
    <row r="148" spans="1:75" ht="14.5" x14ac:dyDescent="0.35">
      <c r="A148" s="988"/>
      <c r="H148" s="977" t="s">
        <v>596</v>
      </c>
      <c r="I148" s="978"/>
      <c r="J148" s="728">
        <f>Y$19</f>
        <v>2015</v>
      </c>
      <c r="K148" s="728">
        <f>Z$19</f>
        <v>2019</v>
      </c>
      <c r="L148" s="728">
        <f>AA$19</f>
        <v>2021</v>
      </c>
      <c r="M148" s="728">
        <f>AB$19</f>
        <v>2023</v>
      </c>
      <c r="O148" s="989" t="s">
        <v>595</v>
      </c>
      <c r="P148" s="990"/>
      <c r="Q148" s="991"/>
      <c r="R148" s="728">
        <f>BC$19</f>
        <v>2015</v>
      </c>
      <c r="S148" s="728">
        <f>BD$19</f>
        <v>2019</v>
      </c>
      <c r="T148" s="728">
        <f>BE$19</f>
        <v>2021</v>
      </c>
      <c r="U148" s="728">
        <f>BF$19</f>
        <v>2023</v>
      </c>
      <c r="W148" s="977" t="s">
        <v>595</v>
      </c>
      <c r="X148" s="978"/>
      <c r="Y148" s="728">
        <f>BC$19</f>
        <v>2015</v>
      </c>
      <c r="Z148" s="728">
        <f>BD$19</f>
        <v>2019</v>
      </c>
      <c r="AA148" s="728">
        <f>BE$19</f>
        <v>2021</v>
      </c>
      <c r="AB148" s="728">
        <f>BF$19</f>
        <v>2023</v>
      </c>
      <c r="AC148" s="716"/>
      <c r="AQ148" s="747"/>
      <c r="AR148" s="747"/>
      <c r="BF148" s="747"/>
      <c r="BG148" s="827"/>
      <c r="BH148" s="828"/>
      <c r="BI148" s="828"/>
      <c r="BJ148" s="828"/>
      <c r="BK148" s="828"/>
      <c r="BL148" s="828"/>
      <c r="BM148" s="828"/>
      <c r="BO148" s="721"/>
      <c r="BP148" s="749" t="s">
        <v>852</v>
      </c>
      <c r="BQ148" s="721"/>
      <c r="BR148" s="753">
        <f>Y$19</f>
        <v>2015</v>
      </c>
      <c r="BS148" s="753">
        <f>Z$19</f>
        <v>2019</v>
      </c>
      <c r="BT148" s="753">
        <f>AA$19</f>
        <v>2021</v>
      </c>
      <c r="BU148" s="753">
        <f>AB$19</f>
        <v>2023</v>
      </c>
      <c r="BV148" s="721"/>
    </row>
    <row r="149" spans="1:75" x14ac:dyDescent="0.35">
      <c r="A149" s="988"/>
      <c r="H149" s="755" t="s">
        <v>559</v>
      </c>
      <c r="I149" s="756" t="s">
        <v>594</v>
      </c>
      <c r="J149" s="470">
        <f t="shared" ref="J149:J165" si="283">AN128</f>
        <v>5.1909994720517624E-4</v>
      </c>
      <c r="K149" s="470">
        <f t="shared" ref="K149:K165" si="284">AO128</f>
        <v>4.7834244449731334E-4</v>
      </c>
      <c r="L149" s="470">
        <f t="shared" ref="L149:L165" si="285">AP128</f>
        <v>7.2418181650564734E-4</v>
      </c>
      <c r="M149" s="470">
        <f t="shared" ref="M149:M165" si="286">AQ128</f>
        <v>7.3773304300350838E-4</v>
      </c>
      <c r="O149" s="755" t="s">
        <v>559</v>
      </c>
      <c r="P149" s="756" t="s">
        <v>594</v>
      </c>
      <c r="Q149" s="756"/>
      <c r="R149" s="470">
        <f>BC40/10^3</f>
        <v>4.3042109902109889E-2</v>
      </c>
      <c r="S149" s="470">
        <f t="shared" ref="S149:S165" si="287">BD40/10^6</f>
        <v>4.4855029802378206E-5</v>
      </c>
      <c r="T149" s="470">
        <f t="shared" ref="T149:T165" si="288">BE40/10^6</f>
        <v>3.6533074382743838E-5</v>
      </c>
      <c r="U149" s="470">
        <f t="shared" ref="U149:U165" si="289">BF40/10^6</f>
        <v>1.2754505788495609E-4</v>
      </c>
      <c r="W149" s="755" t="s">
        <v>559</v>
      </c>
      <c r="X149" s="756" t="s">
        <v>594</v>
      </c>
      <c r="Y149" s="470">
        <f t="shared" ref="Y149:Y165" si="290">J149+R149</f>
        <v>4.3561209849315066E-2</v>
      </c>
      <c r="Z149" s="470">
        <f t="shared" ref="Z149:Z165" si="291">K149+S149</f>
        <v>5.2319747429969152E-4</v>
      </c>
      <c r="AA149" s="470">
        <f t="shared" ref="AA149:AA165" si="292">L149+T149</f>
        <v>7.6071489088839117E-4</v>
      </c>
      <c r="AB149" s="470">
        <f t="shared" ref="AB149:AB165" si="293">M149+U149</f>
        <v>8.652781008884645E-4</v>
      </c>
      <c r="AC149" s="716"/>
      <c r="AQ149" s="747"/>
      <c r="AR149" s="747"/>
      <c r="BF149" s="747"/>
      <c r="BG149" s="827"/>
      <c r="BH149" s="828"/>
      <c r="BI149" s="828"/>
      <c r="BJ149" s="828"/>
      <c r="BK149" s="828"/>
      <c r="BL149" s="828"/>
      <c r="BM149" s="828"/>
      <c r="BO149" s="721"/>
      <c r="BP149" s="755" t="s">
        <v>853</v>
      </c>
      <c r="BQ149" s="755"/>
      <c r="BR149" s="448">
        <f t="shared" ref="BR149:BU149" si="294">BR145</f>
        <v>2043.4544951833311</v>
      </c>
      <c r="BS149" s="448">
        <f t="shared" si="294"/>
        <v>2180.7390540388888</v>
      </c>
      <c r="BT149" s="448">
        <f t="shared" si="294"/>
        <v>1633.8700498874491</v>
      </c>
      <c r="BU149" s="757">
        <f t="shared" si="294"/>
        <v>2977.4445605502851</v>
      </c>
      <c r="BV149" s="721"/>
      <c r="BW149" s="821"/>
    </row>
    <row r="150" spans="1:75" x14ac:dyDescent="0.35">
      <c r="A150" s="988"/>
      <c r="H150" s="759"/>
      <c r="I150" s="760" t="s">
        <v>164</v>
      </c>
      <c r="J150" s="479">
        <f t="shared" si="283"/>
        <v>1.5188645381336379E-4</v>
      </c>
      <c r="K150" s="479">
        <f t="shared" si="284"/>
        <v>2.6484989143310387E-4</v>
      </c>
      <c r="L150" s="479">
        <f t="shared" si="285"/>
        <v>5.0904313841940337E-4</v>
      </c>
      <c r="M150" s="479">
        <f t="shared" si="286"/>
        <v>5.1856859005141014E-4</v>
      </c>
      <c r="O150" s="759"/>
      <c r="P150" s="760" t="s">
        <v>164</v>
      </c>
      <c r="Q150" s="760"/>
      <c r="R150" s="479">
        <f t="shared" ref="R150:R165" si="295">BC41/10^6</f>
        <v>1.2593939708286206E-5</v>
      </c>
      <c r="S150" s="479">
        <f t="shared" si="287"/>
        <v>2.483544981226359E-5</v>
      </c>
      <c r="T150" s="479">
        <f t="shared" si="288"/>
        <v>2.5679892005071365E-5</v>
      </c>
      <c r="U150" s="479">
        <f t="shared" si="289"/>
        <v>8.9654193292129162E-5</v>
      </c>
      <c r="W150" s="759"/>
      <c r="X150" s="760" t="s">
        <v>164</v>
      </c>
      <c r="Y150" s="479">
        <f t="shared" si="290"/>
        <v>1.6448039352165E-4</v>
      </c>
      <c r="Z150" s="479">
        <f t="shared" si="291"/>
        <v>2.8968534124536744E-4</v>
      </c>
      <c r="AA150" s="479">
        <f t="shared" si="292"/>
        <v>5.3472303042447476E-4</v>
      </c>
      <c r="AB150" s="479">
        <f t="shared" si="293"/>
        <v>6.0822278334353929E-4</v>
      </c>
      <c r="AC150" s="716"/>
      <c r="AQ150" s="747"/>
      <c r="AR150" s="747"/>
      <c r="BF150" s="747"/>
      <c r="BG150" s="827"/>
      <c r="BH150" s="828"/>
      <c r="BI150" s="828"/>
      <c r="BJ150" s="828"/>
      <c r="BK150" s="828"/>
      <c r="BL150" s="828"/>
      <c r="BM150" s="828"/>
      <c r="BO150" s="721"/>
      <c r="BP150" s="759" t="s">
        <v>854</v>
      </c>
      <c r="BQ150" s="829"/>
      <c r="BR150" s="498">
        <f t="shared" ref="BR150:BU150" si="296">BR140</f>
        <v>7421.9443708286672</v>
      </c>
      <c r="BS150" s="498">
        <f t="shared" si="296"/>
        <v>7935.6725846268437</v>
      </c>
      <c r="BT150" s="498">
        <f t="shared" si="296"/>
        <v>7043.51768341548</v>
      </c>
      <c r="BU150" s="830">
        <f t="shared" si="296"/>
        <v>7882.8925880698134</v>
      </c>
      <c r="BV150" s="721"/>
      <c r="BW150" s="821"/>
    </row>
    <row r="151" spans="1:75" x14ac:dyDescent="0.35">
      <c r="A151" s="988"/>
      <c r="H151" s="759"/>
      <c r="I151" s="760" t="s">
        <v>593</v>
      </c>
      <c r="J151" s="479">
        <f t="shared" si="283"/>
        <v>2.5298032590619199E-4</v>
      </c>
      <c r="K151" s="479">
        <f t="shared" si="284"/>
        <v>2.634105455612753E-4</v>
      </c>
      <c r="L151" s="479">
        <f t="shared" si="285"/>
        <v>6.8708620997165449E-4</v>
      </c>
      <c r="M151" s="479">
        <f t="shared" si="286"/>
        <v>3.0174437225953055E-4</v>
      </c>
      <c r="O151" s="759"/>
      <c r="P151" s="760" t="s">
        <v>593</v>
      </c>
      <c r="Q151" s="760"/>
      <c r="R151" s="479">
        <f t="shared" si="295"/>
        <v>1.2726423971742905E-4</v>
      </c>
      <c r="S151" s="479">
        <f t="shared" si="287"/>
        <v>1.3260505184229789E-4</v>
      </c>
      <c r="T151" s="479">
        <f t="shared" si="288"/>
        <v>4.1433265619705607E-5</v>
      </c>
      <c r="U151" s="479">
        <f t="shared" si="289"/>
        <v>2.6434674745463448E-4</v>
      </c>
      <c r="W151" s="759"/>
      <c r="X151" s="760" t="s">
        <v>593</v>
      </c>
      <c r="Y151" s="479">
        <f t="shared" si="290"/>
        <v>3.8024456562362103E-4</v>
      </c>
      <c r="Z151" s="479">
        <f t="shared" si="291"/>
        <v>3.9601559740357322E-4</v>
      </c>
      <c r="AA151" s="479">
        <f t="shared" si="292"/>
        <v>7.2851947559136009E-4</v>
      </c>
      <c r="AB151" s="479">
        <f t="shared" si="293"/>
        <v>5.6609111971416503E-4</v>
      </c>
      <c r="AC151" s="716"/>
      <c r="AQ151" s="747"/>
      <c r="AR151" s="747"/>
      <c r="BF151" s="747"/>
      <c r="BG151" s="827"/>
      <c r="BH151" s="828"/>
      <c r="BI151" s="828"/>
      <c r="BJ151" s="828"/>
      <c r="BK151" s="828"/>
      <c r="BL151" s="828"/>
      <c r="BM151" s="828"/>
      <c r="BO151" s="721"/>
      <c r="BP151" s="759" t="s">
        <v>855</v>
      </c>
      <c r="BQ151" s="829"/>
      <c r="BR151" s="498">
        <v>4693.967886691139</v>
      </c>
      <c r="BS151" s="498">
        <v>5021.9808335001326</v>
      </c>
      <c r="BT151" s="498">
        <v>4455.0041100617136</v>
      </c>
      <c r="BU151" s="830">
        <v>5000.1245846075008</v>
      </c>
      <c r="BV151" s="721"/>
      <c r="BW151" s="821"/>
    </row>
    <row r="152" spans="1:75" x14ac:dyDescent="0.35">
      <c r="A152" s="988"/>
      <c r="H152" s="764"/>
      <c r="I152" s="765" t="s">
        <v>404</v>
      </c>
      <c r="J152" s="480">
        <f t="shared" si="283"/>
        <v>9.2396672692473202E-4</v>
      </c>
      <c r="K152" s="480">
        <f t="shared" si="284"/>
        <v>1.0066028814916925E-3</v>
      </c>
      <c r="L152" s="480">
        <f t="shared" si="285"/>
        <v>1.9203111648967051E-3</v>
      </c>
      <c r="M152" s="480">
        <f t="shared" si="286"/>
        <v>1.5580460053144492E-3</v>
      </c>
      <c r="O152" s="764"/>
      <c r="P152" s="765" t="s">
        <v>404</v>
      </c>
      <c r="Q152" s="765"/>
      <c r="R152" s="480">
        <f t="shared" si="295"/>
        <v>1.8290028932782513E-4</v>
      </c>
      <c r="S152" s="480">
        <f t="shared" si="287"/>
        <v>2.0229553145693967E-4</v>
      </c>
      <c r="T152" s="480">
        <f t="shared" si="288"/>
        <v>1.0364623200752081E-4</v>
      </c>
      <c r="U152" s="480">
        <f t="shared" si="289"/>
        <v>4.8154599863171974E-4</v>
      </c>
      <c r="W152" s="764"/>
      <c r="X152" s="765" t="s">
        <v>404</v>
      </c>
      <c r="Y152" s="480">
        <f t="shared" si="290"/>
        <v>1.1068670162525571E-3</v>
      </c>
      <c r="Z152" s="480">
        <f t="shared" si="291"/>
        <v>1.2088984129486322E-3</v>
      </c>
      <c r="AA152" s="480">
        <f t="shared" si="292"/>
        <v>2.0239573969042259E-3</v>
      </c>
      <c r="AB152" s="480">
        <f t="shared" si="293"/>
        <v>2.0395920039461687E-3</v>
      </c>
      <c r="AC152" s="716"/>
      <c r="AQ152" s="747"/>
      <c r="AR152" s="747"/>
      <c r="BF152" s="747"/>
      <c r="BG152" s="827"/>
      <c r="BH152" s="828"/>
      <c r="BI152" s="828"/>
      <c r="BJ152" s="828"/>
      <c r="BK152" s="828"/>
      <c r="BL152" s="828"/>
      <c r="BM152" s="828"/>
      <c r="BO152" s="721"/>
      <c r="BP152" s="759" t="s">
        <v>855</v>
      </c>
      <c r="BQ152" s="829"/>
      <c r="BR152" s="498">
        <v>4864.2527745624166</v>
      </c>
      <c r="BS152" s="498">
        <v>5204.4297931776773</v>
      </c>
      <c r="BT152" s="498">
        <v>4610.9689285417362</v>
      </c>
      <c r="BU152" s="830">
        <v>5180.9594467302832</v>
      </c>
      <c r="BV152" s="721"/>
      <c r="BW152" s="821"/>
    </row>
    <row r="153" spans="1:75" x14ac:dyDescent="0.35">
      <c r="A153" s="988"/>
      <c r="H153" s="755" t="s">
        <v>558</v>
      </c>
      <c r="I153" s="756" t="s">
        <v>592</v>
      </c>
      <c r="J153" s="470">
        <f t="shared" si="283"/>
        <v>1.161809287595884E-2</v>
      </c>
      <c r="K153" s="470">
        <f t="shared" si="284"/>
        <v>1.2144229039533848E-2</v>
      </c>
      <c r="L153" s="470">
        <f t="shared" si="285"/>
        <v>6.8771126582226425E-3</v>
      </c>
      <c r="M153" s="470">
        <f t="shared" si="286"/>
        <v>1.2340427866720753E-2</v>
      </c>
      <c r="O153" s="755" t="s">
        <v>558</v>
      </c>
      <c r="P153" s="756" t="s">
        <v>592</v>
      </c>
      <c r="Q153" s="756"/>
      <c r="R153" s="470">
        <f t="shared" si="295"/>
        <v>7.0528149819496259E-3</v>
      </c>
      <c r="S153" s="470">
        <f t="shared" si="287"/>
        <v>7.3969822294450444E-3</v>
      </c>
      <c r="T153" s="470">
        <f t="shared" si="288"/>
        <v>4.1712150874738084E-3</v>
      </c>
      <c r="U153" s="470">
        <f t="shared" si="289"/>
        <v>7.7367517490459191E-3</v>
      </c>
      <c r="W153" s="755" t="s">
        <v>558</v>
      </c>
      <c r="X153" s="756" t="s">
        <v>592</v>
      </c>
      <c r="Y153" s="470">
        <f t="shared" si="290"/>
        <v>1.8670907857908467E-2</v>
      </c>
      <c r="Z153" s="470">
        <f t="shared" si="291"/>
        <v>1.9541211268978891E-2</v>
      </c>
      <c r="AA153" s="470">
        <f t="shared" si="292"/>
        <v>1.1048327745696451E-2</v>
      </c>
      <c r="AB153" s="470">
        <f t="shared" si="293"/>
        <v>2.0077179615766674E-2</v>
      </c>
      <c r="AC153" s="716"/>
      <c r="AQ153" s="747"/>
      <c r="AR153" s="747"/>
      <c r="BF153" s="747"/>
      <c r="BG153" s="827"/>
      <c r="BH153" s="828"/>
      <c r="BI153" s="828"/>
      <c r="BJ153" s="828"/>
      <c r="BK153" s="828"/>
      <c r="BL153" s="828"/>
      <c r="BM153" s="828"/>
      <c r="BO153" s="721"/>
      <c r="BP153" s="764" t="s">
        <v>856</v>
      </c>
      <c r="BQ153" s="831"/>
      <c r="BR153" s="445">
        <f t="shared" ref="BR153:BU153" si="297">BR128+BR129</f>
        <v>105.48544798884501</v>
      </c>
      <c r="BS153" s="445">
        <f t="shared" si="297"/>
        <v>110.79013563265167</v>
      </c>
      <c r="BT153" s="445">
        <f t="shared" si="297"/>
        <v>172.88863104211018</v>
      </c>
      <c r="BU153" s="770">
        <f t="shared" si="297"/>
        <v>181.2883214793741</v>
      </c>
      <c r="BV153" s="721"/>
      <c r="BW153" s="821"/>
    </row>
    <row r="154" spans="1:75" x14ac:dyDescent="0.35">
      <c r="A154" s="988"/>
      <c r="H154" s="759"/>
      <c r="I154" s="760" t="s">
        <v>544</v>
      </c>
      <c r="J154" s="479">
        <f t="shared" si="283"/>
        <v>1.364557934064104E-4</v>
      </c>
      <c r="K154" s="479">
        <f t="shared" si="284"/>
        <v>1.6047473741139003E-4</v>
      </c>
      <c r="L154" s="479">
        <f t="shared" si="285"/>
        <v>1.428054192196724E-4</v>
      </c>
      <c r="M154" s="479">
        <f t="shared" si="286"/>
        <v>3.1652743073853445E-4</v>
      </c>
      <c r="O154" s="759"/>
      <c r="P154" s="760" t="s">
        <v>544</v>
      </c>
      <c r="Q154" s="760"/>
      <c r="R154" s="479">
        <f t="shared" si="295"/>
        <v>2.6462707413341049E-5</v>
      </c>
      <c r="S154" s="479">
        <f t="shared" si="287"/>
        <v>3.071287632465735E-5</v>
      </c>
      <c r="T154" s="479">
        <f t="shared" si="288"/>
        <v>2.7752609562257655E-5</v>
      </c>
      <c r="U154" s="479">
        <f t="shared" si="289"/>
        <v>6.8897544473887242E-5</v>
      </c>
      <c r="W154" s="759"/>
      <c r="X154" s="760" t="s">
        <v>544</v>
      </c>
      <c r="Y154" s="479">
        <f t="shared" si="290"/>
        <v>1.6291850081975146E-4</v>
      </c>
      <c r="Z154" s="479">
        <f t="shared" si="291"/>
        <v>1.9118761373604739E-4</v>
      </c>
      <c r="AA154" s="479">
        <f t="shared" si="292"/>
        <v>1.7055802878193006E-4</v>
      </c>
      <c r="AB154" s="479">
        <f t="shared" si="293"/>
        <v>3.8542497521242171E-4</v>
      </c>
      <c r="AC154" s="716"/>
      <c r="AQ154" s="747"/>
      <c r="AR154" s="747"/>
      <c r="BF154" s="747"/>
      <c r="BG154" s="827"/>
      <c r="BH154" s="828"/>
      <c r="BI154" s="828"/>
      <c r="BJ154" s="828"/>
      <c r="BK154" s="828"/>
      <c r="BL154" s="828"/>
      <c r="BM154" s="828"/>
      <c r="BO154" s="721"/>
      <c r="BP154" s="771" t="s">
        <v>7</v>
      </c>
      <c r="BQ154" s="772"/>
      <c r="BR154" s="484">
        <f t="shared" ref="BR154:BU154" si="298">BR144</f>
        <v>10271.907418935054</v>
      </c>
      <c r="BS154" s="484">
        <f t="shared" si="298"/>
        <v>10956.072983145577</v>
      </c>
      <c r="BT154" s="484">
        <f t="shared" si="298"/>
        <v>9395.6356357468812</v>
      </c>
      <c r="BU154" s="782">
        <f t="shared" si="298"/>
        <v>11853.228610522081</v>
      </c>
      <c r="BV154" s="721"/>
      <c r="BW154" s="821"/>
    </row>
    <row r="155" spans="1:75" x14ac:dyDescent="0.35">
      <c r="A155" s="988"/>
      <c r="H155" s="764"/>
      <c r="I155" s="765" t="s">
        <v>404</v>
      </c>
      <c r="J155" s="480">
        <f t="shared" si="283"/>
        <v>1.1754548669365253E-2</v>
      </c>
      <c r="K155" s="480">
        <f t="shared" si="284"/>
        <v>1.2304703776945236E-2</v>
      </c>
      <c r="L155" s="480">
        <f t="shared" si="285"/>
        <v>7.0199180774423147E-3</v>
      </c>
      <c r="M155" s="480">
        <f t="shared" si="286"/>
        <v>1.2656955297459289E-2</v>
      </c>
      <c r="O155" s="764"/>
      <c r="P155" s="765" t="s">
        <v>404</v>
      </c>
      <c r="Q155" s="765"/>
      <c r="R155" s="480">
        <f t="shared" si="295"/>
        <v>7.0792776893629662E-3</v>
      </c>
      <c r="S155" s="480">
        <f t="shared" si="287"/>
        <v>7.4276951057697018E-3</v>
      </c>
      <c r="T155" s="480">
        <f t="shared" si="288"/>
        <v>4.1989676970360656E-3</v>
      </c>
      <c r="U155" s="480">
        <f t="shared" si="289"/>
        <v>7.805649293519807E-3</v>
      </c>
      <c r="W155" s="764"/>
      <c r="X155" s="765" t="s">
        <v>404</v>
      </c>
      <c r="Y155" s="480">
        <f t="shared" si="290"/>
        <v>1.8833826358728219E-2</v>
      </c>
      <c r="Z155" s="480">
        <f t="shared" si="291"/>
        <v>1.9732398882714938E-2</v>
      </c>
      <c r="AA155" s="480">
        <f t="shared" si="292"/>
        <v>1.121888577447838E-2</v>
      </c>
      <c r="AB155" s="480">
        <f t="shared" si="293"/>
        <v>2.0462604590979094E-2</v>
      </c>
      <c r="AC155" s="716"/>
      <c r="AQ155" s="747"/>
      <c r="AR155" s="747"/>
      <c r="BF155" s="747"/>
      <c r="BG155" s="827"/>
      <c r="BH155" s="828"/>
      <c r="BI155" s="828"/>
      <c r="BJ155" s="828"/>
      <c r="BK155" s="828"/>
      <c r="BL155" s="828"/>
      <c r="BM155" s="828"/>
      <c r="BO155" s="721"/>
      <c r="BP155" s="832" t="s">
        <v>857</v>
      </c>
      <c r="BQ155" s="721"/>
      <c r="BR155" s="721"/>
      <c r="BS155" s="721"/>
      <c r="BT155" s="721"/>
      <c r="BU155" s="833"/>
      <c r="BV155" s="721"/>
    </row>
    <row r="156" spans="1:75" x14ac:dyDescent="0.35">
      <c r="A156" s="988"/>
      <c r="H156" s="755" t="s">
        <v>548</v>
      </c>
      <c r="I156" s="756" t="s">
        <v>173</v>
      </c>
      <c r="J156" s="470">
        <f t="shared" si="283"/>
        <v>0.40807247091004978</v>
      </c>
      <c r="K156" s="470">
        <f t="shared" si="284"/>
        <v>0.40027904427701111</v>
      </c>
      <c r="L156" s="470">
        <f t="shared" si="285"/>
        <v>0.36315743808173384</v>
      </c>
      <c r="M156" s="470">
        <f t="shared" si="286"/>
        <v>0.36466127119198893</v>
      </c>
      <c r="O156" s="755" t="s">
        <v>548</v>
      </c>
      <c r="P156" s="756" t="s">
        <v>173</v>
      </c>
      <c r="Q156" s="756"/>
      <c r="R156" s="470">
        <f t="shared" si="295"/>
        <v>0.29681867922361216</v>
      </c>
      <c r="S156" s="470">
        <f t="shared" si="287"/>
        <v>0.29233406388767286</v>
      </c>
      <c r="T156" s="470">
        <f t="shared" si="288"/>
        <v>0.24304120383768762</v>
      </c>
      <c r="U156" s="470">
        <f t="shared" si="289"/>
        <v>0.27533552742893586</v>
      </c>
      <c r="W156" s="755" t="s">
        <v>548</v>
      </c>
      <c r="X156" s="756" t="s">
        <v>173</v>
      </c>
      <c r="Y156" s="470">
        <f t="shared" si="290"/>
        <v>0.70489115013366188</v>
      </c>
      <c r="Z156" s="470">
        <f t="shared" si="291"/>
        <v>0.69261310816468402</v>
      </c>
      <c r="AA156" s="470">
        <f t="shared" si="292"/>
        <v>0.60619864191942141</v>
      </c>
      <c r="AB156" s="470">
        <f t="shared" si="293"/>
        <v>0.63999679862092473</v>
      </c>
      <c r="AC156" s="716"/>
      <c r="AQ156" s="747"/>
      <c r="AR156" s="747"/>
      <c r="BF156" s="747"/>
      <c r="BG156" s="827"/>
      <c r="BH156" s="828"/>
      <c r="BI156" s="828"/>
      <c r="BJ156" s="828"/>
      <c r="BK156" s="828"/>
      <c r="BL156" s="828"/>
      <c r="BM156" s="828"/>
      <c r="BO156" s="721"/>
      <c r="BP156" s="749" t="s">
        <v>858</v>
      </c>
      <c r="BQ156" s="834"/>
      <c r="BR156" s="834"/>
      <c r="BS156" s="834"/>
      <c r="BT156" s="834"/>
      <c r="BU156" s="834"/>
      <c r="BV156" s="721"/>
    </row>
    <row r="157" spans="1:75" x14ac:dyDescent="0.35">
      <c r="A157" s="988"/>
      <c r="H157" s="759"/>
      <c r="I157" s="760" t="s">
        <v>170</v>
      </c>
      <c r="J157" s="479">
        <f t="shared" si="283"/>
        <v>0.17063763119594808</v>
      </c>
      <c r="K157" s="479">
        <f t="shared" si="284"/>
        <v>0.17666085852520907</v>
      </c>
      <c r="L157" s="479">
        <f t="shared" si="285"/>
        <v>0.15325743134487579</v>
      </c>
      <c r="M157" s="479">
        <f t="shared" si="286"/>
        <v>0.14663337390152673</v>
      </c>
      <c r="O157" s="759"/>
      <c r="P157" s="760" t="s">
        <v>170</v>
      </c>
      <c r="Q157" s="760"/>
      <c r="R157" s="479">
        <f t="shared" si="295"/>
        <v>0.11717148608948884</v>
      </c>
      <c r="S157" s="479">
        <f t="shared" si="287"/>
        <v>0.11978886739279834</v>
      </c>
      <c r="T157" s="479">
        <f t="shared" si="288"/>
        <v>9.4452328375200831E-2</v>
      </c>
      <c r="U157" s="479">
        <f t="shared" si="289"/>
        <v>9.9592001814902659E-2</v>
      </c>
      <c r="W157" s="759"/>
      <c r="X157" s="760" t="s">
        <v>170</v>
      </c>
      <c r="Y157" s="479">
        <f t="shared" si="290"/>
        <v>0.2878091172854369</v>
      </c>
      <c r="Z157" s="479">
        <f t="shared" si="291"/>
        <v>0.29644972591800745</v>
      </c>
      <c r="AA157" s="479">
        <f t="shared" si="292"/>
        <v>0.24770975972007664</v>
      </c>
      <c r="AB157" s="479">
        <f t="shared" si="293"/>
        <v>0.24622537571642938</v>
      </c>
      <c r="AC157" s="716"/>
      <c r="AQ157" s="747"/>
      <c r="AR157" s="747"/>
      <c r="BF157" s="747"/>
      <c r="BG157" s="827"/>
      <c r="BH157" s="828"/>
      <c r="BI157" s="828"/>
      <c r="BJ157" s="828"/>
      <c r="BK157" s="828"/>
      <c r="BL157" s="828"/>
      <c r="BM157" s="828"/>
      <c r="BO157" s="721"/>
      <c r="BP157" s="755" t="s">
        <v>859</v>
      </c>
      <c r="BQ157" s="755"/>
      <c r="BR157" s="835">
        <f t="shared" ref="BR157:BU162" si="299">BR149/$BR149-1</f>
        <v>0</v>
      </c>
      <c r="BS157" s="835">
        <f t="shared" si="299"/>
        <v>6.7182586732003946E-2</v>
      </c>
      <c r="BT157" s="835">
        <f t="shared" si="299"/>
        <v>-0.20043727240382503</v>
      </c>
      <c r="BU157" s="836">
        <f t="shared" si="299"/>
        <v>0.4570642838235357</v>
      </c>
      <c r="BV157" s="721"/>
    </row>
    <row r="158" spans="1:75" x14ac:dyDescent="0.35">
      <c r="A158" s="988"/>
      <c r="H158" s="759"/>
      <c r="I158" s="760" t="s">
        <v>545</v>
      </c>
      <c r="J158" s="479">
        <f t="shared" si="283"/>
        <v>6.221837058463576E-3</v>
      </c>
      <c r="K158" s="479">
        <f t="shared" si="284"/>
        <v>1.3454065875418069E-2</v>
      </c>
      <c r="L158" s="479">
        <f t="shared" si="285"/>
        <v>2.6456222641923377E-2</v>
      </c>
      <c r="M158" s="479">
        <f t="shared" si="286"/>
        <v>4.8563303218632309E-2</v>
      </c>
      <c r="O158" s="759"/>
      <c r="P158" s="760" t="s">
        <v>545</v>
      </c>
      <c r="Q158" s="760"/>
      <c r="R158" s="479">
        <f t="shared" si="295"/>
        <v>4.0266908779867617E-3</v>
      </c>
      <c r="S158" s="479">
        <f t="shared" si="287"/>
        <v>8.8456918244953862E-3</v>
      </c>
      <c r="T158" s="479">
        <f t="shared" si="288"/>
        <v>1.6006060276206373E-2</v>
      </c>
      <c r="U158" s="479">
        <f t="shared" si="289"/>
        <v>3.3183164595322667E-2</v>
      </c>
      <c r="W158" s="759"/>
      <c r="X158" s="760" t="s">
        <v>545</v>
      </c>
      <c r="Y158" s="479">
        <f t="shared" si="290"/>
        <v>1.0248527936450338E-2</v>
      </c>
      <c r="Z158" s="479">
        <f t="shared" si="291"/>
        <v>2.2299757699913457E-2</v>
      </c>
      <c r="AA158" s="479">
        <f t="shared" si="292"/>
        <v>4.246228291812975E-2</v>
      </c>
      <c r="AB158" s="479">
        <f t="shared" si="293"/>
        <v>8.1746467813954976E-2</v>
      </c>
      <c r="AC158" s="716"/>
      <c r="AQ158" s="747"/>
      <c r="AR158" s="747"/>
      <c r="BF158" s="747"/>
      <c r="BG158" s="827"/>
      <c r="BH158" s="828"/>
      <c r="BI158" s="828"/>
      <c r="BJ158" s="828"/>
      <c r="BK158" s="828"/>
      <c r="BL158" s="828"/>
      <c r="BM158" s="828"/>
      <c r="BO158" s="721"/>
      <c r="BP158" s="759" t="s">
        <v>854</v>
      </c>
      <c r="BQ158" s="829"/>
      <c r="BR158" s="837">
        <f t="shared" si="299"/>
        <v>0</v>
      </c>
      <c r="BS158" s="837">
        <f t="shared" si="299"/>
        <v>6.921747026525038E-2</v>
      </c>
      <c r="BT158" s="837">
        <f t="shared" si="299"/>
        <v>-5.0987540259741282E-2</v>
      </c>
      <c r="BU158" s="838">
        <f t="shared" si="299"/>
        <v>6.2106126671181316E-2</v>
      </c>
      <c r="BV158" s="721"/>
    </row>
    <row r="159" spans="1:75" x14ac:dyDescent="0.35">
      <c r="A159" s="988"/>
      <c r="H159" s="759"/>
      <c r="I159" s="760" t="s">
        <v>468</v>
      </c>
      <c r="J159" s="479">
        <f t="shared" si="283"/>
        <v>1.8960746426958794E-3</v>
      </c>
      <c r="K159" s="479">
        <f t="shared" si="284"/>
        <v>2.0737534849758175E-3</v>
      </c>
      <c r="L159" s="479">
        <f t="shared" si="285"/>
        <v>1.9799455665088276E-3</v>
      </c>
      <c r="M159" s="479">
        <f t="shared" si="286"/>
        <v>2.0620777234801558E-3</v>
      </c>
      <c r="O159" s="759"/>
      <c r="P159" s="760" t="s">
        <v>468</v>
      </c>
      <c r="Q159" s="760"/>
      <c r="R159" s="479">
        <f t="shared" si="295"/>
        <v>1.0098721583878779E-3</v>
      </c>
      <c r="S159" s="479">
        <f t="shared" si="287"/>
        <v>1.1437210939193687E-3</v>
      </c>
      <c r="T159" s="479">
        <f t="shared" si="288"/>
        <v>9.628164010291833E-4</v>
      </c>
      <c r="U159" s="479">
        <f t="shared" si="289"/>
        <v>1.1075863132197163E-3</v>
      </c>
      <c r="W159" s="759"/>
      <c r="X159" s="760" t="s">
        <v>468</v>
      </c>
      <c r="Y159" s="479">
        <f t="shared" si="290"/>
        <v>2.905946801083757E-3</v>
      </c>
      <c r="Z159" s="479">
        <f t="shared" si="291"/>
        <v>3.2174745788951862E-3</v>
      </c>
      <c r="AA159" s="479">
        <f t="shared" si="292"/>
        <v>2.942761967538011E-3</v>
      </c>
      <c r="AB159" s="479">
        <f t="shared" si="293"/>
        <v>3.1696640366998723E-3</v>
      </c>
      <c r="AC159" s="716"/>
      <c r="AQ159" s="747"/>
      <c r="AR159" s="747"/>
      <c r="BF159" s="747"/>
      <c r="BG159" s="827"/>
      <c r="BH159" s="828"/>
      <c r="BI159" s="828"/>
      <c r="BJ159" s="828"/>
      <c r="BK159" s="828"/>
      <c r="BL159" s="828"/>
      <c r="BM159" s="828"/>
      <c r="BO159" s="721"/>
      <c r="BP159" s="759" t="s">
        <v>855</v>
      </c>
      <c r="BQ159" s="829"/>
      <c r="BR159" s="837">
        <f t="shared" si="299"/>
        <v>0</v>
      </c>
      <c r="BS159" s="837">
        <f t="shared" si="299"/>
        <v>6.9879674238720879E-2</v>
      </c>
      <c r="BT159" s="837">
        <f t="shared" si="299"/>
        <v>-5.0908694392000853E-2</v>
      </c>
      <c r="BU159" s="838">
        <f t="shared" si="299"/>
        <v>6.522343256425156E-2</v>
      </c>
      <c r="BV159" s="721"/>
    </row>
    <row r="160" spans="1:75" x14ac:dyDescent="0.35">
      <c r="A160" s="988"/>
      <c r="H160" s="759"/>
      <c r="I160" s="760" t="s">
        <v>544</v>
      </c>
      <c r="J160" s="479">
        <f t="shared" si="283"/>
        <v>8.3804941515657904E-4</v>
      </c>
      <c r="K160" s="479">
        <f t="shared" si="284"/>
        <v>4.084130084716967E-3</v>
      </c>
      <c r="L160" s="479">
        <f t="shared" si="285"/>
        <v>1.0984243371000553E-2</v>
      </c>
      <c r="M160" s="479">
        <f t="shared" si="286"/>
        <v>2.4665684025169426E-2</v>
      </c>
      <c r="O160" s="759"/>
      <c r="P160" s="760" t="s">
        <v>544</v>
      </c>
      <c r="Q160" s="760"/>
      <c r="R160" s="479">
        <f t="shared" si="295"/>
        <v>1.9826546742256735E-4</v>
      </c>
      <c r="S160" s="479">
        <f t="shared" si="287"/>
        <v>1.0892993385735843E-3</v>
      </c>
      <c r="T160" s="479">
        <f t="shared" si="288"/>
        <v>2.7901554838277404E-3</v>
      </c>
      <c r="U160" s="479">
        <f t="shared" si="289"/>
        <v>7.1335270055410023E-3</v>
      </c>
      <c r="W160" s="759"/>
      <c r="X160" s="760" t="s">
        <v>544</v>
      </c>
      <c r="Y160" s="479">
        <f t="shared" si="290"/>
        <v>1.0363148825791465E-3</v>
      </c>
      <c r="Z160" s="479">
        <f t="shared" si="291"/>
        <v>5.1734294232905513E-3</v>
      </c>
      <c r="AA160" s="479">
        <f t="shared" si="292"/>
        <v>1.3774398854828293E-2</v>
      </c>
      <c r="AB160" s="479">
        <f t="shared" si="293"/>
        <v>3.1799211030710428E-2</v>
      </c>
      <c r="AC160" s="716"/>
      <c r="AQ160" s="747"/>
      <c r="AR160" s="747"/>
      <c r="BF160" s="747"/>
      <c r="BG160" s="827"/>
      <c r="BH160" s="828"/>
      <c r="BI160" s="828"/>
      <c r="BJ160" s="828"/>
      <c r="BK160" s="828"/>
      <c r="BL160" s="828"/>
      <c r="BM160" s="828"/>
      <c r="BO160" s="721"/>
      <c r="BP160" s="759" t="s">
        <v>855</v>
      </c>
      <c r="BQ160" s="829"/>
      <c r="BR160" s="837">
        <f t="shared" si="299"/>
        <v>0</v>
      </c>
      <c r="BS160" s="837">
        <f t="shared" si="299"/>
        <v>6.9934075053462497E-2</v>
      </c>
      <c r="BT160" s="837">
        <f t="shared" si="299"/>
        <v>-5.2070453111570769E-2</v>
      </c>
      <c r="BU160" s="838">
        <f t="shared" si="299"/>
        <v>6.5109007867371282E-2</v>
      </c>
      <c r="BV160" s="721"/>
    </row>
    <row r="161" spans="1:74" x14ac:dyDescent="0.35">
      <c r="A161" s="988"/>
      <c r="H161" s="767"/>
      <c r="I161" s="765" t="s">
        <v>404</v>
      </c>
      <c r="J161" s="480">
        <f t="shared" si="283"/>
        <v>0.58766606322231385</v>
      </c>
      <c r="K161" s="480">
        <f t="shared" si="284"/>
        <v>0.59655185224733098</v>
      </c>
      <c r="L161" s="480">
        <f t="shared" si="285"/>
        <v>0.5558352810060424</v>
      </c>
      <c r="M161" s="480">
        <f t="shared" si="286"/>
        <v>0.58658571006079752</v>
      </c>
      <c r="O161" s="767"/>
      <c r="P161" s="765" t="s">
        <v>404</v>
      </c>
      <c r="Q161" s="765"/>
      <c r="R161" s="480">
        <f t="shared" si="295"/>
        <v>0.41922499381689821</v>
      </c>
      <c r="S161" s="480">
        <f t="shared" si="287"/>
        <v>0.42320164353745954</v>
      </c>
      <c r="T161" s="480">
        <f t="shared" si="288"/>
        <v>0.35725256437395175</v>
      </c>
      <c r="U161" s="480">
        <f t="shared" si="289"/>
        <v>0.41635180715792197</v>
      </c>
      <c r="W161" s="767"/>
      <c r="X161" s="765" t="s">
        <v>404</v>
      </c>
      <c r="Y161" s="480">
        <f t="shared" si="290"/>
        <v>1.006891057039212</v>
      </c>
      <c r="Z161" s="480">
        <f t="shared" si="291"/>
        <v>1.0197534957847905</v>
      </c>
      <c r="AA161" s="480">
        <f t="shared" si="292"/>
        <v>0.91308784537999421</v>
      </c>
      <c r="AB161" s="480">
        <f t="shared" si="293"/>
        <v>1.0029375172187196</v>
      </c>
      <c r="AC161" s="716"/>
      <c r="AQ161" s="747"/>
      <c r="AR161" s="747"/>
      <c r="BF161" s="747"/>
      <c r="BG161" s="827"/>
      <c r="BH161" s="828"/>
      <c r="BI161" s="828"/>
      <c r="BJ161" s="828"/>
      <c r="BK161" s="828"/>
      <c r="BL161" s="828"/>
      <c r="BM161" s="828"/>
      <c r="BO161" s="721"/>
      <c r="BP161" s="764" t="s">
        <v>860</v>
      </c>
      <c r="BQ161" s="831"/>
      <c r="BR161" s="839">
        <f t="shared" si="299"/>
        <v>0</v>
      </c>
      <c r="BS161" s="839">
        <f t="shared" si="299"/>
        <v>5.0288335926369943E-2</v>
      </c>
      <c r="BT161" s="839">
        <f t="shared" si="299"/>
        <v>0.63898086739313076</v>
      </c>
      <c r="BU161" s="840">
        <f t="shared" si="299"/>
        <v>0.71860976974326518</v>
      </c>
      <c r="BV161" s="721"/>
    </row>
    <row r="162" spans="1:74" x14ac:dyDescent="0.35">
      <c r="A162" s="988"/>
      <c r="H162" s="755" t="s">
        <v>591</v>
      </c>
      <c r="I162" s="768"/>
      <c r="J162" s="470">
        <f t="shared" si="283"/>
        <v>1.1635850767039248E-2</v>
      </c>
      <c r="K162" s="470">
        <f t="shared" si="284"/>
        <v>1.2192952201634591E-2</v>
      </c>
      <c r="L162" s="470">
        <f t="shared" si="285"/>
        <v>9.0732420939766186E-3</v>
      </c>
      <c r="M162" s="470">
        <f t="shared" si="286"/>
        <v>1.5056939081385735E-2</v>
      </c>
      <c r="O162" s="755" t="s">
        <v>591</v>
      </c>
      <c r="P162" s="768"/>
      <c r="Q162" s="768"/>
      <c r="R162" s="470">
        <f t="shared" si="295"/>
        <v>4.6139133465964658E-3</v>
      </c>
      <c r="S162" s="470">
        <f t="shared" si="287"/>
        <v>4.8492229272728855E-3</v>
      </c>
      <c r="T162" s="470">
        <f t="shared" si="288"/>
        <v>3.3571431602642987E-3</v>
      </c>
      <c r="U162" s="470">
        <f t="shared" si="289"/>
        <v>5.1792223290338165E-3</v>
      </c>
      <c r="W162" s="755" t="s">
        <v>591</v>
      </c>
      <c r="X162" s="768"/>
      <c r="Y162" s="470">
        <f t="shared" si="290"/>
        <v>1.6249764113635712E-2</v>
      </c>
      <c r="Z162" s="470">
        <f t="shared" si="291"/>
        <v>1.7042175128907475E-2</v>
      </c>
      <c r="AA162" s="470">
        <f t="shared" si="292"/>
        <v>1.2430385254240917E-2</v>
      </c>
      <c r="AB162" s="470">
        <f t="shared" si="293"/>
        <v>2.0236161410419552E-2</v>
      </c>
      <c r="AC162" s="716"/>
      <c r="AQ162" s="747"/>
      <c r="AR162" s="747"/>
      <c r="BF162" s="747"/>
      <c r="BG162" s="827"/>
      <c r="BH162" s="828"/>
      <c r="BI162" s="828"/>
      <c r="BJ162" s="828"/>
      <c r="BK162" s="828"/>
      <c r="BL162" s="828"/>
      <c r="BM162" s="828"/>
      <c r="BN162" s="828"/>
      <c r="BO162" s="721"/>
      <c r="BP162" s="771" t="s">
        <v>7</v>
      </c>
      <c r="BQ162" s="772"/>
      <c r="BR162" s="841">
        <f t="shared" si="299"/>
        <v>0</v>
      </c>
      <c r="BS162" s="841">
        <f t="shared" si="299"/>
        <v>6.6605503370225527E-2</v>
      </c>
      <c r="BT162" s="841">
        <f t="shared" si="299"/>
        <v>-8.5307601348983075E-2</v>
      </c>
      <c r="BU162" s="842">
        <f t="shared" si="299"/>
        <v>0.1539462075633633</v>
      </c>
      <c r="BV162" s="721"/>
    </row>
    <row r="163" spans="1:74" x14ac:dyDescent="0.35">
      <c r="A163" s="988"/>
      <c r="H163" s="759" t="s">
        <v>590</v>
      </c>
      <c r="J163" s="479">
        <f t="shared" si="283"/>
        <v>7.325547639166141E-3</v>
      </c>
      <c r="K163" s="479">
        <f t="shared" si="284"/>
        <v>8.3547454024441338E-3</v>
      </c>
      <c r="L163" s="479">
        <f t="shared" si="285"/>
        <v>7.0259750341772065E-3</v>
      </c>
      <c r="M163" s="479">
        <f t="shared" si="286"/>
        <v>1.7837300297013647E-2</v>
      </c>
      <c r="O163" s="759" t="s">
        <v>590</v>
      </c>
      <c r="Q163" s="722"/>
      <c r="R163" s="479">
        <f t="shared" si="295"/>
        <v>4.9035899703687783E-3</v>
      </c>
      <c r="S163" s="479">
        <f t="shared" si="287"/>
        <v>5.5998997461611435E-3</v>
      </c>
      <c r="T163" s="479">
        <f t="shared" si="288"/>
        <v>6.9181274071037861E-3</v>
      </c>
      <c r="U163" s="479">
        <f t="shared" si="289"/>
        <v>5.1293123702700659E-3</v>
      </c>
      <c r="W163" s="759" t="s">
        <v>590</v>
      </c>
      <c r="Y163" s="479">
        <f t="shared" si="290"/>
        <v>1.222913760953492E-2</v>
      </c>
      <c r="Z163" s="479">
        <f t="shared" si="291"/>
        <v>1.3954645148605277E-2</v>
      </c>
      <c r="AA163" s="479">
        <f t="shared" si="292"/>
        <v>1.3944102441280993E-2</v>
      </c>
      <c r="AB163" s="479">
        <f t="shared" si="293"/>
        <v>2.2966612667283712E-2</v>
      </c>
      <c r="AC163" s="716"/>
      <c r="AQ163" s="747"/>
      <c r="AR163" s="747"/>
      <c r="BF163" s="747"/>
      <c r="BG163" s="827"/>
      <c r="BH163" s="828"/>
      <c r="BI163" s="828"/>
      <c r="BJ163" s="828"/>
      <c r="BK163" s="828"/>
      <c r="BL163" s="828"/>
      <c r="BM163" s="828"/>
      <c r="BN163" s="828"/>
      <c r="BO163" s="721"/>
      <c r="BP163" s="721" t="s">
        <v>603</v>
      </c>
      <c r="BQ163" s="721"/>
      <c r="BR163" s="721"/>
      <c r="BS163" s="721"/>
      <c r="BT163" s="721"/>
      <c r="BU163" s="721"/>
      <c r="BV163" s="721"/>
    </row>
    <row r="164" spans="1:74" x14ac:dyDescent="0.35">
      <c r="A164" s="988"/>
      <c r="H164" s="764" t="s">
        <v>492</v>
      </c>
      <c r="I164" s="769"/>
      <c r="J164" s="478">
        <f t="shared" si="283"/>
        <v>2.977586029343999E-3</v>
      </c>
      <c r="K164" s="478">
        <f t="shared" si="284"/>
        <v>3.5693851690934801E-3</v>
      </c>
      <c r="L164" s="478">
        <f t="shared" si="285"/>
        <v>2.377818882705491E-3</v>
      </c>
      <c r="M164" s="478">
        <f t="shared" si="286"/>
        <v>3.8602218346316954E-3</v>
      </c>
      <c r="O164" s="764" t="s">
        <v>492</v>
      </c>
      <c r="P164" s="769"/>
      <c r="Q164" s="769"/>
      <c r="R164" s="478">
        <f t="shared" si="295"/>
        <v>4.5311092312733239E-4</v>
      </c>
      <c r="S164" s="478">
        <f t="shared" si="287"/>
        <v>5.43733107752799E-4</v>
      </c>
      <c r="T164" s="478">
        <f t="shared" si="288"/>
        <v>1.9586561938166036E-4</v>
      </c>
      <c r="U164" s="478">
        <f t="shared" si="289"/>
        <v>5.0862728324131516E-4</v>
      </c>
      <c r="W164" s="764" t="s">
        <v>492</v>
      </c>
      <c r="X164" s="769"/>
      <c r="Y164" s="478">
        <f t="shared" si="290"/>
        <v>3.4306969524713314E-3</v>
      </c>
      <c r="Z164" s="478">
        <f t="shared" si="291"/>
        <v>4.1131182768462792E-3</v>
      </c>
      <c r="AA164" s="478">
        <f t="shared" si="292"/>
        <v>2.5736845020871515E-3</v>
      </c>
      <c r="AB164" s="478">
        <f t="shared" si="293"/>
        <v>4.368849117873011E-3</v>
      </c>
      <c r="AC164" s="716"/>
      <c r="AQ164" s="747"/>
      <c r="AR164" s="747"/>
      <c r="BF164" s="747"/>
      <c r="BG164" s="827"/>
      <c r="BH164" s="828"/>
      <c r="BI164" s="828"/>
      <c r="BJ164" s="828"/>
      <c r="BK164" s="828"/>
      <c r="BL164" s="828"/>
      <c r="BM164" s="828"/>
      <c r="BN164" s="828"/>
      <c r="BO164" s="721"/>
      <c r="BP164" s="749" t="s">
        <v>852</v>
      </c>
      <c r="BQ164" s="721"/>
      <c r="BR164" s="721"/>
      <c r="BS164" s="721"/>
      <c r="BT164" s="721"/>
      <c r="BU164" s="721"/>
      <c r="BV164" s="721"/>
    </row>
    <row r="165" spans="1:74" x14ac:dyDescent="0.35">
      <c r="A165" s="988"/>
      <c r="H165" s="843" t="s">
        <v>7</v>
      </c>
      <c r="I165" s="844"/>
      <c r="J165" s="474">
        <f t="shared" si="283"/>
        <v>0.62228356305415322</v>
      </c>
      <c r="K165" s="474">
        <f t="shared" si="284"/>
        <v>0.63398024167894018</v>
      </c>
      <c r="L165" s="474">
        <f t="shared" si="285"/>
        <v>0.58325254625924083</v>
      </c>
      <c r="M165" s="474">
        <f t="shared" si="286"/>
        <v>0.63755517257660232</v>
      </c>
      <c r="N165" s="784"/>
      <c r="O165" s="843" t="s">
        <v>7</v>
      </c>
      <c r="P165" s="844"/>
      <c r="Q165" s="477"/>
      <c r="R165" s="474">
        <f t="shared" si="295"/>
        <v>0.43645778603568153</v>
      </c>
      <c r="S165" s="474">
        <f t="shared" si="287"/>
        <v>0.44182448995587298</v>
      </c>
      <c r="T165" s="474">
        <f t="shared" si="288"/>
        <v>0.37202631448974505</v>
      </c>
      <c r="U165" s="474">
        <f t="shared" si="289"/>
        <v>0.4354561644326187</v>
      </c>
      <c r="W165" s="773" t="s">
        <v>7</v>
      </c>
      <c r="X165" s="774"/>
      <c r="Y165" s="476">
        <f t="shared" si="290"/>
        <v>1.0587413490898347</v>
      </c>
      <c r="Z165" s="476">
        <f t="shared" si="291"/>
        <v>1.0758047316348132</v>
      </c>
      <c r="AA165" s="476">
        <f t="shared" si="292"/>
        <v>0.95527886074898594</v>
      </c>
      <c r="AB165" s="476">
        <f t="shared" si="293"/>
        <v>1.0730113370092211</v>
      </c>
      <c r="AC165" s="716"/>
      <c r="AQ165" s="747"/>
      <c r="AR165" s="747"/>
      <c r="BF165" s="747"/>
      <c r="BG165" s="827"/>
      <c r="BH165" s="828"/>
      <c r="BI165" s="828"/>
      <c r="BJ165" s="828"/>
      <c r="BK165" s="828"/>
      <c r="BL165" s="828"/>
      <c r="BM165" s="828"/>
      <c r="BN165" s="828"/>
      <c r="BO165" s="721"/>
      <c r="BP165" s="755" t="s">
        <v>853</v>
      </c>
      <c r="BQ165" s="755"/>
      <c r="BR165" s="448">
        <f>BR77</f>
        <v>2196.1883237930429</v>
      </c>
      <c r="BS165" s="448">
        <f t="shared" ref="BS165:BU165" si="300">BS77</f>
        <v>2350.0000464954524</v>
      </c>
      <c r="BT165" s="448">
        <f t="shared" si="300"/>
        <v>1745.0077810320581</v>
      </c>
      <c r="BU165" s="757">
        <f t="shared" si="300"/>
        <v>3000.582059665418</v>
      </c>
      <c r="BV165" s="721"/>
    </row>
    <row r="166" spans="1:74" x14ac:dyDescent="0.35">
      <c r="A166" s="988"/>
      <c r="H166" s="784"/>
      <c r="I166" s="784"/>
      <c r="J166" s="758">
        <f t="shared" ref="J166:M166" si="301">J165/$J165-1</f>
        <v>0</v>
      </c>
      <c r="K166" s="758">
        <f t="shared" si="301"/>
        <v>1.8796380491523657E-2</v>
      </c>
      <c r="L166" s="758">
        <f t="shared" si="301"/>
        <v>-6.2722236472628423E-2</v>
      </c>
      <c r="M166" s="758">
        <f t="shared" si="301"/>
        <v>2.454123880035719E-2</v>
      </c>
      <c r="N166" s="784"/>
      <c r="O166" s="742"/>
      <c r="P166" s="742"/>
      <c r="Q166" s="742"/>
      <c r="R166" s="758">
        <f>R165/$R165-1</f>
        <v>0</v>
      </c>
      <c r="S166" s="758">
        <f t="shared" ref="S166:U166" si="302">S165/$R165-1</f>
        <v>1.2296043493545739E-2</v>
      </c>
      <c r="T166" s="758">
        <f t="shared" si="302"/>
        <v>-0.14762360440665623</v>
      </c>
      <c r="U166" s="758">
        <f t="shared" si="302"/>
        <v>-2.294887696151493E-3</v>
      </c>
      <c r="W166" s="742"/>
      <c r="X166" s="742"/>
      <c r="Y166" s="758">
        <f>Y165/$Y165-1</f>
        <v>0</v>
      </c>
      <c r="Z166" s="758">
        <f t="shared" ref="Z166:AB166" si="303">Z165/$Y165-1</f>
        <v>1.6116667739148216E-2</v>
      </c>
      <c r="AA166" s="758">
        <f t="shared" si="303"/>
        <v>-9.7722157002550381E-2</v>
      </c>
      <c r="AB166" s="758">
        <f t="shared" si="303"/>
        <v>1.3478256924275067E-2</v>
      </c>
      <c r="AC166" s="716"/>
      <c r="AQ166" s="747"/>
      <c r="AR166" s="747"/>
      <c r="BF166" s="747"/>
      <c r="BG166" s="827"/>
      <c r="BH166" s="828"/>
      <c r="BI166" s="828"/>
      <c r="BJ166" s="828"/>
      <c r="BK166" s="828"/>
      <c r="BL166" s="828"/>
      <c r="BM166" s="828"/>
      <c r="BN166" s="828"/>
      <c r="BO166" s="721"/>
      <c r="BP166" s="759" t="s">
        <v>854</v>
      </c>
      <c r="BQ166" s="829"/>
      <c r="BR166" s="498">
        <f t="shared" ref="BR166:BU166" si="304">BR72</f>
        <v>8247.986786719619</v>
      </c>
      <c r="BS166" s="498">
        <f t="shared" si="304"/>
        <v>8822.255967036499</v>
      </c>
      <c r="BT166" s="498">
        <f t="shared" si="304"/>
        <v>7563.4988028189591</v>
      </c>
      <c r="BU166" s="830">
        <f t="shared" si="304"/>
        <v>8836.8220435532839</v>
      </c>
      <c r="BV166" s="721"/>
    </row>
    <row r="167" spans="1:74" x14ac:dyDescent="0.35">
      <c r="A167" s="988"/>
      <c r="Q167" s="722"/>
      <c r="Y167" s="475">
        <f>ROUND(Y152+Y155+Y161+SUM(Y162:Y164)-Y165,-2)</f>
        <v>0</v>
      </c>
      <c r="Z167" s="475">
        <f t="shared" ref="Z167" si="305">ROUND(Z152+Z155+Z161+SUM(Z162:Z164)-Z165,-2)</f>
        <v>0</v>
      </c>
      <c r="AA167" s="475">
        <f t="shared" ref="AA167:AB167" si="306">ROUND(AA152+AA155+AA161+SUM(AA162:AA164)-AA165,-2)</f>
        <v>0</v>
      </c>
      <c r="AB167" s="475">
        <f t="shared" si="306"/>
        <v>0</v>
      </c>
      <c r="AC167" s="716"/>
      <c r="AQ167" s="747"/>
      <c r="AR167" s="747"/>
      <c r="BF167" s="747"/>
      <c r="BG167" s="827"/>
      <c r="BH167" s="828"/>
      <c r="BI167" s="828"/>
      <c r="BJ167" s="828"/>
      <c r="BK167" s="828"/>
      <c r="BL167" s="828"/>
      <c r="BM167" s="828"/>
      <c r="BN167" s="828"/>
      <c r="BO167" s="721"/>
      <c r="BP167" s="759" t="s">
        <v>855</v>
      </c>
      <c r="BQ167" s="829"/>
      <c r="BR167" s="498">
        <v>5154.9917416997614</v>
      </c>
      <c r="BS167" s="498">
        <v>5513.9099793978112</v>
      </c>
      <c r="BT167" s="498">
        <v>4727.1867517618493</v>
      </c>
      <c r="BU167" s="830">
        <v>5523.0137772208018</v>
      </c>
      <c r="BV167" s="721"/>
    </row>
    <row r="168" spans="1:74" x14ac:dyDescent="0.35">
      <c r="A168" s="988"/>
      <c r="O168" s="845" t="s">
        <v>569</v>
      </c>
      <c r="P168" s="846"/>
      <c r="Q168" s="846"/>
      <c r="R168" s="453">
        <f>BC123/10^6</f>
        <v>2.034003241712742</v>
      </c>
      <c r="S168" s="453">
        <f>BD123/10^6</f>
        <v>2.312134248007307</v>
      </c>
      <c r="T168" s="453">
        <f>BE123/10^6</f>
        <v>0.75626248438231125</v>
      </c>
      <c r="U168" s="453">
        <f>BF123/10^6</f>
        <v>2.1159933183925634</v>
      </c>
      <c r="W168" s="845" t="s">
        <v>569</v>
      </c>
      <c r="X168" s="846"/>
      <c r="Y168" s="453">
        <f>BC123/10^6</f>
        <v>2.034003241712742</v>
      </c>
      <c r="Z168" s="453">
        <f>BD123/10^6</f>
        <v>2.312134248007307</v>
      </c>
      <c r="AA168" s="453">
        <f>BE123/10^6</f>
        <v>0.75626248438231125</v>
      </c>
      <c r="AB168" s="453">
        <f>BF123/10^6</f>
        <v>2.1159933183925634</v>
      </c>
      <c r="AC168" s="716"/>
      <c r="AQ168" s="747"/>
      <c r="AR168" s="747"/>
      <c r="BF168" s="747"/>
      <c r="BG168" s="827"/>
      <c r="BH168" s="828"/>
      <c r="BI168" s="747"/>
      <c r="BO168" s="721"/>
      <c r="BP168" s="764" t="s">
        <v>856</v>
      </c>
      <c r="BQ168" s="831"/>
      <c r="BR168" s="445">
        <f t="shared" ref="BR168:BU168" si="307">BR60+BR61</f>
        <v>106.56727771316183</v>
      </c>
      <c r="BS168" s="445">
        <f t="shared" si="307"/>
        <v>111.03951445608698</v>
      </c>
      <c r="BT168" s="445">
        <f t="shared" si="307"/>
        <v>190.82879629345388</v>
      </c>
      <c r="BU168" s="770">
        <f t="shared" si="307"/>
        <v>195.75945175648411</v>
      </c>
      <c r="BV168" s="721"/>
    </row>
    <row r="169" spans="1:74" x14ac:dyDescent="0.35">
      <c r="A169" s="988"/>
      <c r="O169" s="843" t="s">
        <v>568</v>
      </c>
      <c r="P169" s="844"/>
      <c r="Q169" s="844"/>
      <c r="R169" s="474">
        <f>R168+R165</f>
        <v>2.4704610277484234</v>
      </c>
      <c r="S169" s="474">
        <f>S168+S165</f>
        <v>2.7539587379631802</v>
      </c>
      <c r="T169" s="474">
        <f t="shared" ref="T169:U169" si="308">T168+T165</f>
        <v>1.1282887988720562</v>
      </c>
      <c r="U169" s="474">
        <f t="shared" si="308"/>
        <v>2.5514494828251824</v>
      </c>
      <c r="V169" s="784"/>
      <c r="W169" s="843" t="s">
        <v>568</v>
      </c>
      <c r="X169" s="844"/>
      <c r="Y169" s="474">
        <f>Y168+Y165</f>
        <v>3.0927445908025768</v>
      </c>
      <c r="Z169" s="474">
        <f>Z168+Z165</f>
        <v>3.3879389796421204</v>
      </c>
      <c r="AA169" s="474">
        <f t="shared" ref="AA169:AB169" si="309">AA168+AA165</f>
        <v>1.7115413451312973</v>
      </c>
      <c r="AB169" s="474">
        <f t="shared" si="309"/>
        <v>3.1890046554017846</v>
      </c>
      <c r="AC169" s="716"/>
      <c r="AQ169" s="747"/>
      <c r="AR169" s="747"/>
      <c r="BF169" s="747"/>
      <c r="BG169" s="827"/>
      <c r="BH169" s="828"/>
      <c r="BI169" s="747"/>
      <c r="BO169" s="721"/>
      <c r="BP169" s="771" t="s">
        <v>7</v>
      </c>
      <c r="BQ169" s="772"/>
      <c r="BR169" s="484">
        <f t="shared" ref="BR169:BU169" si="310">BR76</f>
        <v>11277.208307217379</v>
      </c>
      <c r="BS169" s="484">
        <f t="shared" si="310"/>
        <v>12040.248550010805</v>
      </c>
      <c r="BT169" s="484">
        <f t="shared" si="310"/>
        <v>10019.782877477262</v>
      </c>
      <c r="BU169" s="782">
        <f t="shared" si="310"/>
        <v>12926.907146272766</v>
      </c>
      <c r="BV169" s="721"/>
    </row>
    <row r="170" spans="1:74" x14ac:dyDescent="0.35">
      <c r="A170" s="988"/>
      <c r="Q170" s="722"/>
      <c r="R170" s="758">
        <f>R169/$R169-1</f>
        <v>0</v>
      </c>
      <c r="S170" s="758">
        <f t="shared" ref="S170:U170" si="311">S169/$R169-1</f>
        <v>0.11475498177485388</v>
      </c>
      <c r="T170" s="758">
        <f t="shared" si="311"/>
        <v>-0.54328816111688361</v>
      </c>
      <c r="U170" s="758">
        <f t="shared" si="311"/>
        <v>3.2782729282951673E-2</v>
      </c>
      <c r="Y170" s="758">
        <f t="shared" ref="Y170:AB170" si="312">Y169/$Y169-1</f>
        <v>0</v>
      </c>
      <c r="Z170" s="758">
        <f t="shared" si="312"/>
        <v>9.5447386673123136E-2</v>
      </c>
      <c r="AA170" s="758">
        <f t="shared" si="312"/>
        <v>-0.4465946686250134</v>
      </c>
      <c r="AB170" s="758">
        <f t="shared" si="312"/>
        <v>3.1124479171501296E-2</v>
      </c>
      <c r="AC170" s="716"/>
      <c r="AQ170" s="747"/>
      <c r="AR170" s="747"/>
      <c r="BF170" s="747"/>
      <c r="BG170" s="827"/>
      <c r="BH170" s="828"/>
      <c r="BI170" s="747"/>
      <c r="BO170" s="721"/>
      <c r="BP170" s="749" t="s">
        <v>858</v>
      </c>
      <c r="BQ170" s="834"/>
      <c r="BR170" s="721"/>
      <c r="BS170" s="721"/>
      <c r="BT170" s="721"/>
      <c r="BU170" s="721"/>
      <c r="BV170" s="721"/>
    </row>
    <row r="171" spans="1:74" x14ac:dyDescent="0.35">
      <c r="A171" s="988"/>
      <c r="B171" s="716"/>
      <c r="C171" s="716"/>
      <c r="D171" s="716"/>
      <c r="E171" s="716"/>
      <c r="F171" s="716"/>
      <c r="G171" s="716"/>
      <c r="H171" s="716"/>
      <c r="I171" s="716"/>
      <c r="J171" s="716"/>
      <c r="K171" s="716"/>
      <c r="L171" s="716"/>
      <c r="M171" s="716"/>
      <c r="N171" s="716"/>
      <c r="O171" s="716"/>
      <c r="P171" s="716"/>
      <c r="Q171" s="716"/>
      <c r="R171" s="716"/>
      <c r="S171" s="716"/>
      <c r="T171" s="716"/>
      <c r="U171" s="716"/>
      <c r="V171" s="716"/>
      <c r="W171" s="716"/>
      <c r="X171" s="716"/>
      <c r="Y171" s="716"/>
      <c r="Z171" s="716"/>
      <c r="AA171" s="716"/>
      <c r="AB171" s="716"/>
      <c r="AC171" s="716"/>
      <c r="AQ171" s="747"/>
      <c r="AR171" s="747"/>
      <c r="BF171" s="747"/>
      <c r="BG171" s="827"/>
      <c r="BH171" s="828"/>
      <c r="BI171" s="747"/>
      <c r="BO171" s="721"/>
      <c r="BP171" s="755" t="s">
        <v>859</v>
      </c>
      <c r="BQ171" s="755"/>
      <c r="BR171" s="835">
        <f t="shared" ref="BR171:BU172" si="313">BR165/$BR165-1</f>
        <v>0</v>
      </c>
      <c r="BS171" s="835">
        <f t="shared" si="313"/>
        <v>7.0035761977261135E-2</v>
      </c>
      <c r="BT171" s="835">
        <f t="shared" si="313"/>
        <v>-0.20543800268537515</v>
      </c>
      <c r="BU171" s="836">
        <f t="shared" si="313"/>
        <v>0.36626810513367292</v>
      </c>
      <c r="BV171" s="721"/>
    </row>
    <row r="172" spans="1:74" ht="18.5" x14ac:dyDescent="0.35">
      <c r="A172" s="988"/>
      <c r="B172" s="809" t="s">
        <v>589</v>
      </c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6" t="s">
        <v>571</v>
      </c>
      <c r="X172" s="818"/>
      <c r="Y172" s="826"/>
      <c r="Z172" s="818"/>
      <c r="AA172" s="818"/>
      <c r="AB172" s="818"/>
      <c r="AC172" s="716"/>
      <c r="AQ172" s="747"/>
      <c r="AR172" s="747"/>
      <c r="BF172" s="747"/>
      <c r="BG172" s="827"/>
      <c r="BH172" s="828"/>
      <c r="BI172" s="747"/>
      <c r="BO172" s="721"/>
      <c r="BP172" s="759" t="s">
        <v>854</v>
      </c>
      <c r="BQ172" s="829"/>
      <c r="BR172" s="837">
        <f t="shared" si="313"/>
        <v>0</v>
      </c>
      <c r="BS172" s="837">
        <f t="shared" si="313"/>
        <v>6.9625375884637908E-2</v>
      </c>
      <c r="BT172" s="837">
        <f t="shared" si="313"/>
        <v>-8.2988491810241372E-2</v>
      </c>
      <c r="BU172" s="838">
        <f t="shared" si="313"/>
        <v>7.139139187053134E-2</v>
      </c>
      <c r="BV172" s="721"/>
    </row>
    <row r="173" spans="1:74" ht="18.5" x14ac:dyDescent="0.35">
      <c r="A173" s="988"/>
      <c r="B173" s="809"/>
      <c r="J173" s="847"/>
      <c r="K173" s="848"/>
      <c r="L173" s="848"/>
      <c r="M173" s="848"/>
      <c r="Q173" s="722"/>
      <c r="W173" s="849" t="s">
        <v>7</v>
      </c>
      <c r="X173" s="850"/>
      <c r="Y173" s="454">
        <f>Y165+Y144</f>
        <v>2.0790341560776531</v>
      </c>
      <c r="Z173" s="454">
        <f t="shared" ref="Z173:AA173" si="314">Z165+Z144</f>
        <v>2.1063826155687693</v>
      </c>
      <c r="AA173" s="454">
        <f t="shared" si="314"/>
        <v>1.8675838502185729</v>
      </c>
      <c r="AB173" s="454">
        <f>AB165+AB144</f>
        <v>2.060894024926049</v>
      </c>
      <c r="AC173" s="716"/>
      <c r="AQ173" s="747"/>
      <c r="AR173" s="747"/>
      <c r="BF173" s="747"/>
      <c r="BG173" s="827"/>
      <c r="BH173" s="828"/>
      <c r="BI173" s="747"/>
      <c r="BO173" s="721"/>
      <c r="BP173" s="759" t="s">
        <v>855</v>
      </c>
      <c r="BQ173" s="829"/>
      <c r="BR173" s="837">
        <v>0</v>
      </c>
      <c r="BS173" s="837">
        <v>6.9625375884637908E-2</v>
      </c>
      <c r="BT173" s="837">
        <v>-8.2988491810241261E-2</v>
      </c>
      <c r="BU173" s="838">
        <v>7.139139187053134E-2</v>
      </c>
      <c r="BV173" s="721"/>
    </row>
    <row r="174" spans="1:74" x14ac:dyDescent="0.35">
      <c r="A174" s="988"/>
      <c r="B174" s="851"/>
      <c r="M174" s="848"/>
      <c r="Q174" s="722"/>
      <c r="W174" s="843" t="s">
        <v>568</v>
      </c>
      <c r="X174" s="852"/>
      <c r="Y174" s="452">
        <f>Y169+Y144</f>
        <v>4.1130373977903956</v>
      </c>
      <c r="Z174" s="452">
        <f>Z169+Z144</f>
        <v>4.4185168635760768</v>
      </c>
      <c r="AA174" s="452">
        <f t="shared" ref="AA174:AB174" si="315">AA169+AA144</f>
        <v>2.6238463346008842</v>
      </c>
      <c r="AB174" s="452">
        <f t="shared" si="315"/>
        <v>4.1768873433186124</v>
      </c>
      <c r="AC174" s="716"/>
      <c r="AQ174" s="747"/>
      <c r="AR174" s="747"/>
      <c r="BF174" s="747"/>
      <c r="BG174" s="827"/>
      <c r="BH174" s="828"/>
      <c r="BI174" s="747"/>
      <c r="BO174" s="721"/>
      <c r="BP174" s="759" t="s">
        <v>860</v>
      </c>
      <c r="BQ174" s="829"/>
      <c r="BR174" s="837">
        <f t="shared" ref="BR174:BU175" si="316">BR168/$BR168-1</f>
        <v>0</v>
      </c>
      <c r="BS174" s="837">
        <f t="shared" si="316"/>
        <v>4.1966322485619711E-2</v>
      </c>
      <c r="BT174" s="837">
        <f t="shared" si="316"/>
        <v>0.7906884776309262</v>
      </c>
      <c r="BU174" s="838">
        <f t="shared" si="316"/>
        <v>0.8369564838035306</v>
      </c>
      <c r="BV174" s="721"/>
    </row>
    <row r="175" spans="1:74" x14ac:dyDescent="0.35">
      <c r="A175" s="988"/>
      <c r="B175" s="716"/>
      <c r="C175" s="716"/>
      <c r="D175" s="716"/>
      <c r="E175" s="716"/>
      <c r="F175" s="716"/>
      <c r="G175" s="716"/>
      <c r="H175" s="716"/>
      <c r="I175" s="716"/>
      <c r="J175" s="716"/>
      <c r="K175" s="716"/>
      <c r="L175" s="716"/>
      <c r="M175" s="853"/>
      <c r="N175" s="716"/>
      <c r="O175" s="716"/>
      <c r="P175" s="716"/>
      <c r="Q175" s="716"/>
      <c r="R175" s="716"/>
      <c r="S175" s="716"/>
      <c r="T175" s="716"/>
      <c r="U175" s="716"/>
      <c r="V175" s="716"/>
      <c r="W175" s="716"/>
      <c r="X175" s="716"/>
      <c r="Y175" s="854">
        <f>Y174/$Y174-1</f>
        <v>0</v>
      </c>
      <c r="Z175" s="854">
        <f t="shared" ref="Z175:AB175" si="317">Z174/$Y174-1</f>
        <v>7.4271015855530642E-2</v>
      </c>
      <c r="AA175" s="854">
        <f t="shared" si="317"/>
        <v>-0.36206601573560548</v>
      </c>
      <c r="AB175" s="854">
        <f t="shared" si="317"/>
        <v>1.5523794060933627E-2</v>
      </c>
      <c r="AC175" s="716"/>
      <c r="AQ175" s="747"/>
      <c r="AR175" s="747"/>
      <c r="BF175" s="747"/>
      <c r="BG175" s="827"/>
      <c r="BH175" s="828"/>
      <c r="BI175" s="747"/>
      <c r="BO175" s="721"/>
      <c r="BP175" s="771" t="s">
        <v>7</v>
      </c>
      <c r="BQ175" s="772"/>
      <c r="BR175" s="841">
        <f t="shared" si="316"/>
        <v>0</v>
      </c>
      <c r="BS175" s="841">
        <f t="shared" si="316"/>
        <v>6.7662157335967921E-2</v>
      </c>
      <c r="BT175" s="841">
        <f t="shared" si="316"/>
        <v>-0.11150148117201741</v>
      </c>
      <c r="BU175" s="842">
        <f t="shared" si="316"/>
        <v>0.14628610149903709</v>
      </c>
      <c r="BV175" s="721"/>
    </row>
    <row r="176" spans="1:74" ht="21" customHeight="1" x14ac:dyDescent="0.35">
      <c r="A176" s="999" t="s">
        <v>588</v>
      </c>
      <c r="B176" s="855" t="s">
        <v>587</v>
      </c>
      <c r="C176" s="856"/>
      <c r="D176" s="856"/>
      <c r="E176" s="856"/>
      <c r="F176" s="856"/>
      <c r="G176" s="856"/>
      <c r="H176" s="856"/>
      <c r="I176" s="856"/>
      <c r="J176" s="856"/>
      <c r="K176" s="856"/>
      <c r="L176" s="856"/>
      <c r="M176" s="856"/>
      <c r="N176" s="856"/>
      <c r="O176" s="856"/>
      <c r="P176" s="856"/>
      <c r="Q176" s="856"/>
      <c r="R176" s="856"/>
      <c r="S176" s="856"/>
      <c r="T176" s="856"/>
      <c r="U176" s="856"/>
      <c r="V176" s="856"/>
      <c r="W176" s="856"/>
      <c r="X176" s="856"/>
      <c r="Y176" s="856"/>
      <c r="Z176" s="856"/>
      <c r="AA176" s="856"/>
      <c r="AB176" s="856"/>
      <c r="AC176" s="856"/>
      <c r="AQ176" s="747"/>
      <c r="AR176" s="747"/>
      <c r="BF176" s="747"/>
      <c r="BG176" s="827"/>
      <c r="BH176" s="828"/>
      <c r="BI176" s="747"/>
      <c r="BO176" s="721"/>
      <c r="BP176" s="721"/>
      <c r="BQ176" s="721"/>
      <c r="BR176" s="721"/>
      <c r="BS176" s="721"/>
      <c r="BT176" s="721"/>
      <c r="BU176" s="721"/>
      <c r="BV176" s="721"/>
    </row>
    <row r="177" spans="1:74" ht="15.75" customHeight="1" x14ac:dyDescent="0.35">
      <c r="A177" s="999"/>
      <c r="B177" s="855"/>
      <c r="C177" s="856"/>
      <c r="D177" s="856"/>
      <c r="E177" s="856"/>
      <c r="F177" s="857"/>
      <c r="G177" s="857"/>
      <c r="H177" s="992" t="s">
        <v>475</v>
      </c>
      <c r="I177" s="993"/>
      <c r="J177" s="728">
        <f>Y$19</f>
        <v>2015</v>
      </c>
      <c r="K177" s="728">
        <f>Z$19</f>
        <v>2019</v>
      </c>
      <c r="L177" s="728">
        <f>AA$19</f>
        <v>2021</v>
      </c>
      <c r="M177" s="728">
        <f>AB$19</f>
        <v>2023</v>
      </c>
      <c r="N177" s="856"/>
      <c r="O177" s="992" t="s">
        <v>474</v>
      </c>
      <c r="P177" s="993"/>
      <c r="Q177" s="1000"/>
      <c r="R177" s="728">
        <f>BC$19</f>
        <v>2015</v>
      </c>
      <c r="S177" s="728">
        <f>BD$19</f>
        <v>2019</v>
      </c>
      <c r="T177" s="728">
        <f>BE$19</f>
        <v>2021</v>
      </c>
      <c r="U177" s="728">
        <f>BF$19</f>
        <v>2023</v>
      </c>
      <c r="V177" s="856"/>
      <c r="W177" s="992" t="s">
        <v>586</v>
      </c>
      <c r="X177" s="993"/>
      <c r="Y177" s="728">
        <f>BC$19</f>
        <v>2015</v>
      </c>
      <c r="Z177" s="728">
        <f>BD$19</f>
        <v>2019</v>
      </c>
      <c r="AA177" s="728">
        <f>BE$19</f>
        <v>2021</v>
      </c>
      <c r="AB177" s="728">
        <f>BF$19</f>
        <v>2023</v>
      </c>
      <c r="AC177" s="856"/>
      <c r="AQ177" s="747"/>
      <c r="AR177" s="747"/>
      <c r="BF177" s="747"/>
      <c r="BG177" s="827"/>
      <c r="BH177" s="828"/>
      <c r="BI177" s="747"/>
    </row>
    <row r="178" spans="1:74" x14ac:dyDescent="0.35">
      <c r="A178" s="999"/>
      <c r="B178" s="856" t="s">
        <v>861</v>
      </c>
      <c r="C178" s="856"/>
      <c r="D178" s="856"/>
      <c r="E178" s="856"/>
      <c r="F178" s="858"/>
      <c r="G178" s="857"/>
      <c r="H178" s="859" t="s">
        <v>163</v>
      </c>
      <c r="I178" s="860"/>
      <c r="J178" s="473">
        <f>Y144</f>
        <v>1.0202928069878185</v>
      </c>
      <c r="K178" s="473">
        <f>Z144</f>
        <v>1.0305778839339563</v>
      </c>
      <c r="L178" s="473">
        <f>AA144</f>
        <v>0.91230498946958694</v>
      </c>
      <c r="M178" s="473">
        <f>AB144</f>
        <v>0.98788268791682776</v>
      </c>
      <c r="N178" s="861"/>
      <c r="O178" s="859" t="s">
        <v>163</v>
      </c>
      <c r="P178" s="860"/>
      <c r="Q178" s="860"/>
      <c r="R178" s="473">
        <f>R165+J165</f>
        <v>1.0587413490898347</v>
      </c>
      <c r="S178" s="473">
        <f>S165+K165</f>
        <v>1.0758047316348132</v>
      </c>
      <c r="T178" s="473">
        <f>T165+L165</f>
        <v>0.95527886074898594</v>
      </c>
      <c r="U178" s="473">
        <f>U165+M165</f>
        <v>1.0730113370092211</v>
      </c>
      <c r="V178" s="861"/>
      <c r="W178" s="859" t="s">
        <v>163</v>
      </c>
      <c r="X178" s="860"/>
      <c r="Y178" s="473">
        <f t="shared" ref="Y178:AB184" si="318">J178+R178</f>
        <v>2.0790341560776531</v>
      </c>
      <c r="Z178" s="473">
        <f t="shared" si="318"/>
        <v>2.1063826155687693</v>
      </c>
      <c r="AA178" s="473">
        <f t="shared" si="318"/>
        <v>1.8675838502185729</v>
      </c>
      <c r="AB178" s="473">
        <f t="shared" si="318"/>
        <v>2.060894024926049</v>
      </c>
      <c r="AC178" s="856"/>
      <c r="AQ178" s="747"/>
      <c r="AR178" s="747"/>
      <c r="BF178" s="747"/>
      <c r="BG178" s="827"/>
      <c r="BH178" s="828"/>
      <c r="BI178" s="747"/>
    </row>
    <row r="179" spans="1:74" x14ac:dyDescent="0.35">
      <c r="A179" s="999"/>
      <c r="B179" s="856"/>
      <c r="C179" s="856"/>
      <c r="D179" s="856"/>
      <c r="E179" s="856"/>
      <c r="F179" s="858"/>
      <c r="G179" s="857"/>
      <c r="H179" s="859"/>
      <c r="I179" s="862" t="s">
        <v>862</v>
      </c>
      <c r="J179" s="473">
        <f>Y134+Y140</f>
        <v>1.0033604754068333</v>
      </c>
      <c r="K179" s="473">
        <f>Z134+Z140</f>
        <v>1.0112718684299746</v>
      </c>
      <c r="L179" s="473">
        <f>AA134+AA140</f>
        <v>0.89580425834335797</v>
      </c>
      <c r="M179" s="473">
        <f>AB134+AB140</f>
        <v>0.94676134424798253</v>
      </c>
      <c r="N179" s="861"/>
      <c r="O179" s="859"/>
      <c r="P179" s="860"/>
      <c r="Q179" s="862" t="s">
        <v>862</v>
      </c>
      <c r="R179" s="473">
        <f>Y161+Y155</f>
        <v>1.0257248833979402</v>
      </c>
      <c r="S179" s="473">
        <f>Z161+Z155</f>
        <v>1.0394858946675054</v>
      </c>
      <c r="T179" s="473">
        <f>AA161+AA155</f>
        <v>0.92430673115447259</v>
      </c>
      <c r="U179" s="473">
        <f>AB161+AB155</f>
        <v>1.0234001218096986</v>
      </c>
      <c r="V179" s="861"/>
      <c r="W179" s="859"/>
      <c r="X179" s="862" t="s">
        <v>862</v>
      </c>
      <c r="Y179" s="473">
        <f t="shared" si="318"/>
        <v>2.0290853588047737</v>
      </c>
      <c r="Z179" s="473">
        <f t="shared" si="318"/>
        <v>2.0507577630974803</v>
      </c>
      <c r="AA179" s="473">
        <f t="shared" si="318"/>
        <v>1.8201109894978305</v>
      </c>
      <c r="AB179" s="473">
        <f t="shared" si="318"/>
        <v>1.9701614660576812</v>
      </c>
      <c r="AC179" s="856"/>
      <c r="AQ179" s="747"/>
      <c r="AR179" s="747"/>
      <c r="BF179" s="747"/>
      <c r="BG179" s="827"/>
      <c r="BH179" s="828"/>
      <c r="BI179" s="747"/>
    </row>
    <row r="180" spans="1:74" x14ac:dyDescent="0.35">
      <c r="A180" s="999"/>
      <c r="B180" s="856"/>
      <c r="C180" s="856"/>
      <c r="D180" s="856"/>
      <c r="E180" s="856"/>
      <c r="F180" s="858"/>
      <c r="G180" s="857"/>
      <c r="H180" s="863"/>
      <c r="I180" s="864" t="s">
        <v>863</v>
      </c>
      <c r="J180" s="865">
        <f>SUM(Y141:Y143)</f>
        <v>1.6932331580985328E-2</v>
      </c>
      <c r="K180" s="865">
        <f>SUM(Z141:Z143)</f>
        <v>1.9306015503981911E-2</v>
      </c>
      <c r="L180" s="865">
        <f>SUM(AA141:AA143)</f>
        <v>1.6500731126229032E-2</v>
      </c>
      <c r="M180" s="865">
        <f>SUM(AB141:AB143)</f>
        <v>4.1121343668845102E-2</v>
      </c>
      <c r="N180" s="861"/>
      <c r="O180" s="863"/>
      <c r="P180" s="866"/>
      <c r="Q180" s="864" t="s">
        <v>863</v>
      </c>
      <c r="R180" s="865">
        <f>SUM(Y162:Y164)</f>
        <v>3.1909598675641963E-2</v>
      </c>
      <c r="S180" s="865">
        <f>SUM(Z162:Z164)</f>
        <v>3.5109938554359031E-2</v>
      </c>
      <c r="T180" s="865">
        <f>SUM(AA162:AA164)</f>
        <v>2.8948172197609062E-2</v>
      </c>
      <c r="U180" s="865">
        <f>SUM(AB162:AB164)</f>
        <v>4.7571623195576271E-2</v>
      </c>
      <c r="V180" s="861"/>
      <c r="W180" s="863"/>
      <c r="X180" s="864" t="s">
        <v>863</v>
      </c>
      <c r="Y180" s="865">
        <f t="shared" si="318"/>
        <v>4.8841930256627294E-2</v>
      </c>
      <c r="Z180" s="865">
        <f t="shared" si="318"/>
        <v>5.4415954058340946E-2</v>
      </c>
      <c r="AA180" s="865">
        <f t="shared" si="318"/>
        <v>4.5448903323838094E-2</v>
      </c>
      <c r="AB180" s="865">
        <f t="shared" si="318"/>
        <v>8.869296686442138E-2</v>
      </c>
      <c r="AC180" s="856"/>
      <c r="AQ180" s="747"/>
      <c r="AR180" s="747"/>
      <c r="BF180" s="747"/>
      <c r="BG180" s="827"/>
      <c r="BH180" s="828"/>
      <c r="BI180" s="747"/>
    </row>
    <row r="181" spans="1:74" x14ac:dyDescent="0.35">
      <c r="A181" s="999"/>
      <c r="B181" s="856"/>
      <c r="C181" s="856"/>
      <c r="D181" s="856"/>
      <c r="E181" s="856"/>
      <c r="F181" s="858"/>
      <c r="G181" s="857"/>
      <c r="H181" s="863"/>
      <c r="I181" s="864" t="s">
        <v>684</v>
      </c>
      <c r="J181" s="865">
        <f>Y131</f>
        <v>0</v>
      </c>
      <c r="K181" s="865">
        <f>Z131</f>
        <v>0</v>
      </c>
      <c r="L181" s="865">
        <f>AA131</f>
        <v>0</v>
      </c>
      <c r="M181" s="865">
        <f>AB131</f>
        <v>0</v>
      </c>
      <c r="N181" s="861"/>
      <c r="O181" s="863"/>
      <c r="P181" s="866"/>
      <c r="Q181" s="864" t="s">
        <v>684</v>
      </c>
      <c r="R181" s="865">
        <f>Y152</f>
        <v>1.1068670162525571E-3</v>
      </c>
      <c r="S181" s="865">
        <f>Z152</f>
        <v>1.2088984129486322E-3</v>
      </c>
      <c r="T181" s="865">
        <f>AA152</f>
        <v>2.0239573969042259E-3</v>
      </c>
      <c r="U181" s="865">
        <f>AB152</f>
        <v>2.0395920039461687E-3</v>
      </c>
      <c r="V181" s="861"/>
      <c r="W181" s="863"/>
      <c r="X181" s="864" t="s">
        <v>684</v>
      </c>
      <c r="Y181" s="865">
        <f t="shared" si="318"/>
        <v>1.1068670162525571E-3</v>
      </c>
      <c r="Z181" s="865">
        <f t="shared" si="318"/>
        <v>1.2088984129486322E-3</v>
      </c>
      <c r="AA181" s="865">
        <f t="shared" si="318"/>
        <v>2.0239573969042259E-3</v>
      </c>
      <c r="AB181" s="865">
        <f t="shared" si="318"/>
        <v>2.0395920039461687E-3</v>
      </c>
      <c r="AC181" s="856"/>
      <c r="AQ181" s="747"/>
      <c r="AR181" s="747"/>
      <c r="BF181" s="747"/>
      <c r="BG181" s="827"/>
      <c r="BH181" s="828"/>
      <c r="BI181" s="747"/>
    </row>
    <row r="182" spans="1:74" x14ac:dyDescent="0.35">
      <c r="A182" s="999"/>
      <c r="B182" s="867" t="s">
        <v>585</v>
      </c>
      <c r="C182" s="868"/>
      <c r="D182" s="868"/>
      <c r="E182" s="471" t="s">
        <v>582</v>
      </c>
      <c r="F182" s="858"/>
      <c r="G182" s="857"/>
      <c r="H182" s="869" t="s">
        <v>584</v>
      </c>
      <c r="I182" s="870"/>
      <c r="J182" s="472">
        <v>0</v>
      </c>
      <c r="K182" s="472">
        <v>0</v>
      </c>
      <c r="L182" s="472">
        <v>0</v>
      </c>
      <c r="M182" s="472">
        <v>0</v>
      </c>
      <c r="N182" s="856"/>
      <c r="O182" s="869" t="s">
        <v>584</v>
      </c>
      <c r="P182" s="870"/>
      <c r="Q182" s="870"/>
      <c r="R182" s="472">
        <f>R168</f>
        <v>2.034003241712742</v>
      </c>
      <c r="S182" s="472">
        <f t="shared" ref="S182:U182" si="319">S168</f>
        <v>2.312134248007307</v>
      </c>
      <c r="T182" s="472">
        <f t="shared" si="319"/>
        <v>0.75626248438231125</v>
      </c>
      <c r="U182" s="472">
        <f t="shared" si="319"/>
        <v>2.1159933183925634</v>
      </c>
      <c r="V182" s="856"/>
      <c r="W182" s="869" t="s">
        <v>584</v>
      </c>
      <c r="X182" s="870"/>
      <c r="Y182" s="472">
        <f t="shared" si="318"/>
        <v>2.034003241712742</v>
      </c>
      <c r="Z182" s="472">
        <f t="shared" si="318"/>
        <v>2.312134248007307</v>
      </c>
      <c r="AA182" s="472">
        <f t="shared" si="318"/>
        <v>0.75626248438231125</v>
      </c>
      <c r="AB182" s="472">
        <f t="shared" si="318"/>
        <v>2.1159933183925634</v>
      </c>
      <c r="AC182" s="856"/>
      <c r="AQ182" s="747"/>
      <c r="AR182" s="747"/>
      <c r="BF182" s="747"/>
      <c r="BG182" s="827"/>
      <c r="BH182" s="828"/>
      <c r="BI182" s="747"/>
    </row>
    <row r="183" spans="1:74" x14ac:dyDescent="0.35">
      <c r="A183" s="999"/>
      <c r="B183" s="867" t="s">
        <v>583</v>
      </c>
      <c r="C183" s="868"/>
      <c r="D183" s="868"/>
      <c r="E183" s="471" t="s">
        <v>582</v>
      </c>
      <c r="F183" s="858"/>
      <c r="G183" s="857"/>
      <c r="H183" s="755" t="s">
        <v>581</v>
      </c>
      <c r="I183" s="768"/>
      <c r="J183" s="470">
        <v>0.238987</v>
      </c>
      <c r="K183" s="470">
        <v>0.234045</v>
      </c>
      <c r="L183" s="470">
        <v>0.21906</v>
      </c>
      <c r="M183" s="470">
        <v>0.230929</v>
      </c>
      <c r="N183" s="856"/>
      <c r="O183" s="755" t="s">
        <v>581</v>
      </c>
      <c r="P183" s="768"/>
      <c r="Q183" s="768"/>
      <c r="R183" s="470">
        <v>0.36862400000000001</v>
      </c>
      <c r="S183" s="470">
        <v>0.366697</v>
      </c>
      <c r="T183" s="470">
        <v>0.35780299999999998</v>
      </c>
      <c r="U183" s="470">
        <v>0.35370000000000001</v>
      </c>
      <c r="V183" s="856"/>
      <c r="W183" s="755" t="s">
        <v>581</v>
      </c>
      <c r="X183" s="768"/>
      <c r="Y183" s="470">
        <f t="shared" si="318"/>
        <v>0.60761100000000001</v>
      </c>
      <c r="Z183" s="470">
        <f t="shared" si="318"/>
        <v>0.600742</v>
      </c>
      <c r="AA183" s="470">
        <f t="shared" si="318"/>
        <v>0.57686300000000001</v>
      </c>
      <c r="AB183" s="470">
        <f t="shared" si="318"/>
        <v>0.58462900000000007</v>
      </c>
      <c r="AC183" s="856"/>
      <c r="AQ183" s="747"/>
      <c r="AR183" s="747"/>
      <c r="BF183" s="747"/>
      <c r="BG183" s="827"/>
      <c r="BH183" s="828"/>
      <c r="BI183" s="747"/>
    </row>
    <row r="184" spans="1:74" x14ac:dyDescent="0.35">
      <c r="A184" s="999"/>
      <c r="B184" s="867" t="s">
        <v>864</v>
      </c>
      <c r="C184" s="868"/>
      <c r="D184" s="868"/>
      <c r="E184" s="471" t="s">
        <v>582</v>
      </c>
      <c r="F184" s="858"/>
      <c r="G184" s="857"/>
      <c r="H184" s="755" t="s">
        <v>865</v>
      </c>
      <c r="I184" s="768"/>
      <c r="J184" s="470">
        <v>2.6869800477446356E-2</v>
      </c>
      <c r="K184" s="470">
        <v>2.5456383741889622E-2</v>
      </c>
      <c r="L184" s="470">
        <v>2.609559248954435E-2</v>
      </c>
      <c r="M184" s="470">
        <v>2.8302204091936095E-2</v>
      </c>
      <c r="N184" s="856"/>
      <c r="O184" s="755" t="s">
        <v>865</v>
      </c>
      <c r="P184" s="768"/>
      <c r="Q184" s="768"/>
      <c r="R184" s="470">
        <v>5.9932151828145834E-3</v>
      </c>
      <c r="S184" s="470">
        <v>5.6777256375002312E-3</v>
      </c>
      <c r="T184" s="470">
        <v>5.8215178241742506E-3</v>
      </c>
      <c r="U184" s="470">
        <v>6.3125224544811646E-3</v>
      </c>
      <c r="V184" s="856"/>
      <c r="W184" s="755" t="s">
        <v>865</v>
      </c>
      <c r="X184" s="768"/>
      <c r="Y184" s="470">
        <f t="shared" si="318"/>
        <v>3.2863015660260939E-2</v>
      </c>
      <c r="Z184" s="470">
        <f t="shared" si="318"/>
        <v>3.1134109379389853E-2</v>
      </c>
      <c r="AA184" s="470">
        <f t="shared" si="318"/>
        <v>3.1917110313718598E-2</v>
      </c>
      <c r="AB184" s="470">
        <f t="shared" si="318"/>
        <v>3.4614726546417257E-2</v>
      </c>
      <c r="AC184" s="856"/>
      <c r="AQ184" s="747"/>
      <c r="AR184" s="747"/>
      <c r="BF184" s="747"/>
      <c r="BG184" s="827"/>
      <c r="BH184" s="828"/>
      <c r="BI184" s="747"/>
      <c r="BO184" s="747"/>
      <c r="BP184" s="747"/>
      <c r="BV184" s="747"/>
    </row>
    <row r="185" spans="1:74" x14ac:dyDescent="0.35">
      <c r="A185" s="999"/>
      <c r="B185" s="867" t="s">
        <v>580</v>
      </c>
      <c r="C185" s="868"/>
      <c r="D185" s="868"/>
      <c r="E185" s="471" t="s">
        <v>579</v>
      </c>
      <c r="F185" s="858"/>
      <c r="G185" s="857"/>
      <c r="H185" s="871" t="s">
        <v>7</v>
      </c>
      <c r="I185" s="872"/>
      <c r="J185" s="469">
        <f>J178+J182+J183+J184</f>
        <v>1.286149607465265</v>
      </c>
      <c r="K185" s="469">
        <f t="shared" ref="K185:L185" si="320">K178+K182+K183+K184</f>
        <v>1.2900792676758459</v>
      </c>
      <c r="L185" s="469">
        <f t="shared" si="320"/>
        <v>1.1574605819591313</v>
      </c>
      <c r="M185" s="469">
        <f>M178+M182+M183+M184</f>
        <v>1.2471138920087639</v>
      </c>
      <c r="N185" s="873"/>
      <c r="O185" s="874" t="s">
        <v>7</v>
      </c>
      <c r="P185" s="875"/>
      <c r="Q185" s="875"/>
      <c r="R185" s="469">
        <f t="shared" ref="R185:U185" si="321">R178+R182+R183+R184</f>
        <v>3.4673618059853912</v>
      </c>
      <c r="S185" s="469">
        <f t="shared" si="321"/>
        <v>3.7603137052796205</v>
      </c>
      <c r="T185" s="469">
        <f t="shared" si="321"/>
        <v>2.0751658629554717</v>
      </c>
      <c r="U185" s="469">
        <f t="shared" si="321"/>
        <v>3.5490171778562658</v>
      </c>
      <c r="V185" s="873"/>
      <c r="W185" s="874" t="s">
        <v>7</v>
      </c>
      <c r="X185" s="875"/>
      <c r="Y185" s="469">
        <f t="shared" ref="Y185:Z185" si="322">Y178+Y182+Y183+Y184</f>
        <v>4.7535114134506555</v>
      </c>
      <c r="Z185" s="469">
        <f t="shared" si="322"/>
        <v>5.0503929729554669</v>
      </c>
      <c r="AA185" s="469">
        <f>AA178+AA182+AA183+AA184</f>
        <v>3.2326264449146027</v>
      </c>
      <c r="AB185" s="469">
        <f>AB178+AB182+AB183+AB184</f>
        <v>4.7961310698650301</v>
      </c>
      <c r="AC185" s="856"/>
      <c r="AQ185" s="747"/>
      <c r="AR185" s="747"/>
      <c r="BF185" s="747"/>
      <c r="BG185" s="827"/>
      <c r="BH185" s="828"/>
      <c r="BI185" s="747"/>
      <c r="BO185" s="747"/>
      <c r="BP185" s="747"/>
      <c r="BV185" s="747"/>
    </row>
    <row r="186" spans="1:74" x14ac:dyDescent="0.35">
      <c r="A186" s="999"/>
      <c r="B186" s="856"/>
      <c r="C186" s="856"/>
      <c r="D186" s="856"/>
      <c r="E186" s="856"/>
      <c r="F186" s="856"/>
      <c r="G186" s="856"/>
      <c r="H186" s="876" t="s">
        <v>567</v>
      </c>
      <c r="I186" s="877"/>
      <c r="J186" s="466">
        <f>J$185/$J$185-1</f>
        <v>0</v>
      </c>
      <c r="K186" s="466">
        <f t="shared" ref="K186:L186" si="323">K$185/$J$185-1</f>
        <v>3.0553678885969493E-3</v>
      </c>
      <c r="L186" s="468">
        <f t="shared" si="323"/>
        <v>-0.10005758642632034</v>
      </c>
      <c r="M186" s="466">
        <f>M$185/$J$185-1</f>
        <v>-3.0350835726982384E-2</v>
      </c>
      <c r="N186" s="873"/>
      <c r="O186" s="876" t="s">
        <v>567</v>
      </c>
      <c r="P186" s="873"/>
      <c r="Q186" s="873"/>
      <c r="R186" s="466">
        <f>R$185/$R$185-1</f>
        <v>0</v>
      </c>
      <c r="S186" s="466">
        <f t="shared" ref="S186:U186" si="324">S$185/$R$185-1</f>
        <v>8.4488413868011314E-2</v>
      </c>
      <c r="T186" s="468">
        <f t="shared" si="324"/>
        <v>-0.4015144715001181</v>
      </c>
      <c r="U186" s="466">
        <f t="shared" si="324"/>
        <v>2.3549711982729926E-2</v>
      </c>
      <c r="V186" s="873"/>
      <c r="W186" s="876" t="s">
        <v>567</v>
      </c>
      <c r="X186" s="873"/>
      <c r="Y186" s="466">
        <f>Y$185/$Y$185-1</f>
        <v>0</v>
      </c>
      <c r="Z186" s="466">
        <f t="shared" ref="Z186:AB186" si="325">Z$185/$Y$185-1</f>
        <v>6.2455211249677012E-2</v>
      </c>
      <c r="AA186" s="468">
        <f t="shared" si="325"/>
        <v>-0.31994978790468842</v>
      </c>
      <c r="AB186" s="466">
        <f t="shared" si="325"/>
        <v>8.9659312258674184E-3</v>
      </c>
      <c r="AC186" s="856"/>
      <c r="AQ186" s="747"/>
      <c r="AR186" s="747"/>
      <c r="BF186" s="747"/>
      <c r="BG186" s="827"/>
      <c r="BH186" s="828"/>
      <c r="BI186" s="747"/>
      <c r="BO186" s="747"/>
      <c r="BP186" s="747"/>
      <c r="BV186" s="747"/>
    </row>
    <row r="187" spans="1:74" x14ac:dyDescent="0.35">
      <c r="A187" s="999"/>
      <c r="B187" s="856"/>
      <c r="C187" s="856"/>
      <c r="D187" s="856"/>
      <c r="E187" s="856"/>
      <c r="F187" s="878"/>
      <c r="G187" s="856"/>
      <c r="H187" s="876" t="s">
        <v>566</v>
      </c>
      <c r="I187" s="877"/>
      <c r="J187" s="466">
        <f>(J185/Y$190)/($J185/$Y$190)-1</f>
        <v>0</v>
      </c>
      <c r="K187" s="466">
        <f>(K185/Z$190)/($J185/$Y$190)-1</f>
        <v>-3.7117218103150273E-2</v>
      </c>
      <c r="L187" s="468">
        <f>(L185/AA$190)/($J185/$Y$190)-1</f>
        <v>-0.15462639966960057</v>
      </c>
      <c r="M187" s="466">
        <f>(M185/AB$190)/($J185/$Y$190)-1</f>
        <v>-0.11341635098644565</v>
      </c>
      <c r="N187" s="466"/>
      <c r="O187" s="876" t="s">
        <v>566</v>
      </c>
      <c r="P187" s="466"/>
      <c r="Q187" s="466"/>
      <c r="R187" s="467">
        <f>(R185/Y$190)/($R185/$Y$190)-1</f>
        <v>0</v>
      </c>
      <c r="S187" s="467">
        <f>(S185/Z$190)/($R185/$Y$190)-1</f>
        <v>4.1054416645233349E-2</v>
      </c>
      <c r="T187" s="468">
        <f>(T185/AA$190)/($R185/$Y$190)-1</f>
        <v>-0.43780417686451822</v>
      </c>
      <c r="U187" s="467">
        <f>(U185/AB$190)/($R185/$Y$190)-1</f>
        <v>-6.4133222579756288E-2</v>
      </c>
      <c r="V187" s="466"/>
      <c r="W187" s="876" t="s">
        <v>566</v>
      </c>
      <c r="X187" s="466"/>
      <c r="Y187" s="466">
        <f t="shared" ref="Y187:AB187" si="326">(Y185/Y$190)/($Y185/$Y$190)-1</f>
        <v>0</v>
      </c>
      <c r="Z187" s="466">
        <f t="shared" si="326"/>
        <v>1.9903648591524936E-2</v>
      </c>
      <c r="AA187" s="468">
        <f t="shared" si="326"/>
        <v>-0.36118524081830305</v>
      </c>
      <c r="AB187" s="466">
        <f t="shared" si="326"/>
        <v>-7.7467675943130199E-2</v>
      </c>
      <c r="AC187" s="856"/>
      <c r="AQ187" s="747"/>
      <c r="AR187" s="747"/>
      <c r="BF187" s="747"/>
      <c r="BG187" s="827"/>
      <c r="BH187" s="828"/>
      <c r="BI187" s="747"/>
      <c r="BO187" s="747"/>
      <c r="BP187" s="747"/>
      <c r="BV187" s="747"/>
    </row>
    <row r="188" spans="1:74" ht="16" thickBot="1" x14ac:dyDescent="0.4">
      <c r="A188" s="999"/>
      <c r="B188" s="856"/>
      <c r="C188" s="856"/>
      <c r="D188" s="856"/>
      <c r="E188" s="856"/>
      <c r="F188" s="878"/>
      <c r="G188" s="856"/>
      <c r="H188" s="876" t="s">
        <v>866</v>
      </c>
      <c r="I188" s="878"/>
      <c r="J188" s="466">
        <f>J$185/$J$190-1</f>
        <v>0.11448951438703525</v>
      </c>
      <c r="K188" s="466">
        <f t="shared" ref="K188:L188" si="327">K$185/$J$190-1</f>
        <v>0.11789468986147122</v>
      </c>
      <c r="L188" s="468">
        <f t="shared" si="327"/>
        <v>2.9763834800267119E-3</v>
      </c>
      <c r="M188" s="466">
        <f>M$185/$J$190-1</f>
        <v>8.0663826216429868E-2</v>
      </c>
      <c r="N188" s="466"/>
      <c r="O188" s="466"/>
      <c r="P188" s="466"/>
      <c r="Q188" s="466"/>
      <c r="R188" s="467"/>
      <c r="S188" s="467"/>
      <c r="T188" s="467"/>
      <c r="U188" s="467"/>
      <c r="V188" s="466"/>
      <c r="W188" s="466"/>
      <c r="X188" s="466"/>
      <c r="Y188" s="466"/>
      <c r="Z188" s="466"/>
      <c r="AA188" s="466"/>
      <c r="AB188" s="466"/>
      <c r="AC188" s="856"/>
      <c r="AQ188" s="747"/>
      <c r="AR188" s="747"/>
      <c r="BF188" s="747"/>
      <c r="BG188" s="827"/>
      <c r="BH188" s="828"/>
      <c r="BI188" s="747"/>
      <c r="BO188" s="747"/>
      <c r="BP188" s="747"/>
      <c r="BV188" s="747"/>
    </row>
    <row r="189" spans="1:74" x14ac:dyDescent="0.35">
      <c r="A189" s="999"/>
      <c r="B189" s="856"/>
      <c r="C189" s="856"/>
      <c r="D189" s="856"/>
      <c r="E189" s="856"/>
      <c r="F189" s="878"/>
      <c r="G189" s="856"/>
      <c r="H189" s="992" t="s">
        <v>475</v>
      </c>
      <c r="I189" s="993"/>
      <c r="J189" s="879">
        <v>1990</v>
      </c>
      <c r="K189" s="880">
        <v>2030</v>
      </c>
      <c r="L189" s="881">
        <v>2040</v>
      </c>
      <c r="M189" s="881">
        <v>2050</v>
      </c>
      <c r="N189" s="466"/>
      <c r="O189" s="466"/>
      <c r="P189" s="466"/>
      <c r="Q189" s="466"/>
      <c r="R189" s="467"/>
      <c r="S189" s="467"/>
      <c r="T189" s="467"/>
      <c r="U189" s="882"/>
      <c r="V189" s="466"/>
      <c r="W189" s="883" t="s">
        <v>578</v>
      </c>
      <c r="X189" s="884"/>
      <c r="Y189" s="465">
        <f t="shared" ref="Y189:AB189" si="328">Y$190/$Y$190-1</f>
        <v>0</v>
      </c>
      <c r="Z189" s="465">
        <f t="shared" si="328"/>
        <v>4.1721159363353078E-2</v>
      </c>
      <c r="AA189" s="465">
        <f t="shared" si="328"/>
        <v>6.454993771032469E-2</v>
      </c>
      <c r="AB189" s="464">
        <f t="shared" si="328"/>
        <v>9.3691684199099567E-2</v>
      </c>
      <c r="AC189" s="856"/>
      <c r="AQ189" s="747"/>
      <c r="AR189" s="747"/>
      <c r="BF189" s="747"/>
      <c r="BG189" s="827"/>
      <c r="BH189" s="828"/>
      <c r="BI189" s="747"/>
      <c r="BO189" s="747"/>
      <c r="BP189" s="747"/>
      <c r="BV189" s="747"/>
    </row>
    <row r="190" spans="1:74" ht="16" thickBot="1" x14ac:dyDescent="0.4">
      <c r="A190" s="999"/>
      <c r="B190" s="856"/>
      <c r="C190" s="856"/>
      <c r="D190" s="856"/>
      <c r="E190" s="856"/>
      <c r="F190" s="856"/>
      <c r="G190" s="856"/>
      <c r="H190" s="463" t="s">
        <v>577</v>
      </c>
      <c r="I190" s="462"/>
      <c r="J190" s="461">
        <v>1.1540257587552469</v>
      </c>
      <c r="K190" s="460">
        <f>$J$190*(1+K$191)</f>
        <v>0.8655193190664352</v>
      </c>
      <c r="L190" s="459">
        <f>$J$190*(1+L$191)</f>
        <v>0.49623107626475621</v>
      </c>
      <c r="M190" s="459">
        <f>$J$190*(1+M$191)</f>
        <v>0</v>
      </c>
      <c r="N190" s="458"/>
      <c r="O190" s="457"/>
      <c r="P190" s="457"/>
      <c r="Q190" s="457"/>
      <c r="R190" s="457"/>
      <c r="S190" s="457"/>
      <c r="T190" s="457"/>
      <c r="U190" s="457"/>
      <c r="V190" s="457"/>
      <c r="W190" s="885"/>
      <c r="X190" s="886" t="s">
        <v>576</v>
      </c>
      <c r="Y190" s="456">
        <v>773.80399999999997</v>
      </c>
      <c r="Z190" s="456">
        <v>806.08799999999997</v>
      </c>
      <c r="AA190" s="456">
        <v>823.75300000000004</v>
      </c>
      <c r="AB190" s="455">
        <v>846.303</v>
      </c>
      <c r="AC190" s="856"/>
      <c r="AQ190" s="747"/>
      <c r="AR190" s="747"/>
      <c r="BF190" s="747"/>
      <c r="BG190" s="827"/>
      <c r="BH190" s="828"/>
      <c r="BI190" s="747"/>
      <c r="BO190" s="747"/>
      <c r="BP190" s="747"/>
      <c r="BV190" s="747"/>
    </row>
    <row r="191" spans="1:74" x14ac:dyDescent="0.35">
      <c r="A191" s="999"/>
      <c r="B191" s="856"/>
      <c r="C191" s="856"/>
      <c r="D191" s="856"/>
      <c r="E191" s="856"/>
      <c r="F191" s="856"/>
      <c r="G191" s="856"/>
      <c r="H191" s="856"/>
      <c r="I191" s="887"/>
      <c r="J191" s="887" t="s">
        <v>575</v>
      </c>
      <c r="K191" s="888">
        <v>-0.25</v>
      </c>
      <c r="L191" s="888">
        <v>-0.56999999999999995</v>
      </c>
      <c r="M191" s="888">
        <v>-1</v>
      </c>
      <c r="N191" s="856"/>
      <c r="O191" s="856"/>
      <c r="P191" s="856"/>
      <c r="Q191" s="856"/>
      <c r="R191" s="856"/>
      <c r="S191" s="856"/>
      <c r="T191" s="856"/>
      <c r="U191" s="856"/>
      <c r="V191" s="856"/>
      <c r="W191" s="466"/>
      <c r="X191" s="466"/>
      <c r="Y191" s="466"/>
      <c r="Z191" s="466"/>
      <c r="AA191" s="466"/>
      <c r="AB191" s="466"/>
      <c r="AC191" s="856"/>
      <c r="AQ191" s="747"/>
      <c r="AR191" s="747"/>
      <c r="BF191" s="747"/>
      <c r="BG191" s="827"/>
      <c r="BH191" s="828"/>
      <c r="BI191" s="747"/>
      <c r="BO191" s="747"/>
      <c r="BP191" s="747"/>
      <c r="BV191" s="747"/>
    </row>
    <row r="192" spans="1:74" x14ac:dyDescent="0.35">
      <c r="A192" s="999"/>
      <c r="B192" s="856"/>
      <c r="C192" s="856"/>
      <c r="D192" s="856"/>
      <c r="E192" s="856"/>
      <c r="F192" s="856"/>
      <c r="G192" s="856"/>
      <c r="H192" s="856"/>
      <c r="I192" s="887"/>
      <c r="J192" s="887"/>
      <c r="K192" s="889"/>
      <c r="L192" s="889"/>
      <c r="M192" s="889"/>
      <c r="N192" s="856"/>
      <c r="O192" s="856"/>
      <c r="P192" s="856"/>
      <c r="Q192" s="856"/>
      <c r="R192" s="856"/>
      <c r="S192" s="856"/>
      <c r="T192" s="856"/>
      <c r="U192" s="856"/>
      <c r="V192" s="856"/>
      <c r="W192" s="466"/>
      <c r="X192" s="466"/>
      <c r="Y192" s="466"/>
      <c r="Z192" s="466"/>
      <c r="AA192" s="466"/>
      <c r="AB192" s="466"/>
      <c r="AC192" s="856"/>
      <c r="AQ192" s="747"/>
      <c r="AR192" s="747"/>
      <c r="BF192" s="747"/>
      <c r="BG192" s="827"/>
      <c r="BH192" s="828"/>
      <c r="BI192" s="747"/>
      <c r="BO192" s="747"/>
      <c r="BP192" s="747"/>
      <c r="BV192" s="747"/>
    </row>
    <row r="193" spans="1:74" ht="15.75" customHeight="1" x14ac:dyDescent="0.35">
      <c r="A193" s="994" t="s">
        <v>574</v>
      </c>
      <c r="B193" s="890" t="s">
        <v>573</v>
      </c>
      <c r="I193" s="891"/>
      <c r="J193" s="891"/>
      <c r="K193" s="892"/>
      <c r="L193" s="892"/>
      <c r="Q193" s="722"/>
      <c r="Y193" s="945"/>
      <c r="Z193" s="945"/>
      <c r="AA193" s="945"/>
      <c r="AB193" s="945"/>
      <c r="AQ193" s="747"/>
      <c r="AR193" s="747"/>
      <c r="BF193" s="747"/>
      <c r="BG193" s="827"/>
      <c r="BH193" s="828"/>
      <c r="BI193" s="747"/>
      <c r="BO193" s="747"/>
      <c r="BP193" s="747"/>
      <c r="BV193" s="747"/>
    </row>
    <row r="194" spans="1:74" ht="15.75" customHeight="1" x14ac:dyDescent="0.35">
      <c r="A194" s="994"/>
      <c r="B194" s="722" t="s">
        <v>572</v>
      </c>
      <c r="I194" s="891"/>
      <c r="J194" s="945"/>
      <c r="K194" s="945"/>
      <c r="L194" s="945"/>
      <c r="M194" s="945"/>
      <c r="Q194" s="722"/>
      <c r="R194" s="945"/>
      <c r="S194" s="945"/>
      <c r="T194" s="945"/>
      <c r="U194" s="945"/>
      <c r="W194" s="995" t="s">
        <v>571</v>
      </c>
      <c r="X194" s="996"/>
      <c r="Y194" s="728">
        <f>BC$19</f>
        <v>2015</v>
      </c>
      <c r="Z194" s="728">
        <f>BD$19</f>
        <v>2019</v>
      </c>
      <c r="AA194" s="728">
        <f>BE$19</f>
        <v>2021</v>
      </c>
      <c r="AB194" s="728">
        <f>BF$19</f>
        <v>2023</v>
      </c>
      <c r="AQ194" s="747"/>
      <c r="AR194" s="747"/>
      <c r="BF194" s="747"/>
      <c r="BG194" s="827"/>
      <c r="BH194" s="828"/>
      <c r="BI194" s="747"/>
      <c r="BO194" s="747"/>
      <c r="BP194" s="747"/>
      <c r="BV194" s="747"/>
    </row>
    <row r="195" spans="1:74" x14ac:dyDescent="0.35">
      <c r="A195" s="994"/>
      <c r="I195" s="891"/>
      <c r="J195" s="945"/>
      <c r="K195" s="945"/>
      <c r="L195" s="945"/>
      <c r="M195" s="945"/>
      <c r="Q195" s="722"/>
      <c r="R195" s="945"/>
      <c r="S195" s="945"/>
      <c r="T195" s="945"/>
      <c r="U195" s="945"/>
      <c r="W195" s="859" t="s">
        <v>570</v>
      </c>
      <c r="X195" s="850"/>
      <c r="Y195" s="454">
        <f>BC76/10^6</f>
        <v>1.7096438204611524</v>
      </c>
      <c r="Z195" s="454">
        <f>BD76/10^6</f>
        <v>1.7320960973955344</v>
      </c>
      <c r="AA195" s="454">
        <f>BE76/10^6</f>
        <v>1.4980915807395241</v>
      </c>
      <c r="AB195" s="454">
        <f>BF76/10^6</f>
        <v>1.6901135045104854</v>
      </c>
      <c r="AQ195" s="747"/>
      <c r="AR195" s="747"/>
      <c r="BF195" s="747"/>
      <c r="BG195" s="827"/>
      <c r="BH195" s="828"/>
      <c r="BI195" s="747"/>
      <c r="BO195" s="747"/>
      <c r="BP195" s="747"/>
      <c r="BV195" s="747"/>
    </row>
    <row r="196" spans="1:74" x14ac:dyDescent="0.35">
      <c r="A196" s="994"/>
      <c r="I196" s="891"/>
      <c r="J196" s="891"/>
      <c r="K196" s="892"/>
      <c r="L196" s="892"/>
      <c r="M196" s="892"/>
      <c r="Q196" s="722"/>
      <c r="W196" s="845" t="s">
        <v>569</v>
      </c>
      <c r="X196" s="846"/>
      <c r="Y196" s="453">
        <f>BC123/10^6</f>
        <v>2.034003241712742</v>
      </c>
      <c r="Z196" s="453">
        <f>BD123/10^6</f>
        <v>2.312134248007307</v>
      </c>
      <c r="AA196" s="453">
        <f>BE123/10^6</f>
        <v>0.75626248438231125</v>
      </c>
      <c r="AB196" s="453">
        <f>BF123/10^6</f>
        <v>2.1159933183925634</v>
      </c>
      <c r="AQ196" s="747"/>
      <c r="AR196" s="747"/>
      <c r="BF196" s="747"/>
      <c r="BG196" s="827"/>
      <c r="BH196" s="828"/>
      <c r="BI196" s="747"/>
      <c r="BO196" s="747"/>
      <c r="BP196" s="747"/>
      <c r="BV196" s="747"/>
    </row>
    <row r="197" spans="1:74" x14ac:dyDescent="0.35">
      <c r="A197" s="994"/>
      <c r="I197" s="891"/>
      <c r="J197" s="891"/>
      <c r="K197" s="892"/>
      <c r="L197" s="892"/>
      <c r="M197" s="892"/>
      <c r="Q197" s="722"/>
      <c r="W197" s="843" t="s">
        <v>568</v>
      </c>
      <c r="X197" s="852"/>
      <c r="Y197" s="452">
        <f>Y195+Y196</f>
        <v>3.7436470621738946</v>
      </c>
      <c r="Z197" s="452">
        <f>Z195+Z196</f>
        <v>4.0442303454028412</v>
      </c>
      <c r="AA197" s="452">
        <f t="shared" ref="AA197:AB197" si="329">AA195+AA196</f>
        <v>2.2543540651218352</v>
      </c>
      <c r="AB197" s="452">
        <f t="shared" si="329"/>
        <v>3.8061068229030486</v>
      </c>
      <c r="AQ197" s="747"/>
      <c r="AR197" s="747"/>
      <c r="BF197" s="747"/>
      <c r="BG197" s="827"/>
      <c r="BH197" s="828"/>
      <c r="BI197" s="747"/>
      <c r="BO197" s="747"/>
      <c r="BP197" s="747"/>
      <c r="BV197" s="747"/>
    </row>
    <row r="198" spans="1:74" x14ac:dyDescent="0.35">
      <c r="A198" s="994"/>
      <c r="I198" s="891"/>
      <c r="J198" s="891"/>
      <c r="K198" s="892"/>
      <c r="L198" s="892"/>
      <c r="M198" s="892"/>
      <c r="Q198" s="722"/>
      <c r="W198" s="722" t="s">
        <v>567</v>
      </c>
      <c r="Y198" s="450">
        <f>Y$197/$Y$197-1</f>
        <v>0</v>
      </c>
      <c r="Z198" s="450">
        <f t="shared" ref="Z198:AB198" si="330">Z$197/$Y$197-1</f>
        <v>8.0291565480641536E-2</v>
      </c>
      <c r="AA198" s="451">
        <f t="shared" si="330"/>
        <v>-0.39781875062422245</v>
      </c>
      <c r="AB198" s="450">
        <f t="shared" si="330"/>
        <v>1.6684201179179681E-2</v>
      </c>
      <c r="AQ198" s="747"/>
      <c r="AR198" s="747"/>
      <c r="BF198" s="747"/>
      <c r="BG198" s="827"/>
      <c r="BH198" s="828"/>
      <c r="BI198" s="747"/>
      <c r="BO198" s="747"/>
      <c r="BP198" s="747"/>
      <c r="BV198" s="747"/>
    </row>
    <row r="199" spans="1:74" x14ac:dyDescent="0.35">
      <c r="A199" s="994"/>
      <c r="I199" s="891"/>
      <c r="J199" s="891"/>
      <c r="K199" s="892"/>
      <c r="L199" s="892"/>
      <c r="M199" s="892"/>
      <c r="Q199" s="722"/>
      <c r="W199" s="722" t="s">
        <v>566</v>
      </c>
      <c r="Y199" s="450">
        <f t="shared" ref="Y199:AB199" si="331">(Y197/Y$190)/($Y197/$Y$190)-1</f>
        <v>0</v>
      </c>
      <c r="Z199" s="450">
        <f t="shared" si="331"/>
        <v>3.7025652950028354E-2</v>
      </c>
      <c r="AA199" s="451">
        <f t="shared" si="331"/>
        <v>-0.43433254932974541</v>
      </c>
      <c r="AB199" s="450">
        <f t="shared" si="331"/>
        <v>-7.0410595721326907E-2</v>
      </c>
      <c r="AQ199" s="747"/>
      <c r="AR199" s="747"/>
      <c r="BF199" s="747"/>
      <c r="BG199" s="827"/>
      <c r="BH199" s="828"/>
      <c r="BI199" s="747"/>
      <c r="BO199" s="747"/>
      <c r="BP199" s="747"/>
      <c r="BV199" s="747"/>
    </row>
    <row r="200" spans="1:74" hidden="1" outlineLevel="1" x14ac:dyDescent="0.35">
      <c r="A200" s="994"/>
      <c r="I200" s="891"/>
      <c r="J200" s="891"/>
      <c r="K200" s="892"/>
      <c r="L200" s="892"/>
      <c r="M200" s="892"/>
      <c r="Q200" s="722"/>
      <c r="W200" s="997" t="s">
        <v>867</v>
      </c>
      <c r="X200" s="998"/>
      <c r="Y200" s="893">
        <f>(BC97+BC118)/10^6</f>
        <v>0.36939033561650036</v>
      </c>
      <c r="Z200" s="893">
        <f>(BD97+BD118)/10^6</f>
        <v>0.37428651817323561</v>
      </c>
      <c r="AA200" s="893">
        <f>(BE97+BE118)/10^6</f>
        <v>0.36949226947904906</v>
      </c>
      <c r="AB200" s="893">
        <f>(BF97+BF118)/10^6</f>
        <v>0.37078052041556359</v>
      </c>
      <c r="AQ200" s="747"/>
      <c r="AR200" s="747"/>
      <c r="BF200" s="747"/>
      <c r="BG200" s="827"/>
      <c r="BH200" s="828"/>
      <c r="BI200" s="747"/>
      <c r="BO200" s="747"/>
      <c r="BP200" s="747"/>
      <c r="BV200" s="747"/>
    </row>
    <row r="201" spans="1:74" hidden="1" outlineLevel="1" x14ac:dyDescent="0.35">
      <c r="A201" s="994"/>
      <c r="I201" s="891"/>
      <c r="J201" s="891"/>
      <c r="K201" s="892"/>
      <c r="L201" s="892"/>
      <c r="M201" s="892"/>
      <c r="Q201" s="722"/>
      <c r="Y201" s="894">
        <f t="shared" ref="Y201:AB201" si="332">Y$200/$Y$200-1</f>
        <v>0</v>
      </c>
      <c r="Z201" s="894">
        <f t="shared" si="332"/>
        <v>1.3254766258472106E-2</v>
      </c>
      <c r="AA201" s="895">
        <f t="shared" si="332"/>
        <v>2.7595162276927709E-4</v>
      </c>
      <c r="AB201" s="894">
        <f t="shared" si="332"/>
        <v>3.7634574189469028E-3</v>
      </c>
      <c r="AQ201" s="747"/>
      <c r="AR201" s="747"/>
      <c r="BF201" s="747"/>
      <c r="BG201" s="827"/>
      <c r="BH201" s="828"/>
      <c r="BI201" s="747"/>
      <c r="BO201" s="747"/>
      <c r="BP201" s="747"/>
      <c r="BV201" s="747"/>
    </row>
    <row r="202" spans="1:74" ht="15.75" customHeight="1" collapsed="1" x14ac:dyDescent="0.35">
      <c r="A202" s="994"/>
      <c r="B202" s="890" t="s">
        <v>565</v>
      </c>
      <c r="H202" s="747" t="s">
        <v>564</v>
      </c>
      <c r="M202" s="449" t="s">
        <v>563</v>
      </c>
      <c r="O202" s="747" t="s">
        <v>562</v>
      </c>
      <c r="Q202" s="722"/>
    </row>
    <row r="203" spans="1:74" ht="18.5" x14ac:dyDescent="0.35">
      <c r="A203" s="994"/>
      <c r="B203" s="898"/>
      <c r="H203" s="899" t="s">
        <v>561</v>
      </c>
      <c r="I203" s="900"/>
      <c r="J203" s="728">
        <f>J$19</f>
        <v>2015</v>
      </c>
      <c r="K203" s="728">
        <f t="shared" ref="K203:M203" si="333">K$19</f>
        <v>2019</v>
      </c>
      <c r="L203" s="728">
        <f t="shared" si="333"/>
        <v>2021</v>
      </c>
      <c r="M203" s="728">
        <f t="shared" si="333"/>
        <v>2023</v>
      </c>
      <c r="O203" s="977" t="s">
        <v>560</v>
      </c>
      <c r="P203" s="978"/>
      <c r="Q203" s="728" t="str">
        <f>Q$19</f>
        <v>Réf. Mobitool</v>
      </c>
      <c r="R203" s="728">
        <f>R$19</f>
        <v>2015</v>
      </c>
      <c r="S203" s="728">
        <f t="shared" ref="S203:U203" si="334">S$19</f>
        <v>2019</v>
      </c>
      <c r="T203" s="728">
        <f t="shared" si="334"/>
        <v>2021</v>
      </c>
      <c r="U203" s="728">
        <f t="shared" si="334"/>
        <v>2023</v>
      </c>
    </row>
    <row r="204" spans="1:74" ht="18.5" x14ac:dyDescent="0.35">
      <c r="A204" s="994"/>
      <c r="B204" s="898"/>
      <c r="H204" s="755" t="s">
        <v>559</v>
      </c>
      <c r="I204" s="901" t="s">
        <v>164</v>
      </c>
      <c r="J204" s="902">
        <f t="shared" ref="J204:M204" si="335">J129</f>
        <v>14.118313218894048</v>
      </c>
      <c r="K204" s="902">
        <f t="shared" si="335"/>
        <v>25.066165641158673</v>
      </c>
      <c r="L204" s="902">
        <f t="shared" si="335"/>
        <v>46.804856856101637</v>
      </c>
      <c r="M204" s="902">
        <f t="shared" si="335"/>
        <v>49.078842752004455</v>
      </c>
      <c r="O204" s="755" t="s">
        <v>559</v>
      </c>
      <c r="P204" s="901" t="s">
        <v>164</v>
      </c>
      <c r="Q204" s="448">
        <v>1.3684895646252135</v>
      </c>
      <c r="R204" s="902">
        <v>19.320764310166712</v>
      </c>
      <c r="S204" s="902">
        <v>34.302786105092729</v>
      </c>
      <c r="T204" s="902">
        <v>64.051958181351964</v>
      </c>
      <c r="U204" s="902">
        <v>67.163884149999888</v>
      </c>
      <c r="Y204" s="447"/>
      <c r="Z204" s="447"/>
      <c r="AA204" s="447"/>
      <c r="AB204" s="447"/>
    </row>
    <row r="205" spans="1:74" ht="18.5" x14ac:dyDescent="0.35">
      <c r="A205" s="994"/>
      <c r="B205" s="898"/>
      <c r="H205" s="759" t="s">
        <v>558</v>
      </c>
      <c r="I205" s="903" t="s">
        <v>544</v>
      </c>
      <c r="J205" s="904">
        <f t="shared" ref="J205:M205" si="336">J133</f>
        <v>1.7857342508232967</v>
      </c>
      <c r="K205" s="904">
        <f t="shared" si="336"/>
        <v>2.0652263463618841</v>
      </c>
      <c r="L205" s="904">
        <f t="shared" si="336"/>
        <v>1.9102346564368391</v>
      </c>
      <c r="M205" s="904">
        <f t="shared" si="336"/>
        <v>4.0735432869514066</v>
      </c>
      <c r="O205" s="759" t="s">
        <v>558</v>
      </c>
      <c r="P205" s="903" t="s">
        <v>544</v>
      </c>
      <c r="Q205" s="446">
        <v>7.0623773364823776</v>
      </c>
      <c r="R205" s="904">
        <v>12.61152910199479</v>
      </c>
      <c r="S205" s="904">
        <v>14.585407743252475</v>
      </c>
      <c r="T205" s="904">
        <v>13.490797944982736</v>
      </c>
      <c r="U205" s="904">
        <v>28.768899788945546</v>
      </c>
    </row>
    <row r="206" spans="1:74" ht="18.5" x14ac:dyDescent="0.35">
      <c r="A206" s="994"/>
      <c r="B206" s="898"/>
      <c r="H206" s="764" t="s">
        <v>548</v>
      </c>
      <c r="I206" s="905" t="s">
        <v>544</v>
      </c>
      <c r="J206" s="906">
        <f t="shared" ref="J206:M206" si="337">J139</f>
        <v>8.6835581071018115</v>
      </c>
      <c r="K206" s="906">
        <f t="shared" si="337"/>
        <v>44.53192693413348</v>
      </c>
      <c r="L206" s="906">
        <f t="shared" si="337"/>
        <v>109.91430700033031</v>
      </c>
      <c r="M206" s="906">
        <f t="shared" si="337"/>
        <v>271.71037674232758</v>
      </c>
      <c r="O206" s="764" t="s">
        <v>548</v>
      </c>
      <c r="P206" s="905" t="s">
        <v>544</v>
      </c>
      <c r="Q206" s="445">
        <f>R206/J206</f>
        <v>20.671014852726273</v>
      </c>
      <c r="R206" s="906">
        <v>179.49795860641319</v>
      </c>
      <c r="S206" s="906">
        <v>874.76108166338122</v>
      </c>
      <c r="T206" s="906">
        <v>2124.724565900734</v>
      </c>
      <c r="U206" s="906">
        <v>5283.0296759070197</v>
      </c>
    </row>
    <row r="207" spans="1:74" ht="18.5" x14ac:dyDescent="0.35">
      <c r="A207" s="994"/>
      <c r="B207" s="898"/>
      <c r="F207" s="907"/>
      <c r="H207" s="764" t="s">
        <v>404</v>
      </c>
      <c r="I207" s="905"/>
      <c r="J207" s="906">
        <f>SUM(J204:J206)</f>
        <v>24.587605576819158</v>
      </c>
      <c r="K207" s="906">
        <f>SUM(K204:K206)</f>
        <v>71.663318921654039</v>
      </c>
      <c r="L207" s="906">
        <f>SUM(L204:L206)</f>
        <v>158.62939851286879</v>
      </c>
      <c r="M207" s="906">
        <f>SUM(M204:M206)</f>
        <v>324.86276278128344</v>
      </c>
      <c r="O207" s="764" t="s">
        <v>404</v>
      </c>
      <c r="P207" s="905"/>
      <c r="Q207" s="906"/>
      <c r="R207" s="906">
        <f>SUM(R204:R206)</f>
        <v>211.43025201857469</v>
      </c>
      <c r="S207" s="906">
        <f t="shared" ref="S207:U207" si="338">SUM(S204:S206)</f>
        <v>923.64927551172639</v>
      </c>
      <c r="T207" s="906">
        <f t="shared" si="338"/>
        <v>2202.2673220270685</v>
      </c>
      <c r="U207" s="906">
        <f t="shared" si="338"/>
        <v>5378.962459845965</v>
      </c>
    </row>
    <row r="208" spans="1:74" ht="18.5" x14ac:dyDescent="0.35">
      <c r="A208" s="994"/>
      <c r="B208" s="898"/>
    </row>
    <row r="209" spans="1:47" ht="19" thickBot="1" x14ac:dyDescent="0.4">
      <c r="A209" s="994"/>
      <c r="B209" s="890" t="s">
        <v>557</v>
      </c>
      <c r="H209" s="890"/>
      <c r="M209" s="908" t="s">
        <v>556</v>
      </c>
      <c r="O209" s="743" t="s">
        <v>555</v>
      </c>
      <c r="Q209" s="722"/>
      <c r="W209" s="747" t="s">
        <v>554</v>
      </c>
      <c r="Y209" s="775"/>
    </row>
    <row r="210" spans="1:47" ht="16" thickBot="1" x14ac:dyDescent="0.4">
      <c r="A210" s="994"/>
      <c r="B210" s="722" t="s">
        <v>553</v>
      </c>
      <c r="M210" s="909"/>
      <c r="O210" s="814" t="s">
        <v>548</v>
      </c>
      <c r="P210" s="910" t="s">
        <v>552</v>
      </c>
      <c r="Q210" s="728" t="str">
        <f t="shared" ref="Q210:U210" si="339">Q$19</f>
        <v>Réf. Mobitool</v>
      </c>
      <c r="R210" s="728">
        <f t="shared" si="339"/>
        <v>2015</v>
      </c>
      <c r="S210" s="728">
        <f t="shared" si="339"/>
        <v>2019</v>
      </c>
      <c r="T210" s="728">
        <f t="shared" si="339"/>
        <v>2021</v>
      </c>
      <c r="U210" s="911">
        <f t="shared" si="339"/>
        <v>2023</v>
      </c>
      <c r="W210" s="912"/>
      <c r="X210" s="728" t="str">
        <f>Q$19</f>
        <v>Réf. Mobitool</v>
      </c>
      <c r="Y210" s="728">
        <f>R$19</f>
        <v>2015</v>
      </c>
      <c r="Z210" s="728">
        <f>S$19</f>
        <v>2019</v>
      </c>
      <c r="AA210" s="728">
        <f>T$19</f>
        <v>2021</v>
      </c>
      <c r="AB210" s="911">
        <f>U$19</f>
        <v>2023</v>
      </c>
      <c r="AE210" s="775"/>
      <c r="AF210" s="722"/>
      <c r="AT210" s="775"/>
      <c r="AU210" s="722"/>
    </row>
    <row r="211" spans="1:47" x14ac:dyDescent="0.35">
      <c r="A211" s="994"/>
      <c r="M211" s="913"/>
      <c r="O211" s="914" t="s">
        <v>546</v>
      </c>
      <c r="P211" s="756" t="s">
        <v>173</v>
      </c>
      <c r="Q211" s="439">
        <f t="shared" ref="Q211:U216" si="340">Q67/10^3</f>
        <v>0.11289178391519464</v>
      </c>
      <c r="R211" s="444">
        <f t="shared" si="340"/>
        <v>0.12397582905819145</v>
      </c>
      <c r="S211" s="444">
        <f t="shared" si="340"/>
        <v>0.11761438088444201</v>
      </c>
      <c r="T211" s="444">
        <f t="shared" si="340"/>
        <v>0.11987895490627304</v>
      </c>
      <c r="U211" s="442">
        <f t="shared" si="340"/>
        <v>0.11576027991629988</v>
      </c>
      <c r="W211" s="756" t="s">
        <v>173</v>
      </c>
      <c r="X211" s="439">
        <f t="shared" ref="X211:AB216" si="341">AU67/10^3</f>
        <v>0.18598901880710156</v>
      </c>
      <c r="Y211" s="444">
        <f t="shared" si="341"/>
        <v>0.19807028052501091</v>
      </c>
      <c r="Z211" s="444">
        <f t="shared" si="341"/>
        <v>0.18790689759874354</v>
      </c>
      <c r="AA211" s="444">
        <f t="shared" si="341"/>
        <v>0.1932973811677878</v>
      </c>
      <c r="AB211" s="442">
        <f t="shared" si="341"/>
        <v>0.18495794057635642</v>
      </c>
      <c r="AE211" s="775"/>
      <c r="AF211" s="722"/>
      <c r="AT211" s="775"/>
      <c r="AU211" s="722"/>
    </row>
    <row r="212" spans="1:47" x14ac:dyDescent="0.35">
      <c r="A212" s="994"/>
      <c r="M212" s="913"/>
      <c r="O212" s="915"/>
      <c r="P212" s="760" t="s">
        <v>170</v>
      </c>
      <c r="Q212" s="442">
        <f t="shared" si="340"/>
        <v>0.11541002524003624</v>
      </c>
      <c r="R212" s="443">
        <f t="shared" si="340"/>
        <v>0.12674131867301019</v>
      </c>
      <c r="S212" s="443">
        <f t="shared" si="340"/>
        <v>0.12023796768648386</v>
      </c>
      <c r="T212" s="443">
        <f t="shared" si="340"/>
        <v>0.12255305684490993</v>
      </c>
      <c r="U212" s="442">
        <f t="shared" si="340"/>
        <v>0.11834250787435432</v>
      </c>
      <c r="W212" s="760" t="s">
        <v>170</v>
      </c>
      <c r="X212" s="442">
        <f t="shared" si="341"/>
        <v>0.18897327793297872</v>
      </c>
      <c r="Y212" s="443">
        <f t="shared" si="341"/>
        <v>0.20130814550932979</v>
      </c>
      <c r="Z212" s="443">
        <f t="shared" si="341"/>
        <v>0.19097862124367548</v>
      </c>
      <c r="AA212" s="443">
        <f t="shared" si="341"/>
        <v>0.19639890553443018</v>
      </c>
      <c r="AB212" s="442">
        <f t="shared" si="341"/>
        <v>0.18798132532652884</v>
      </c>
      <c r="AE212" s="775"/>
      <c r="AF212" s="722"/>
      <c r="AT212" s="775"/>
      <c r="AU212" s="722"/>
    </row>
    <row r="213" spans="1:47" x14ac:dyDescent="0.35">
      <c r="A213" s="994"/>
      <c r="M213" s="913"/>
      <c r="O213" s="915"/>
      <c r="P213" s="760" t="s">
        <v>545</v>
      </c>
      <c r="Q213" s="442">
        <f t="shared" si="340"/>
        <v>8.2701369152032841E-2</v>
      </c>
      <c r="R213" s="443">
        <f t="shared" si="340"/>
        <v>9.0821231176335518E-2</v>
      </c>
      <c r="S213" s="443">
        <f t="shared" si="340"/>
        <v>8.6161011844927082E-2</v>
      </c>
      <c r="T213" s="443">
        <f t="shared" si="340"/>
        <v>8.7819975550312762E-2</v>
      </c>
      <c r="U213" s="442">
        <f t="shared" si="340"/>
        <v>8.4802749238972935E-2</v>
      </c>
      <c r="W213" s="760" t="s">
        <v>545</v>
      </c>
      <c r="X213" s="442">
        <f t="shared" si="341"/>
        <v>0.15020982901486982</v>
      </c>
      <c r="Y213" s="443">
        <f t="shared" si="341"/>
        <v>0.1592506637027977</v>
      </c>
      <c r="Z213" s="443">
        <f t="shared" si="341"/>
        <v>0.15107919309052997</v>
      </c>
      <c r="AA213" s="443">
        <f t="shared" si="341"/>
        <v>0.15611226275863813</v>
      </c>
      <c r="AB213" s="442">
        <f t="shared" si="341"/>
        <v>0.14870978353622855</v>
      </c>
      <c r="AE213" s="775"/>
      <c r="AF213" s="722"/>
      <c r="AT213" s="775"/>
      <c r="AU213" s="722"/>
    </row>
    <row r="214" spans="1:47" x14ac:dyDescent="0.35">
      <c r="A214" s="994"/>
      <c r="M214" s="913"/>
      <c r="O214" s="915"/>
      <c r="P214" s="760" t="s">
        <v>468</v>
      </c>
      <c r="Q214" s="442">
        <f t="shared" si="340"/>
        <v>6.7289205460210028E-2</v>
      </c>
      <c r="R214" s="443">
        <f t="shared" si="340"/>
        <v>7.3895856228680751E-2</v>
      </c>
      <c r="S214" s="443">
        <f t="shared" si="340"/>
        <v>7.010411179571599E-2</v>
      </c>
      <c r="T214" s="443">
        <f t="shared" si="340"/>
        <v>7.1453912298021033E-2</v>
      </c>
      <c r="U214" s="442">
        <f t="shared" si="340"/>
        <v>6.8998973966704333E-2</v>
      </c>
      <c r="W214" s="760" t="s">
        <v>468</v>
      </c>
      <c r="X214" s="442">
        <f t="shared" si="341"/>
        <v>0.13912912637611635</v>
      </c>
      <c r="Y214" s="443">
        <f t="shared" si="341"/>
        <v>0.14671584102776522</v>
      </c>
      <c r="Z214" s="443">
        <f t="shared" si="341"/>
        <v>0.13918755728038976</v>
      </c>
      <c r="AA214" s="443">
        <f t="shared" si="341"/>
        <v>0.14459614844550506</v>
      </c>
      <c r="AB214" s="442">
        <f t="shared" si="341"/>
        <v>0.13700639554339353</v>
      </c>
    </row>
    <row r="215" spans="1:47" x14ac:dyDescent="0.35">
      <c r="A215" s="994"/>
      <c r="M215" s="913"/>
      <c r="O215" s="915"/>
      <c r="P215" s="765" t="s">
        <v>544</v>
      </c>
      <c r="Q215" s="441">
        <f t="shared" si="340"/>
        <v>0</v>
      </c>
      <c r="R215" s="435">
        <f t="shared" si="340"/>
        <v>0</v>
      </c>
      <c r="S215" s="435">
        <f t="shared" si="340"/>
        <v>0</v>
      </c>
      <c r="T215" s="435">
        <f t="shared" si="340"/>
        <v>0</v>
      </c>
      <c r="U215" s="441">
        <f t="shared" si="340"/>
        <v>0</v>
      </c>
      <c r="W215" s="765" t="s">
        <v>544</v>
      </c>
      <c r="X215" s="441">
        <f t="shared" si="341"/>
        <v>8.9788876273341825E-2</v>
      </c>
      <c r="Y215" s="435">
        <f t="shared" si="341"/>
        <v>9.1013805722382601E-2</v>
      </c>
      <c r="Z215" s="435">
        <f t="shared" si="341"/>
        <v>8.6343705005194615E-2</v>
      </c>
      <c r="AA215" s="435">
        <f t="shared" si="341"/>
        <v>9.3317093412037519E-2</v>
      </c>
      <c r="AB215" s="441">
        <f t="shared" si="341"/>
        <v>8.4998840251595001E-2</v>
      </c>
    </row>
    <row r="216" spans="1:47" ht="16" thickBot="1" x14ac:dyDescent="0.4">
      <c r="A216" s="994"/>
      <c r="M216" s="913"/>
      <c r="O216" s="916"/>
      <c r="P216" s="917" t="s">
        <v>543</v>
      </c>
      <c r="Q216" s="440">
        <f t="shared" si="340"/>
        <v>0.11296132059627642</v>
      </c>
      <c r="R216" s="436">
        <f t="shared" si="340"/>
        <v>0.1240521930537639</v>
      </c>
      <c r="S216" s="436">
        <f t="shared" si="340"/>
        <v>0.11670823392940467</v>
      </c>
      <c r="T216" s="436">
        <f t="shared" si="340"/>
        <v>0.11673210598993204</v>
      </c>
      <c r="U216" s="439">
        <f t="shared" si="340"/>
        <v>0.10910949692028718</v>
      </c>
      <c r="W216" s="917" t="s">
        <v>543</v>
      </c>
      <c r="X216" s="440">
        <f t="shared" si="341"/>
        <v>0.18613297948655191</v>
      </c>
      <c r="Y216" s="436">
        <f t="shared" si="341"/>
        <v>0.19822208383567161</v>
      </c>
      <c r="Z216" s="436">
        <f t="shared" si="341"/>
        <v>0.18707014722659404</v>
      </c>
      <c r="AA216" s="436">
        <f t="shared" si="341"/>
        <v>0.19029600483013376</v>
      </c>
      <c r="AB216" s="439">
        <f t="shared" si="341"/>
        <v>0.1784596013572638</v>
      </c>
    </row>
    <row r="217" spans="1:47" ht="16" thickBot="1" x14ac:dyDescent="0.4">
      <c r="A217" s="994"/>
      <c r="M217" s="913"/>
      <c r="O217" s="899" t="s">
        <v>542</v>
      </c>
      <c r="P217" s="900"/>
      <c r="Q217" s="438">
        <f t="shared" ref="Q217:U217" si="342">Q32/10^3</f>
        <v>0.11296132059627642</v>
      </c>
      <c r="R217" s="436">
        <f t="shared" si="342"/>
        <v>0.13338936375076269</v>
      </c>
      <c r="S217" s="436">
        <f t="shared" si="342"/>
        <v>0.12549263890539597</v>
      </c>
      <c r="T217" s="436">
        <f t="shared" si="342"/>
        <v>0.12491211119118348</v>
      </c>
      <c r="U217" s="437">
        <f t="shared" si="342"/>
        <v>0.11756354598818725</v>
      </c>
      <c r="W217" s="899"/>
      <c r="X217" s="438">
        <f>AU32/10^3</f>
        <v>0.18613297948655191</v>
      </c>
      <c r="Y217" s="436">
        <f>AV32/10^3</f>
        <v>0.21262258636765188</v>
      </c>
      <c r="Z217" s="436">
        <f>AW32/10^3</f>
        <v>0.20065792607589256</v>
      </c>
      <c r="AA217" s="436">
        <f>AX32/10^3</f>
        <v>0.2031700203309546</v>
      </c>
      <c r="AB217" s="437">
        <f>AY32/10^3</f>
        <v>0.19178628733840247</v>
      </c>
    </row>
    <row r="218" spans="1:47" ht="15.75" hidden="1" customHeight="1" outlineLevel="1" x14ac:dyDescent="0.35">
      <c r="A218" s="994"/>
      <c r="M218" s="913"/>
      <c r="O218" s="899" t="s">
        <v>541</v>
      </c>
      <c r="P218" s="900"/>
      <c r="Q218" s="436">
        <f t="shared" ref="Q218:U218" si="343">Q140/10^3</f>
        <v>0.11296132059627642</v>
      </c>
      <c r="R218" s="436">
        <f t="shared" si="343"/>
        <v>0.13273234119340671</v>
      </c>
      <c r="S218" s="436">
        <f t="shared" si="343"/>
        <v>0.12499951758177504</v>
      </c>
      <c r="T218" s="436">
        <f t="shared" si="343"/>
        <v>0.12563177963834216</v>
      </c>
      <c r="U218" s="435">
        <f t="shared" si="343"/>
        <v>0.1176137923755117</v>
      </c>
      <c r="W218" s="899"/>
      <c r="X218" s="436">
        <f>AU140/10^3</f>
        <v>0.18609801602192733</v>
      </c>
      <c r="Y218" s="436">
        <f>AV140/10^3</f>
        <v>0.21191187068868106</v>
      </c>
      <c r="Z218" s="436">
        <f>AW140/10^3</f>
        <v>0.20017296329612877</v>
      </c>
      <c r="AA218" s="436">
        <f>AX140/10^3</f>
        <v>0.20454622352691232</v>
      </c>
      <c r="AB218" s="435">
        <f>AY140/10^3</f>
        <v>0.19202628798005064</v>
      </c>
      <c r="AU218" s="722"/>
    </row>
    <row r="219" spans="1:47" collapsed="1" x14ac:dyDescent="0.35">
      <c r="A219" s="994"/>
      <c r="M219" s="913"/>
      <c r="O219" s="775"/>
      <c r="P219" s="775"/>
      <c r="R219" s="775"/>
      <c r="S219" s="775"/>
      <c r="T219" s="775"/>
      <c r="U219" s="775"/>
    </row>
    <row r="220" spans="1:47" ht="19" thickBot="1" x14ac:dyDescent="0.4">
      <c r="A220" s="994"/>
      <c r="M220" s="908" t="s">
        <v>551</v>
      </c>
      <c r="O220" s="743" t="s">
        <v>550</v>
      </c>
      <c r="Q220" s="722"/>
      <c r="W220" s="747" t="s">
        <v>549</v>
      </c>
    </row>
    <row r="221" spans="1:47" ht="16" thickBot="1" x14ac:dyDescent="0.4">
      <c r="A221" s="994"/>
      <c r="M221" s="909"/>
      <c r="O221" s="814" t="s">
        <v>548</v>
      </c>
      <c r="P221" s="910" t="s">
        <v>547</v>
      </c>
      <c r="Q221" s="728" t="str">
        <f t="shared" ref="Q221:U221" si="344">Q$19</f>
        <v>Réf. Mobitool</v>
      </c>
      <c r="R221" s="728">
        <f t="shared" si="344"/>
        <v>2015</v>
      </c>
      <c r="S221" s="728">
        <f t="shared" si="344"/>
        <v>2019</v>
      </c>
      <c r="T221" s="728">
        <f t="shared" si="344"/>
        <v>2021</v>
      </c>
      <c r="U221" s="911">
        <f t="shared" si="344"/>
        <v>2023</v>
      </c>
      <c r="W221" s="912"/>
      <c r="X221" s="728" t="str">
        <f>Q$19</f>
        <v>Réf. Mobitool</v>
      </c>
      <c r="Y221" s="728">
        <f>R$19</f>
        <v>2015</v>
      </c>
      <c r="Z221" s="728">
        <f>S$19</f>
        <v>2019</v>
      </c>
      <c r="AA221" s="728">
        <f>T$19</f>
        <v>2021</v>
      </c>
      <c r="AB221" s="911">
        <f t="shared" ref="AB221" si="345">U$19</f>
        <v>2023</v>
      </c>
    </row>
    <row r="222" spans="1:47" x14ac:dyDescent="0.35">
      <c r="A222" s="994"/>
      <c r="O222" s="914" t="s">
        <v>546</v>
      </c>
      <c r="P222" s="756" t="s">
        <v>173</v>
      </c>
      <c r="Q222" s="439">
        <f t="shared" ref="Q222:Q229" si="346">Q211*1.6</f>
        <v>0.18062685426431144</v>
      </c>
      <c r="R222" s="444">
        <v>0.19260307930331089</v>
      </c>
      <c r="S222" s="444">
        <v>0.18272022942523131</v>
      </c>
      <c r="T222" s="444">
        <v>0.18623836625261411</v>
      </c>
      <c r="U222" s="442">
        <v>0.17983978443433063</v>
      </c>
      <c r="W222" s="756" t="s">
        <v>173</v>
      </c>
      <c r="X222" s="439">
        <f t="shared" ref="X222:X226" si="347">X211*1.6</f>
        <v>0.29758243009136248</v>
      </c>
      <c r="Y222" s="444">
        <v>0.30771277141192949</v>
      </c>
      <c r="Z222" s="444">
        <v>0.2919234126102313</v>
      </c>
      <c r="AA222" s="444">
        <v>0.30029781705841213</v>
      </c>
      <c r="AB222" s="442">
        <v>0.28734205019822201</v>
      </c>
    </row>
    <row r="223" spans="1:47" x14ac:dyDescent="0.35">
      <c r="A223" s="994"/>
      <c r="O223" s="915"/>
      <c r="P223" s="760" t="s">
        <v>170</v>
      </c>
      <c r="Q223" s="442">
        <f t="shared" si="346"/>
        <v>0.184656040384058</v>
      </c>
      <c r="R223" s="443">
        <v>0.1968994152878471</v>
      </c>
      <c r="S223" s="443">
        <v>0.1867961118027196</v>
      </c>
      <c r="T223" s="443">
        <v>0.19039272659579576</v>
      </c>
      <c r="U223" s="442">
        <v>0.18385141363626922</v>
      </c>
      <c r="W223" s="760" t="s">
        <v>170</v>
      </c>
      <c r="X223" s="442">
        <f t="shared" si="347"/>
        <v>0.30235724469276598</v>
      </c>
      <c r="Y223" s="443">
        <v>0.31274296779041444</v>
      </c>
      <c r="Z223" s="443">
        <v>0.29669549953457025</v>
      </c>
      <c r="AA223" s="443">
        <v>0.30511620099734255</v>
      </c>
      <c r="AB223" s="442">
        <v>0.2920390400649206</v>
      </c>
    </row>
    <row r="224" spans="1:47" x14ac:dyDescent="0.35">
      <c r="A224" s="994"/>
      <c r="O224" s="915"/>
      <c r="P224" s="760" t="s">
        <v>545</v>
      </c>
      <c r="Q224" s="442">
        <f t="shared" si="346"/>
        <v>0.13232219064325254</v>
      </c>
      <c r="R224" s="443">
        <v>0.14109563875124015</v>
      </c>
      <c r="S224" s="443">
        <v>0.13385573884271215</v>
      </c>
      <c r="T224" s="443">
        <v>0.13643302766212984</v>
      </c>
      <c r="U224" s="442">
        <v>0.13174560525944315</v>
      </c>
      <c r="W224" s="760" t="s">
        <v>545</v>
      </c>
      <c r="X224" s="442">
        <f t="shared" si="347"/>
        <v>0.24033572642379172</v>
      </c>
      <c r="Y224" s="443">
        <v>0.24740442103321622</v>
      </c>
      <c r="Z224" s="443">
        <v>0.23470960451684073</v>
      </c>
      <c r="AA224" s="443">
        <v>0.24252874735935978</v>
      </c>
      <c r="AB224" s="442">
        <v>0.23102860008431592</v>
      </c>
    </row>
    <row r="225" spans="1:28" x14ac:dyDescent="0.35">
      <c r="A225" s="994"/>
      <c r="O225" s="915"/>
      <c r="P225" s="760" t="s">
        <v>468</v>
      </c>
      <c r="Q225" s="442">
        <f t="shared" si="346"/>
        <v>0.10766272873633605</v>
      </c>
      <c r="R225" s="443">
        <v>0.11480116378748484</v>
      </c>
      <c r="S225" s="443">
        <v>0.10891048607015809</v>
      </c>
      <c r="T225" s="443">
        <v>0.11100747332294815</v>
      </c>
      <c r="U225" s="442">
        <v>0.10719359536219344</v>
      </c>
      <c r="W225" s="760" t="s">
        <v>468</v>
      </c>
      <c r="X225" s="442">
        <f t="shared" si="347"/>
        <v>0.22260660220178619</v>
      </c>
      <c r="Y225" s="443">
        <v>0.22793090378334144</v>
      </c>
      <c r="Z225" s="443">
        <v>0.21623531245212316</v>
      </c>
      <c r="AA225" s="443">
        <v>0.22463784801899508</v>
      </c>
      <c r="AB225" s="442">
        <v>0.2128467610692012</v>
      </c>
    </row>
    <row r="226" spans="1:28" x14ac:dyDescent="0.35">
      <c r="A226" s="994"/>
      <c r="O226" s="915"/>
      <c r="P226" s="765" t="s">
        <v>544</v>
      </c>
      <c r="Q226" s="441">
        <f t="shared" si="346"/>
        <v>0</v>
      </c>
      <c r="R226" s="435">
        <v>0</v>
      </c>
      <c r="S226" s="435">
        <v>0</v>
      </c>
      <c r="T226" s="435">
        <v>0</v>
      </c>
      <c r="U226" s="441">
        <v>0</v>
      </c>
      <c r="W226" s="765" t="s">
        <v>544</v>
      </c>
      <c r="X226" s="441">
        <f t="shared" si="347"/>
        <v>0.14366220203734692</v>
      </c>
      <c r="Y226" s="435">
        <v>0.1413948136052893</v>
      </c>
      <c r="Z226" s="435">
        <v>0.13413956243560513</v>
      </c>
      <c r="AA226" s="435">
        <v>0.14497309418561694</v>
      </c>
      <c r="AB226" s="441">
        <v>0.1320502431323384</v>
      </c>
    </row>
    <row r="227" spans="1:28" ht="16" thickBot="1" x14ac:dyDescent="0.4">
      <c r="A227" s="994"/>
      <c r="O227" s="916"/>
      <c r="P227" s="917" t="s">
        <v>543</v>
      </c>
      <c r="Q227" s="440">
        <f t="shared" si="346"/>
        <v>0.1807381129540423</v>
      </c>
      <c r="R227" s="436">
        <v>0.19272171485353784</v>
      </c>
      <c r="S227" s="436">
        <v>0.18131248167982528</v>
      </c>
      <c r="T227" s="436">
        <v>0.18134956820226933</v>
      </c>
      <c r="U227" s="439">
        <v>0.16950743743942656</v>
      </c>
      <c r="W227" s="917" t="s">
        <v>543</v>
      </c>
      <c r="X227" s="440">
        <f>X216*1.6</f>
        <v>0.2978127671784831</v>
      </c>
      <c r="Y227" s="436">
        <v>0.30794860597180945</v>
      </c>
      <c r="Z227" s="436">
        <v>0.2906234761669062</v>
      </c>
      <c r="AA227" s="436">
        <v>0.29563501843732826</v>
      </c>
      <c r="AB227" s="439">
        <v>0.27724653276177691</v>
      </c>
    </row>
    <row r="228" spans="1:28" ht="16" thickBot="1" x14ac:dyDescent="0.4">
      <c r="A228" s="994"/>
      <c r="O228" s="899" t="s">
        <v>542</v>
      </c>
      <c r="P228" s="900"/>
      <c r="Q228" s="438">
        <f t="shared" si="346"/>
        <v>0.1807381129540423</v>
      </c>
      <c r="R228" s="436">
        <v>0.202004852464155</v>
      </c>
      <c r="S228" s="436">
        <v>0.19004605235833166</v>
      </c>
      <c r="T228" s="436">
        <v>0.18916690118792825</v>
      </c>
      <c r="U228" s="437">
        <v>0.17803823404451077</v>
      </c>
      <c r="W228" s="899"/>
      <c r="X228" s="438">
        <f>X217*1.6</f>
        <v>0.2978127671784831</v>
      </c>
      <c r="Y228" s="436">
        <v>0.3303205566354559</v>
      </c>
      <c r="Z228" s="436">
        <v>0.31173281713399831</v>
      </c>
      <c r="AA228" s="436">
        <v>0.31563548987836049</v>
      </c>
      <c r="AB228" s="437">
        <v>0.29795025199781278</v>
      </c>
    </row>
    <row r="229" spans="1:28" ht="15.75" hidden="1" customHeight="1" outlineLevel="1" x14ac:dyDescent="0.35">
      <c r="A229" s="994"/>
      <c r="O229" s="899" t="s">
        <v>541</v>
      </c>
      <c r="P229" s="900"/>
      <c r="Q229" s="436">
        <f t="shared" si="346"/>
        <v>0.1807381129540423</v>
      </c>
      <c r="R229" s="436">
        <v>0.2026634712071356</v>
      </c>
      <c r="S229" s="436">
        <v>0.19073225758559495</v>
      </c>
      <c r="T229" s="436">
        <v>0.19228290604379875</v>
      </c>
      <c r="U229" s="435">
        <v>0.17907671233510536</v>
      </c>
      <c r="W229" s="899"/>
      <c r="X229" s="436">
        <f>X218*1.6</f>
        <v>0.29775682563508371</v>
      </c>
      <c r="Y229" s="436">
        <v>0.32347396106026205</v>
      </c>
      <c r="Z229" s="436">
        <v>0.30535222678367258</v>
      </c>
      <c r="AA229" s="436">
        <v>0.31302036688900187</v>
      </c>
      <c r="AB229" s="435">
        <v>0.29228559420131273</v>
      </c>
    </row>
    <row r="230" spans="1:28" collapsed="1" x14ac:dyDescent="0.35">
      <c r="A230" s="994"/>
      <c r="O230" s="775"/>
      <c r="P230" s="775"/>
      <c r="Q230" s="434"/>
      <c r="R230" s="434"/>
      <c r="S230" s="434"/>
      <c r="T230" s="434"/>
      <c r="U230" s="434"/>
    </row>
  </sheetData>
  <mergeCells count="77">
    <mergeCell ref="W177:X177"/>
    <mergeCell ref="H189:I189"/>
    <mergeCell ref="A193:A230"/>
    <mergeCell ref="W194:X194"/>
    <mergeCell ref="W200:X200"/>
    <mergeCell ref="O203:P203"/>
    <mergeCell ref="A176:A192"/>
    <mergeCell ref="H177:I177"/>
    <mergeCell ref="O177:Q177"/>
    <mergeCell ref="BP101:BQ101"/>
    <mergeCell ref="A121:A124"/>
    <mergeCell ref="H122:I122"/>
    <mergeCell ref="BA122:BB122"/>
    <mergeCell ref="A125:A175"/>
    <mergeCell ref="H127:I127"/>
    <mergeCell ref="O127:P127"/>
    <mergeCell ref="W127:X127"/>
    <mergeCell ref="AD127:AE127"/>
    <mergeCell ref="AL127:AM127"/>
    <mergeCell ref="AS127:AT127"/>
    <mergeCell ref="BA127:BB127"/>
    <mergeCell ref="BI127:BJ127"/>
    <mergeCell ref="BP127:BQ127"/>
    <mergeCell ref="H148:I148"/>
    <mergeCell ref="O148:Q148"/>
    <mergeCell ref="AD101:AE101"/>
    <mergeCell ref="AL101:AM101"/>
    <mergeCell ref="AS101:AT101"/>
    <mergeCell ref="BA101:BB101"/>
    <mergeCell ref="BI101:BJ101"/>
    <mergeCell ref="BP80:BQ80"/>
    <mergeCell ref="O59:P59"/>
    <mergeCell ref="W59:X59"/>
    <mergeCell ref="AL59:AM59"/>
    <mergeCell ref="AS59:AT59"/>
    <mergeCell ref="AD80:AE80"/>
    <mergeCell ref="AL80:AM80"/>
    <mergeCell ref="AS80:AT80"/>
    <mergeCell ref="BA80:BB80"/>
    <mergeCell ref="BI80:BJ80"/>
    <mergeCell ref="BP19:BQ19"/>
    <mergeCell ref="BA39:BB39"/>
    <mergeCell ref="BI39:BJ39"/>
    <mergeCell ref="BP39:BQ39"/>
    <mergeCell ref="BI59:BJ59"/>
    <mergeCell ref="BP59:BQ59"/>
    <mergeCell ref="AS39:AT39"/>
    <mergeCell ref="BA59:BB59"/>
    <mergeCell ref="AS19:AT19"/>
    <mergeCell ref="BA19:BB19"/>
    <mergeCell ref="BI19:BJ19"/>
    <mergeCell ref="AL19:AM19"/>
    <mergeCell ref="H39:I39"/>
    <mergeCell ref="O39:P39"/>
    <mergeCell ref="W39:X39"/>
    <mergeCell ref="AL39:AM39"/>
    <mergeCell ref="H4:I4"/>
    <mergeCell ref="AD19:AE19"/>
    <mergeCell ref="J4:K4"/>
    <mergeCell ref="W148:X148"/>
    <mergeCell ref="A100:A119"/>
    <mergeCell ref="H101:I101"/>
    <mergeCell ref="O101:P101"/>
    <mergeCell ref="W101:X101"/>
    <mergeCell ref="O12:Q12"/>
    <mergeCell ref="H19:I19"/>
    <mergeCell ref="O19:P19"/>
    <mergeCell ref="W19:X19"/>
    <mergeCell ref="A79:A99"/>
    <mergeCell ref="H80:I80"/>
    <mergeCell ref="O80:P80"/>
    <mergeCell ref="W80:X80"/>
    <mergeCell ref="B11:F12"/>
    <mergeCell ref="A18:A76"/>
    <mergeCell ref="H59:I59"/>
    <mergeCell ref="AD59:AE59"/>
    <mergeCell ref="AD39:AE39"/>
  </mergeCells>
  <conditionalFormatting sqref="R20:U144">
    <cfRule type="cellIs" dxfId="2" priority="2" operator="equal">
      <formula>$Q20</formula>
    </cfRule>
  </conditionalFormatting>
  <conditionalFormatting sqref="AH20:AJ144">
    <cfRule type="cellIs" dxfId="1" priority="1" operator="equal">
      <formula>$AG20</formula>
    </cfRule>
  </conditionalFormatting>
  <conditionalFormatting sqref="AV20:AY144">
    <cfRule type="cellIs" dxfId="0" priority="3" operator="equal">
      <formula>$AU20</formula>
    </cfRule>
  </conditionalFormatting>
  <pageMargins left="0.7" right="0.7" top="0.75" bottom="0.75" header="0.3" footer="0.3"/>
  <pageSetup paperSize="9" scale="1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09E62-4A92-45EF-8539-9A68B3B82111}">
  <sheetPr>
    <tabColor theme="7"/>
  </sheetPr>
  <dimension ref="A2:V59"/>
  <sheetViews>
    <sheetView workbookViewId="0">
      <selection activeCell="N47" sqref="N47"/>
    </sheetView>
  </sheetViews>
  <sheetFormatPr baseColWidth="10" defaultRowHeight="14.5" x14ac:dyDescent="0.35"/>
  <cols>
    <col min="3" max="3" width="47" customWidth="1"/>
    <col min="4" max="4" width="25" customWidth="1"/>
    <col min="5" max="5" width="12.1796875" customWidth="1"/>
    <col min="6" max="6" width="7.453125" customWidth="1"/>
    <col min="7" max="7" width="12" style="139" bestFit="1" customWidth="1"/>
    <col min="8" max="9" width="10.81640625" style="139"/>
    <col min="10" max="10" width="12" style="139" bestFit="1" customWidth="1"/>
    <col min="11" max="12" width="29.1796875" style="139" customWidth="1"/>
    <col min="13" max="13" width="39" style="117" hidden="1" customWidth="1"/>
  </cols>
  <sheetData>
    <row r="2" spans="1:15" s="83" customFormat="1" ht="33.5" x14ac:dyDescent="0.75">
      <c r="B2" s="84" t="s">
        <v>87</v>
      </c>
      <c r="G2" s="137"/>
      <c r="H2" s="137"/>
      <c r="I2" s="137"/>
      <c r="J2" s="137"/>
      <c r="K2" s="137"/>
      <c r="L2" s="137"/>
      <c r="M2" s="121"/>
    </row>
    <row r="5" spans="1:15" s="85" customFormat="1" x14ac:dyDescent="0.35">
      <c r="A5" s="86">
        <v>2023</v>
      </c>
      <c r="G5" s="138"/>
      <c r="H5" s="138"/>
      <c r="I5" s="138"/>
      <c r="J5" s="138"/>
      <c r="K5" s="138"/>
      <c r="L5" s="138"/>
      <c r="M5" s="122"/>
    </row>
    <row r="7" spans="1:15" ht="29" x14ac:dyDescent="0.35">
      <c r="D7" s="5"/>
      <c r="E7" s="5"/>
      <c r="F7" s="14"/>
      <c r="G7" s="1001" t="s">
        <v>722</v>
      </c>
      <c r="H7" s="1002"/>
      <c r="I7" s="1002"/>
      <c r="J7" s="1003"/>
      <c r="K7" s="648" t="s">
        <v>731</v>
      </c>
      <c r="L7" s="660" t="s">
        <v>723</v>
      </c>
      <c r="M7" s="117" t="s">
        <v>118</v>
      </c>
    </row>
    <row r="8" spans="1:15" ht="15" thickBot="1" x14ac:dyDescent="0.4">
      <c r="B8" s="15" t="s">
        <v>5</v>
      </c>
      <c r="C8" s="17" t="s">
        <v>340</v>
      </c>
      <c r="D8" s="9" t="s">
        <v>1</v>
      </c>
      <c r="E8" s="4" t="s">
        <v>129</v>
      </c>
      <c r="F8" s="4" t="s">
        <v>95</v>
      </c>
      <c r="G8" s="159" t="s">
        <v>48</v>
      </c>
      <c r="H8" s="160" t="s">
        <v>3</v>
      </c>
      <c r="I8" s="160" t="s">
        <v>50</v>
      </c>
      <c r="J8" s="161" t="s">
        <v>4</v>
      </c>
      <c r="K8" s="159" t="s">
        <v>4</v>
      </c>
      <c r="L8" s="652" t="s">
        <v>4</v>
      </c>
    </row>
    <row r="9" spans="1:15" ht="15" thickTop="1" x14ac:dyDescent="0.35">
      <c r="B9" s="10">
        <f>$A$5</f>
        <v>2023</v>
      </c>
      <c r="C9" s="18" t="s">
        <v>343</v>
      </c>
      <c r="D9" s="12" t="s">
        <v>88</v>
      </c>
      <c r="E9" s="148">
        <f>'Chaleur du bâtiment - Calcul'!F39</f>
        <v>2667312.178601664</v>
      </c>
      <c r="F9" s="11" t="s">
        <v>96</v>
      </c>
      <c r="G9" s="149">
        <f>_xlfn.XLOOKUP($M9,'Facteurs d''émissions'!$B$7:$B$21,'Facteurs d''émissions'!D$7:D$21)*$E9</f>
        <v>707104.45854730112</v>
      </c>
      <c r="H9" s="148">
        <f>_xlfn.XLOOKUP($M9,'Facteurs d''émissions'!$B$7:$B$21,'Facteurs d''émissions'!E$7:E$21)*$E9</f>
        <v>0</v>
      </c>
      <c r="I9" s="148">
        <f>_xlfn.XLOOKUP($M9,'Facteurs d''émissions'!$B$7:$B$21,'Facteurs d''émissions'!F$7:F$21)*$E9</f>
        <v>0</v>
      </c>
      <c r="J9" s="148">
        <f>SUM(G9:I9)</f>
        <v>707104.45854730112</v>
      </c>
      <c r="K9" s="149">
        <f>_xlfn.XLOOKUP($M9,'Facteurs d''émissions'!$B$7:$B$21,'Facteurs d''émissions'!H$7:H$21)*$E9</f>
        <v>157104.68731963803</v>
      </c>
      <c r="L9" s="650">
        <f>_xlfn.XLOOKUP($M9,'Facteurs d''émissions'!$B$7:$B$21,'Facteurs d''émissions'!L$7:L$21)*$E9</f>
        <v>864209.14586693922</v>
      </c>
      <c r="M9" s="123" t="str">
        <f>'Facteurs d''émissions'!B7</f>
        <v>Chauffage à mazout</v>
      </c>
    </row>
    <row r="10" spans="1:15" x14ac:dyDescent="0.35">
      <c r="B10" s="10">
        <f t="shared" ref="B10:B15" si="0">$A$5</f>
        <v>2023</v>
      </c>
      <c r="C10" s="18"/>
      <c r="D10" s="12" t="s">
        <v>89</v>
      </c>
      <c r="E10" s="148">
        <f>'Chaleur du bâtiment - Calcul'!M56</f>
        <v>2888114.8173602223</v>
      </c>
      <c r="F10" s="11" t="s">
        <v>96</v>
      </c>
      <c r="G10" s="149">
        <f>_xlfn.XLOOKUP($M10,'Facteurs d''émissions'!$B$7:$B$21,'Facteurs d''émissions'!D$7:D$21)*$E10</f>
        <v>581088.70125287666</v>
      </c>
      <c r="H10" s="148">
        <f>_xlfn.XLOOKUP($M10,'Facteurs d''émissions'!$B$7:$B$21,'Facteurs d''émissions'!E$7:E$21)*$E10</f>
        <v>0</v>
      </c>
      <c r="I10" s="148">
        <f>_xlfn.XLOOKUP($M10,'Facteurs d''émissions'!$B$7:$B$21,'Facteurs d''émissions'!F$7:F$21)*$E10</f>
        <v>0</v>
      </c>
      <c r="J10" s="148">
        <f t="shared" ref="J10:J17" si="1">SUM(G10:I10)</f>
        <v>581088.70125287666</v>
      </c>
      <c r="K10" s="149">
        <f>_xlfn.XLOOKUP($M10,'Facteurs d''émissions'!$B$7:$B$21,'Facteurs d''émissions'!H$7:H$21)*$E10</f>
        <v>83177.706739974456</v>
      </c>
      <c r="L10" s="650">
        <f>_xlfn.XLOOKUP($M10,'Facteurs d''émissions'!$B$7:$B$21,'Facteurs d''émissions'!L$7:L$21)*$E10</f>
        <v>664266.40799285122</v>
      </c>
      <c r="M10" s="123" t="str">
        <f>'Facteurs d''émissions'!B8</f>
        <v>Chauffage à gaz</v>
      </c>
    </row>
    <row r="11" spans="1:15" x14ac:dyDescent="0.35">
      <c r="B11" s="335"/>
      <c r="C11" s="336"/>
      <c r="D11" s="337"/>
      <c r="E11" s="340">
        <f>SUM(E9:E10)</f>
        <v>5555426.9959618859</v>
      </c>
      <c r="F11" s="339" t="s">
        <v>96</v>
      </c>
      <c r="G11" s="340">
        <f>SUM(G9:G10)</f>
        <v>1288193.1598001779</v>
      </c>
      <c r="H11" s="338">
        <f t="shared" ref="H11:L11" si="2">SUM(H9:H10)</f>
        <v>0</v>
      </c>
      <c r="I11" s="338">
        <f t="shared" si="2"/>
        <v>0</v>
      </c>
      <c r="J11" s="338">
        <f t="shared" si="1"/>
        <v>1288193.1598001779</v>
      </c>
      <c r="K11" s="340">
        <f t="shared" si="2"/>
        <v>240282.39405961247</v>
      </c>
      <c r="L11" s="653">
        <f t="shared" si="2"/>
        <v>1528475.5538597903</v>
      </c>
      <c r="M11" s="123"/>
    </row>
    <row r="12" spans="1:15" x14ac:dyDescent="0.35">
      <c r="B12" s="10">
        <f t="shared" si="0"/>
        <v>2023</v>
      </c>
      <c r="C12" s="18" t="s">
        <v>344</v>
      </c>
      <c r="D12" s="12" t="s">
        <v>92</v>
      </c>
      <c r="E12" s="148">
        <f>'Chaleur du bâtiment - Calcul'!F63*1000</f>
        <v>709267.5419462428</v>
      </c>
      <c r="F12" s="11" t="s">
        <v>96</v>
      </c>
      <c r="G12" s="149">
        <f>_xlfn.XLOOKUP($M12,'Facteurs d''émissions'!$B$7:$B$21,'Facteurs d''émissions'!D$7:D$21)*$E12</f>
        <v>0</v>
      </c>
      <c r="H12" s="148">
        <f>_xlfn.XLOOKUP($M12,'Facteurs d''émissions'!$B$7:$B$21,'Facteurs d''émissions'!E$7:E$21)*$E12</f>
        <v>0</v>
      </c>
      <c r="I12" s="148">
        <f>_xlfn.XLOOKUP($M12,'Facteurs d''émissions'!$B$7:$B$21,'Facteurs d''émissions'!F$7:F$21)*$E12</f>
        <v>0</v>
      </c>
      <c r="J12" s="148">
        <f t="shared" si="1"/>
        <v>0</v>
      </c>
      <c r="K12" s="149">
        <f>_xlfn.XLOOKUP($M12,'Facteurs d''émissions'!$B$7:$B$21,'Facteurs d''émissions'!H$7:H$21)*$E12</f>
        <v>88658.44274328035</v>
      </c>
      <c r="L12" s="650">
        <f>_xlfn.XLOOKUP($M12,'Facteurs d''émissions'!$B$7:$B$21,'Facteurs d''émissions'!L$7:L$21)*$E12</f>
        <v>88658.44274328035</v>
      </c>
      <c r="M12" s="123" t="str">
        <f>'Facteurs d''émissions'!B18</f>
        <v xml:space="preserve">Electricité du réseau </v>
      </c>
    </row>
    <row r="13" spans="1:15" x14ac:dyDescent="0.35">
      <c r="B13" s="10">
        <f t="shared" si="0"/>
        <v>2023</v>
      </c>
      <c r="C13" s="18"/>
      <c r="D13" s="12" t="s">
        <v>91</v>
      </c>
      <c r="E13" s="148">
        <f>'Chaleur du bâtiment - Calcul'!F64*1000</f>
        <v>525266.48514961556</v>
      </c>
      <c r="F13" s="11" t="s">
        <v>96</v>
      </c>
      <c r="G13" s="149">
        <f>_xlfn.XLOOKUP($M13,'Facteurs d''émissions'!$B$7:$B$21,'Facteurs d''émissions'!D$7:D$21)*$E13</f>
        <v>0</v>
      </c>
      <c r="H13" s="148">
        <f>_xlfn.XLOOKUP($M13,'Facteurs d''émissions'!$B$7:$B$21,'Facteurs d''émissions'!E$7:E$21)*$E13</f>
        <v>0</v>
      </c>
      <c r="I13" s="148">
        <f>_xlfn.XLOOKUP($M13,'Facteurs d''émissions'!$B$7:$B$21,'Facteurs d''émissions'!F$7:F$21)*$E13</f>
        <v>0</v>
      </c>
      <c r="J13" s="148">
        <f t="shared" si="1"/>
        <v>0</v>
      </c>
      <c r="K13" s="149">
        <f>_xlfn.XLOOKUP($M13,'Facteurs d''émissions'!$B$7:$B$21,'Facteurs d''émissions'!H$7:H$21)*$E13</f>
        <v>14707.461584189236</v>
      </c>
      <c r="L13" s="650">
        <f>_xlfn.XLOOKUP($M13,'Facteurs d''émissions'!$B$7:$B$21,'Facteurs d''émissions'!L$7:L$21)*$E13</f>
        <v>14707.461584189236</v>
      </c>
      <c r="M13" s="123" t="str">
        <f>'Facteurs d''émissions'!B14</f>
        <v>Chauffage à bois (pellets)</v>
      </c>
    </row>
    <row r="14" spans="1:15" x14ac:dyDescent="0.35">
      <c r="B14" s="10">
        <f t="shared" si="0"/>
        <v>2023</v>
      </c>
      <c r="C14" s="18"/>
      <c r="D14" s="12" t="s">
        <v>90</v>
      </c>
      <c r="E14" s="148">
        <f>'Chaleur du bâtiment - Calcul'!F65*1000</f>
        <v>715276.5053964965</v>
      </c>
      <c r="F14" s="11" t="s">
        <v>96</v>
      </c>
      <c r="G14" s="646">
        <f>E14*'Chaleur du bâtiment - Calcul'!$F$108</f>
        <v>45229.626416068801</v>
      </c>
      <c r="H14" s="148">
        <v>0</v>
      </c>
      <c r="I14" s="148">
        <v>0</v>
      </c>
      <c r="J14" s="318">
        <f t="shared" si="1"/>
        <v>45229.626416068801</v>
      </c>
      <c r="K14" s="646">
        <f>E14*'Chaleur du bâtiment - Calcul'!$G$108</f>
        <v>14942.643281641267</v>
      </c>
      <c r="L14" s="650">
        <f>G14+K14</f>
        <v>60172.269697710071</v>
      </c>
      <c r="M14" s="123"/>
      <c r="O14" s="162"/>
    </row>
    <row r="15" spans="1:15" x14ac:dyDescent="0.35">
      <c r="B15" s="10">
        <f t="shared" si="0"/>
        <v>2023</v>
      </c>
      <c r="C15" s="18"/>
      <c r="D15" s="12" t="s">
        <v>93</v>
      </c>
      <c r="E15" s="148">
        <f>'Chaleur du bâtiment - Calcul'!F66*1000</f>
        <v>122605.32522166896</v>
      </c>
      <c r="F15" s="11" t="s">
        <v>96</v>
      </c>
      <c r="G15" s="150">
        <f>_xlfn.XLOOKUP($M15,'Facteurs d''émissions'!$B$7:$B$21,'Facteurs d''émissions'!D$7:D$21)*$E15</f>
        <v>0</v>
      </c>
      <c r="H15" s="148">
        <f>_xlfn.XLOOKUP($M15,'Facteurs d''émissions'!$B$7:$B$21,'Facteurs d''émissions'!E$7:E$21)*$E15</f>
        <v>0</v>
      </c>
      <c r="I15" s="148">
        <f>_xlfn.XLOOKUP($M15,'Facteurs d''émissions'!$B$7:$B$21,'Facteurs d''émissions'!F$7:F$21)*$E15</f>
        <v>0</v>
      </c>
      <c r="J15" s="148">
        <f t="shared" si="1"/>
        <v>0</v>
      </c>
      <c r="K15" s="149">
        <f>_xlfn.XLOOKUP($M15,'Facteurs d''émissions'!$B$7:$B$21,'Facteurs d''émissions'!H$7:H$21)*$E15</f>
        <v>1839.0798783250343</v>
      </c>
      <c r="L15" s="650">
        <f>_xlfn.XLOOKUP($M15,'Facteurs d''émissions'!$B$7:$B$21,'Facteurs d''émissions'!L$7:L$21)*$E15</f>
        <v>1839.0798783250343</v>
      </c>
      <c r="M15" s="123" t="s">
        <v>109</v>
      </c>
    </row>
    <row r="16" spans="1:15" x14ac:dyDescent="0.35">
      <c r="B16" s="20" t="s">
        <v>6</v>
      </c>
      <c r="C16" s="21"/>
      <c r="D16" s="22"/>
      <c r="E16" s="213">
        <f t="shared" ref="E16:L16" si="3">SUM(E12:E15)</f>
        <v>2072415.8577140239</v>
      </c>
      <c r="F16" s="23" t="s">
        <v>96</v>
      </c>
      <c r="G16" s="209">
        <f t="shared" si="3"/>
        <v>45229.626416068801</v>
      </c>
      <c r="H16" s="211">
        <f t="shared" si="3"/>
        <v>0</v>
      </c>
      <c r="I16" s="211">
        <f t="shared" si="3"/>
        <v>0</v>
      </c>
      <c r="J16" s="210">
        <f t="shared" si="1"/>
        <v>45229.626416068801</v>
      </c>
      <c r="K16" s="213">
        <f t="shared" si="3"/>
        <v>120147.62748743589</v>
      </c>
      <c r="L16" s="654">
        <f t="shared" si="3"/>
        <v>165377.25390350466</v>
      </c>
      <c r="M16" s="362"/>
    </row>
    <row r="17" spans="1:13" x14ac:dyDescent="0.35">
      <c r="B17" s="87" t="s">
        <v>7</v>
      </c>
      <c r="C17" s="88"/>
      <c r="D17" s="89"/>
      <c r="E17" s="341">
        <f>E16+E11</f>
        <v>7627842.8536759093</v>
      </c>
      <c r="F17" s="90" t="s">
        <v>96</v>
      </c>
      <c r="G17" s="341">
        <f>G16+G11</f>
        <v>1333422.7862162467</v>
      </c>
      <c r="H17" s="342">
        <f t="shared" ref="H17:L17" si="4">H16+H11</f>
        <v>0</v>
      </c>
      <c r="I17" s="342">
        <f t="shared" si="4"/>
        <v>0</v>
      </c>
      <c r="J17" s="342">
        <f t="shared" si="1"/>
        <v>1333422.7862162467</v>
      </c>
      <c r="K17" s="341">
        <f t="shared" si="4"/>
        <v>360430.02154704835</v>
      </c>
      <c r="L17" s="655">
        <f t="shared" si="4"/>
        <v>1693852.807763295</v>
      </c>
      <c r="M17" s="362"/>
    </row>
    <row r="18" spans="1:13" x14ac:dyDescent="0.35">
      <c r="K18" s="162"/>
    </row>
    <row r="19" spans="1:13" s="85" customFormat="1" x14ac:dyDescent="0.35">
      <c r="A19" s="86">
        <v>2019</v>
      </c>
      <c r="G19" s="138"/>
      <c r="H19" s="138"/>
      <c r="I19" s="138"/>
      <c r="J19" s="138"/>
      <c r="K19" s="410"/>
      <c r="L19" s="138"/>
      <c r="M19" s="122"/>
    </row>
    <row r="20" spans="1:13" x14ac:dyDescent="0.35">
      <c r="K20" s="162"/>
    </row>
    <row r="21" spans="1:13" ht="29" x14ac:dyDescent="0.35">
      <c r="E21" s="5"/>
      <c r="F21" s="14"/>
      <c r="G21" s="1001" t="s">
        <v>722</v>
      </c>
      <c r="H21" s="1002"/>
      <c r="I21" s="1002"/>
      <c r="J21" s="1003"/>
      <c r="K21" s="648" t="s">
        <v>731</v>
      </c>
      <c r="L21" s="660" t="s">
        <v>723</v>
      </c>
      <c r="M21" s="362"/>
    </row>
    <row r="22" spans="1:13" ht="15" thickBot="1" x14ac:dyDescent="0.4">
      <c r="B22" s="15" t="s">
        <v>5</v>
      </c>
      <c r="C22" s="17" t="s">
        <v>340</v>
      </c>
      <c r="D22" s="9" t="s">
        <v>1</v>
      </c>
      <c r="E22" s="4" t="s">
        <v>129</v>
      </c>
      <c r="F22" s="4" t="s">
        <v>95</v>
      </c>
      <c r="G22" s="140" t="s">
        <v>48</v>
      </c>
      <c r="H22" s="141" t="s">
        <v>3</v>
      </c>
      <c r="I22" s="141" t="s">
        <v>50</v>
      </c>
      <c r="J22" s="142" t="s">
        <v>4</v>
      </c>
      <c r="K22" s="241" t="s">
        <v>48</v>
      </c>
      <c r="L22" s="656" t="s">
        <v>48</v>
      </c>
    </row>
    <row r="23" spans="1:13" ht="15" thickTop="1" x14ac:dyDescent="0.35">
      <c r="B23" s="10">
        <f>$A$19</f>
        <v>2019</v>
      </c>
      <c r="C23" s="18" t="s">
        <v>343</v>
      </c>
      <c r="D23" s="12" t="s">
        <v>88</v>
      </c>
      <c r="E23" s="148">
        <f>'Chaleur du bâtiment - Calcul'!E39</f>
        <v>3438451.385127767</v>
      </c>
      <c r="F23" s="11" t="s">
        <v>96</v>
      </c>
      <c r="G23" s="153">
        <f>_xlfn.XLOOKUP($M23,'Facteurs d''émissions'!$B$7:$B$21,'Facteurs d''émissions'!D$7:D$21)*$E23</f>
        <v>911533.46219737106</v>
      </c>
      <c r="H23" s="154">
        <f>_xlfn.XLOOKUP($M23,'Facteurs d''émissions'!$B$7:$B$21,'Facteurs d''émissions'!E$7:E$21)*$E23</f>
        <v>0</v>
      </c>
      <c r="I23" s="154">
        <f>_xlfn.XLOOKUP($M23,'Facteurs d''émissions'!$B$7:$B$21,'Facteurs d''émissions'!F$7:F$21)*$E23</f>
        <v>0</v>
      </c>
      <c r="J23" s="148">
        <f>SUM(G23:I23)</f>
        <v>911533.46219737106</v>
      </c>
      <c r="K23" s="153">
        <f>_xlfn.XLOOKUP($M23,'Facteurs d''émissions'!$B$7:$B$21,'Facteurs d''émissions'!H$7:H$21)*$E23</f>
        <v>202524.78658402551</v>
      </c>
      <c r="L23" s="657">
        <f>_xlfn.XLOOKUP($M23,'Facteurs d''émissions'!$B$7:$B$21,'Facteurs d''émissions'!L$7:L$21)*$E23</f>
        <v>1114058.2487813965</v>
      </c>
      <c r="M23" s="117" t="s">
        <v>102</v>
      </c>
    </row>
    <row r="24" spans="1:13" x14ac:dyDescent="0.35">
      <c r="B24" s="10">
        <f t="shared" ref="B24:B29" si="5">$A$19</f>
        <v>2019</v>
      </c>
      <c r="C24" s="18"/>
      <c r="D24" s="12" t="s">
        <v>89</v>
      </c>
      <c r="E24" s="148">
        <f>'Chaleur du bâtiment - Calcul'!I56</f>
        <v>3402501.9007807304</v>
      </c>
      <c r="F24" s="11" t="s">
        <v>96</v>
      </c>
      <c r="G24" s="149">
        <f>_xlfn.XLOOKUP($M24,'Facteurs d''émissions'!$B$7:$B$21,'Facteurs d''émissions'!D$7:D$21)*$E24</f>
        <v>690843.43325977284</v>
      </c>
      <c r="H24" s="148">
        <f>_xlfn.XLOOKUP($M24,'Facteurs d''émissions'!$B$7:$B$21,'Facteurs d''émissions'!E$7:E$21)*$E24</f>
        <v>0</v>
      </c>
      <c r="I24" s="148">
        <f>_xlfn.XLOOKUP($M24,'Facteurs d''émissions'!$B$7:$B$21,'Facteurs d''émissions'!F$7:F$21)*$E24</f>
        <v>0</v>
      </c>
      <c r="J24" s="148">
        <f t="shared" ref="J24:J31" si="6">SUM(G24:I24)</f>
        <v>690843.43325977284</v>
      </c>
      <c r="K24" s="149">
        <f>_xlfn.XLOOKUP($M24,'Facteurs d''émissions'!$B$7:$B$21,'Facteurs d''émissions'!H$7:H$21)*$E24</f>
        <v>97992.05474248511</v>
      </c>
      <c r="L24" s="650">
        <f>_xlfn.XLOOKUP($M24,'Facteurs d''émissions'!$B$7:$B$21,'Facteurs d''émissions'!L$7:L$21)*$E24</f>
        <v>775361.51286070235</v>
      </c>
      <c r="M24" s="117" t="s">
        <v>821</v>
      </c>
    </row>
    <row r="25" spans="1:13" x14ac:dyDescent="0.35">
      <c r="B25" s="335"/>
      <c r="C25" s="336"/>
      <c r="D25" s="337"/>
      <c r="E25" s="340">
        <f>SUM(E23:E24)</f>
        <v>6840953.2859084979</v>
      </c>
      <c r="F25" s="339" t="s">
        <v>96</v>
      </c>
      <c r="G25" s="340">
        <f>SUM(G23:G24)</f>
        <v>1602376.8954571439</v>
      </c>
      <c r="H25" s="338">
        <f t="shared" ref="H25" si="7">SUM(H23:H24)</f>
        <v>0</v>
      </c>
      <c r="I25" s="338">
        <f t="shared" ref="I25" si="8">SUM(I23:I24)</f>
        <v>0</v>
      </c>
      <c r="J25" s="338">
        <f t="shared" si="6"/>
        <v>1602376.8954571439</v>
      </c>
      <c r="K25" s="340">
        <f t="shared" ref="K25" si="9">SUM(K23:K24)</f>
        <v>300516.84132651065</v>
      </c>
      <c r="L25" s="653">
        <f t="shared" ref="L25" si="10">SUM(L23:L24)</f>
        <v>1889419.7616420989</v>
      </c>
    </row>
    <row r="26" spans="1:13" x14ac:dyDescent="0.35">
      <c r="B26" s="10">
        <f t="shared" si="5"/>
        <v>2019</v>
      </c>
      <c r="C26" s="18" t="s">
        <v>344</v>
      </c>
      <c r="D26" s="12" t="s">
        <v>92</v>
      </c>
      <c r="E26" s="148">
        <f>'Chaleur du bâtiment - Calcul'!E63*1000</f>
        <v>580577.35421476688</v>
      </c>
      <c r="F26" s="11" t="s">
        <v>96</v>
      </c>
      <c r="G26" s="149">
        <f>_xlfn.XLOOKUP($M26,'Facteurs d''émissions'!$B$7:$B$21,'Facteurs d''émissions'!D$7:D$21)*$E26</f>
        <v>0</v>
      </c>
      <c r="H26" s="148">
        <f>_xlfn.XLOOKUP($M26,'Facteurs d''émissions'!$B$7:$B$21,'Facteurs d''émissions'!E$7:E$21)*$E26</f>
        <v>0</v>
      </c>
      <c r="I26" s="148">
        <f>_xlfn.XLOOKUP($M26,'Facteurs d''émissions'!$B$7:$B$21,'Facteurs d''émissions'!F$7:F$21)*$E26</f>
        <v>0</v>
      </c>
      <c r="J26" s="148">
        <f t="shared" si="6"/>
        <v>0</v>
      </c>
      <c r="K26" s="149">
        <f>_xlfn.XLOOKUP($M26,'Facteurs d''émissions'!$B$7:$B$21,'Facteurs d''émissions'!H$7:H$21)*$E26</f>
        <v>72572.16927684586</v>
      </c>
      <c r="L26" s="650">
        <f>_xlfn.XLOOKUP($M26,'Facteurs d''émissions'!$B$7:$B$21,'Facteurs d''émissions'!L$7:L$21)*$E26</f>
        <v>72572.16927684586</v>
      </c>
      <c r="M26" s="123" t="s">
        <v>159</v>
      </c>
    </row>
    <row r="27" spans="1:13" x14ac:dyDescent="0.35">
      <c r="B27" s="10">
        <f t="shared" si="5"/>
        <v>2019</v>
      </c>
      <c r="C27" s="18"/>
      <c r="D27" s="12" t="s">
        <v>91</v>
      </c>
      <c r="E27" s="148">
        <f>'Chaleur du bâtiment - Calcul'!E64*1000</f>
        <v>521246.32877492026</v>
      </c>
      <c r="F27" s="11" t="s">
        <v>96</v>
      </c>
      <c r="G27" s="149">
        <f>_xlfn.XLOOKUP($M27,'Facteurs d''émissions'!$B$7:$B$21,'Facteurs d''émissions'!D$7:D$21)*$E27</f>
        <v>0</v>
      </c>
      <c r="H27" s="148">
        <f>_xlfn.XLOOKUP($M27,'Facteurs d''émissions'!$B$7:$B$21,'Facteurs d''émissions'!E$7:E$21)*$E27</f>
        <v>0</v>
      </c>
      <c r="I27" s="148">
        <f>_xlfn.XLOOKUP($M27,'Facteurs d''émissions'!$B$7:$B$21,'Facteurs d''émissions'!F$7:F$21)*$E27</f>
        <v>0</v>
      </c>
      <c r="J27" s="148">
        <f t="shared" si="6"/>
        <v>0</v>
      </c>
      <c r="K27" s="149">
        <f>_xlfn.XLOOKUP($M27,'Facteurs d''émissions'!$B$7:$B$21,'Facteurs d''émissions'!H$7:H$21)*$E27</f>
        <v>14594.897205697767</v>
      </c>
      <c r="L27" s="650">
        <f>_xlfn.XLOOKUP($M27,'Facteurs d''émissions'!$B$7:$B$21,'Facteurs d''émissions'!L$7:L$21)*$E27</f>
        <v>14594.897205697767</v>
      </c>
      <c r="M27" s="123" t="s">
        <v>108</v>
      </c>
    </row>
    <row r="28" spans="1:13" x14ac:dyDescent="0.35">
      <c r="B28" s="10">
        <f t="shared" si="5"/>
        <v>2019</v>
      </c>
      <c r="C28" s="18"/>
      <c r="D28" s="12" t="s">
        <v>90</v>
      </c>
      <c r="E28" s="148">
        <f>'Chaleur du bâtiment - Calcul'!E65*1000</f>
        <v>671325.19163862406</v>
      </c>
      <c r="F28" s="11" t="s">
        <v>96</v>
      </c>
      <c r="G28" s="646">
        <f>E28*'Chaleur du bâtiment - Calcul'!F128</f>
        <v>51176.543564392479</v>
      </c>
      <c r="H28" s="148">
        <v>0</v>
      </c>
      <c r="I28" s="148">
        <v>0</v>
      </c>
      <c r="J28" s="318">
        <f t="shared" si="6"/>
        <v>51176.543564392479</v>
      </c>
      <c r="K28" s="646">
        <f>E28*'Chaleur du bâtiment - Calcul'!$G$108</f>
        <v>14024.468564188011</v>
      </c>
      <c r="L28" s="650">
        <f>G28+K28</f>
        <v>65201.012128580493</v>
      </c>
      <c r="M28" s="123"/>
    </row>
    <row r="29" spans="1:13" x14ac:dyDescent="0.35">
      <c r="B29" s="10">
        <f t="shared" si="5"/>
        <v>2019</v>
      </c>
      <c r="C29" s="18"/>
      <c r="D29" s="12" t="s">
        <v>93</v>
      </c>
      <c r="E29" s="148">
        <f>'Chaleur du bâtiment - Calcul'!E66*1000</f>
        <v>103042.70618945955</v>
      </c>
      <c r="F29" s="5" t="s">
        <v>96</v>
      </c>
      <c r="G29" s="150">
        <f>_xlfn.XLOOKUP($M29,'Facteurs d''émissions'!$B$7:$B$21,'Facteurs d''émissions'!D$7:D$21)*$E29</f>
        <v>0</v>
      </c>
      <c r="H29" s="151">
        <f>_xlfn.XLOOKUP($M29,'Facteurs d''émissions'!$B$7:$B$21,'Facteurs d''émissions'!E$7:E$21)*$E29</f>
        <v>0</v>
      </c>
      <c r="I29" s="151">
        <f>_xlfn.XLOOKUP($M29,'Facteurs d''émissions'!$B$7:$B$21,'Facteurs d''émissions'!F$7:F$21)*$E29</f>
        <v>0</v>
      </c>
      <c r="J29" s="148">
        <f t="shared" si="6"/>
        <v>0</v>
      </c>
      <c r="K29" s="150">
        <f>_xlfn.XLOOKUP($M29,'Facteurs d''émissions'!$B$7:$B$21,'Facteurs d''émissions'!H$7:H$21)*$E29</f>
        <v>1545.6405928418933</v>
      </c>
      <c r="L29" s="658">
        <f>_xlfn.XLOOKUP($M29,'Facteurs d''émissions'!$B$7:$B$21,'Facteurs d''émissions'!L$7:L$21)*$E29</f>
        <v>1545.6405928418933</v>
      </c>
      <c r="M29" s="123" t="s">
        <v>109</v>
      </c>
    </row>
    <row r="30" spans="1:13" x14ac:dyDescent="0.35">
      <c r="B30" s="20" t="s">
        <v>6</v>
      </c>
      <c r="C30" s="21"/>
      <c r="D30" s="22"/>
      <c r="E30" s="213">
        <f t="shared" ref="E30" si="11">SUM(E26:E29)</f>
        <v>1876191.5808177709</v>
      </c>
      <c r="F30" s="339" t="s">
        <v>96</v>
      </c>
      <c r="G30" s="209">
        <f t="shared" ref="G30:L30" si="12">SUM(G26:G29)</f>
        <v>51176.543564392479</v>
      </c>
      <c r="H30" s="212">
        <f t="shared" si="12"/>
        <v>0</v>
      </c>
      <c r="I30" s="212">
        <f t="shared" si="12"/>
        <v>0</v>
      </c>
      <c r="J30" s="210">
        <f t="shared" si="6"/>
        <v>51176.543564392479</v>
      </c>
      <c r="K30" s="209">
        <f t="shared" si="12"/>
        <v>102737.17563957353</v>
      </c>
      <c r="L30" s="659">
        <f t="shared" si="12"/>
        <v>153913.71920396603</v>
      </c>
      <c r="M30" s="362"/>
    </row>
    <row r="31" spans="1:13" x14ac:dyDescent="0.35">
      <c r="B31" s="87" t="s">
        <v>7</v>
      </c>
      <c r="C31" s="88"/>
      <c r="D31" s="89"/>
      <c r="E31" s="341">
        <f>E30+E25</f>
        <v>8717144.8667262681</v>
      </c>
      <c r="F31" s="90" t="s">
        <v>96</v>
      </c>
      <c r="G31" s="341">
        <f t="shared" ref="G31:L31" si="13">G30+G25</f>
        <v>1653553.4390215364</v>
      </c>
      <c r="H31" s="342">
        <f t="shared" si="13"/>
        <v>0</v>
      </c>
      <c r="I31" s="342">
        <f t="shared" si="13"/>
        <v>0</v>
      </c>
      <c r="J31" s="342">
        <f t="shared" si="6"/>
        <v>1653553.4390215364</v>
      </c>
      <c r="K31" s="341">
        <f t="shared" si="13"/>
        <v>403254.01696608419</v>
      </c>
      <c r="L31" s="655">
        <f t="shared" si="13"/>
        <v>2043333.4808460649</v>
      </c>
      <c r="M31" s="362"/>
    </row>
    <row r="32" spans="1:13" x14ac:dyDescent="0.35">
      <c r="K32" s="162"/>
    </row>
    <row r="33" spans="1:13" s="85" customFormat="1" x14ac:dyDescent="0.35">
      <c r="A33" s="86">
        <v>2015</v>
      </c>
      <c r="G33" s="138"/>
      <c r="H33" s="138"/>
      <c r="I33" s="138"/>
      <c r="J33" s="138"/>
      <c r="K33" s="410"/>
      <c r="L33" s="138"/>
      <c r="M33" s="122"/>
    </row>
    <row r="34" spans="1:13" x14ac:dyDescent="0.35">
      <c r="K34" s="162"/>
    </row>
    <row r="35" spans="1:13" ht="29" x14ac:dyDescent="0.35">
      <c r="E35" s="5"/>
      <c r="F35" s="14"/>
      <c r="G35" s="1001" t="s">
        <v>722</v>
      </c>
      <c r="H35" s="1002"/>
      <c r="I35" s="1002"/>
      <c r="J35" s="1003"/>
      <c r="K35" s="648" t="s">
        <v>731</v>
      </c>
      <c r="L35" s="660" t="s">
        <v>723</v>
      </c>
    </row>
    <row r="36" spans="1:13" ht="15" thickBot="1" x14ac:dyDescent="0.4">
      <c r="B36" s="15" t="s">
        <v>5</v>
      </c>
      <c r="C36" s="17" t="s">
        <v>340</v>
      </c>
      <c r="D36" s="9" t="s">
        <v>1</v>
      </c>
      <c r="E36" s="4" t="s">
        <v>129</v>
      </c>
      <c r="F36" s="4" t="s">
        <v>95</v>
      </c>
      <c r="G36" s="140" t="s">
        <v>48</v>
      </c>
      <c r="H36" s="141" t="s">
        <v>3</v>
      </c>
      <c r="I36" s="141" t="s">
        <v>50</v>
      </c>
      <c r="J36" s="142" t="s">
        <v>4</v>
      </c>
      <c r="K36" s="241" t="s">
        <v>48</v>
      </c>
      <c r="L36" s="656" t="s">
        <v>48</v>
      </c>
    </row>
    <row r="37" spans="1:13" ht="15" thickTop="1" x14ac:dyDescent="0.35">
      <c r="B37" s="10">
        <f>$A$33</f>
        <v>2015</v>
      </c>
      <c r="C37" s="18" t="s">
        <v>343</v>
      </c>
      <c r="D37" s="12" t="s">
        <v>88</v>
      </c>
      <c r="E37" s="148">
        <f>'Chaleur du bâtiment - Calcul'!D39</f>
        <v>4091043.3825705256</v>
      </c>
      <c r="F37" s="11" t="s">
        <v>96</v>
      </c>
      <c r="G37" s="153">
        <f>_xlfn.XLOOKUP($M37,'Facteurs d''émissions'!$B$7:$B$21,'Facteurs d''émissions'!D$7:D$21)*$E37</f>
        <v>1084535.6007194463</v>
      </c>
      <c r="H37" s="154">
        <f>_xlfn.XLOOKUP($M37,'Facteurs d''émissions'!$B$7:$B$21,'Facteurs d''émissions'!E$7:E$21)*$E37</f>
        <v>0</v>
      </c>
      <c r="I37" s="154">
        <f>_xlfn.XLOOKUP($M37,'Facteurs d''émissions'!$B$7:$B$21,'Facteurs d''émissions'!F$7:F$21)*$E37</f>
        <v>0</v>
      </c>
      <c r="J37" s="148">
        <f>SUM(G37:I37)</f>
        <v>1084535.6007194463</v>
      </c>
      <c r="K37" s="153">
        <f>_xlfn.XLOOKUP($M37,'Facteurs d''émissions'!$B$7:$B$21,'Facteurs d''émissions'!H$7:H$21)*$E37</f>
        <v>240962.45523340401</v>
      </c>
      <c r="L37" s="657">
        <f>_xlfn.XLOOKUP($M37,'Facteurs d''émissions'!$B$7:$B$21,'Facteurs d''émissions'!L$7:L$21)*$E37</f>
        <v>1325498.0559528503</v>
      </c>
      <c r="M37" s="117" t="s">
        <v>102</v>
      </c>
    </row>
    <row r="38" spans="1:13" x14ac:dyDescent="0.35">
      <c r="B38" s="10">
        <f t="shared" ref="B38:B43" si="14">$A$33</f>
        <v>2015</v>
      </c>
      <c r="C38" s="18"/>
      <c r="D38" s="12" t="s">
        <v>89</v>
      </c>
      <c r="E38" s="148">
        <f>'Chaleur du bâtiment - Calcul'!E56</f>
        <v>3228343.3839707919</v>
      </c>
      <c r="F38" s="11" t="s">
        <v>96</v>
      </c>
      <c r="G38" s="149">
        <f>_xlfn.XLOOKUP($M38,'Facteurs d''émissions'!$B$7:$B$21,'Facteurs d''émissions'!D$7:D$21)*$E38</f>
        <v>655353.70694607077</v>
      </c>
      <c r="H38" s="148">
        <f>_xlfn.XLOOKUP($M38,'Facteurs d''émissions'!$B$7:$B$21,'Facteurs d''émissions'!E$7:E$21)*$E38</f>
        <v>0</v>
      </c>
      <c r="I38" s="148">
        <f>_xlfn.XLOOKUP($M38,'Facteurs d''émissions'!$B$7:$B$21,'Facteurs d''émissions'!F$7:F$21)*$E38</f>
        <v>0</v>
      </c>
      <c r="J38" s="148">
        <f t="shared" ref="J38:J45" si="15">SUM(G38:I38)</f>
        <v>655353.70694607077</v>
      </c>
      <c r="K38" s="149">
        <f>_xlfn.XLOOKUP($M38,'Facteurs d''émissions'!$B$7:$B$21,'Facteurs d''émissions'!H$7:H$21)*$E38</f>
        <v>92976.289458358879</v>
      </c>
      <c r="L38" s="650">
        <f>_xlfn.XLOOKUP($M38,'Facteurs d''émissions'!$B$7:$B$21,'Facteurs d''émissions'!L$7:L$21)*$E38</f>
        <v>735674.30179982248</v>
      </c>
      <c r="M38" s="117" t="s">
        <v>822</v>
      </c>
    </row>
    <row r="39" spans="1:13" x14ac:dyDescent="0.35">
      <c r="B39" s="335"/>
      <c r="C39" s="336"/>
      <c r="D39" s="337"/>
      <c r="E39" s="340">
        <f>SUM(E37:E38)</f>
        <v>7319386.7665413171</v>
      </c>
      <c r="F39" s="339" t="s">
        <v>96</v>
      </c>
      <c r="G39" s="340">
        <f>SUM(G37:G38)</f>
        <v>1739889.3076655171</v>
      </c>
      <c r="H39" s="338">
        <f t="shared" ref="H39" si="16">SUM(H37:H38)</f>
        <v>0</v>
      </c>
      <c r="I39" s="338">
        <f t="shared" ref="I39" si="17">SUM(I37:I38)</f>
        <v>0</v>
      </c>
      <c r="J39" s="338">
        <f t="shared" si="15"/>
        <v>1739889.3076655171</v>
      </c>
      <c r="K39" s="340">
        <f t="shared" ref="K39" si="18">SUM(K37:K38)</f>
        <v>333938.7446917629</v>
      </c>
      <c r="L39" s="653">
        <f t="shared" ref="L39" si="19">SUM(L37:L38)</f>
        <v>2061172.3577526729</v>
      </c>
    </row>
    <row r="40" spans="1:13" x14ac:dyDescent="0.35">
      <c r="B40" s="10">
        <f t="shared" si="14"/>
        <v>2015</v>
      </c>
      <c r="C40" s="18" t="s">
        <v>344</v>
      </c>
      <c r="D40" s="12" t="s">
        <v>92</v>
      </c>
      <c r="E40" s="148">
        <f>'Chaleur du bâtiment - Calcul'!D63*1000</f>
        <v>475431.31725329062</v>
      </c>
      <c r="F40" s="11" t="s">
        <v>96</v>
      </c>
      <c r="G40" s="149">
        <f>_xlfn.XLOOKUP($M40,'Facteurs d''émissions'!$B$7:$B$21,'Facteurs d''émissions'!D$7:D$21)*$E40</f>
        <v>0</v>
      </c>
      <c r="H40" s="148">
        <f>_xlfn.XLOOKUP($M40,'Facteurs d''émissions'!$B$7:$B$21,'Facteurs d''émissions'!E$7:E$21)*$E40</f>
        <v>0</v>
      </c>
      <c r="I40" s="148">
        <f>_xlfn.XLOOKUP($M40,'Facteurs d''émissions'!$B$7:$B$21,'Facteurs d''émissions'!F$7:F$21)*$E40</f>
        <v>0</v>
      </c>
      <c r="J40" s="148">
        <f t="shared" si="15"/>
        <v>0</v>
      </c>
      <c r="K40" s="149">
        <f>_xlfn.XLOOKUP($M40,'Facteurs d''émissions'!$B$7:$B$21,'Facteurs d''émissions'!H$7:H$21)*$E40</f>
        <v>59428.914656661327</v>
      </c>
      <c r="L40" s="650">
        <f>_xlfn.XLOOKUP($M40,'Facteurs d''émissions'!$B$7:$B$21,'Facteurs d''émissions'!L$7:L$21)*$E40</f>
        <v>59428.914656661327</v>
      </c>
      <c r="M40" s="123" t="s">
        <v>159</v>
      </c>
    </row>
    <row r="41" spans="1:13" x14ac:dyDescent="0.35">
      <c r="B41" s="10">
        <f t="shared" si="14"/>
        <v>2015</v>
      </c>
      <c r="C41" s="18"/>
      <c r="D41" s="12" t="s">
        <v>91</v>
      </c>
      <c r="E41" s="148">
        <f>'Chaleur du bâtiment - Calcul'!D64*1000</f>
        <v>594138.13524050801</v>
      </c>
      <c r="F41" s="11" t="s">
        <v>96</v>
      </c>
      <c r="G41" s="149">
        <f>_xlfn.XLOOKUP($M41,'Facteurs d''émissions'!$B$7:$B$21,'Facteurs d''émissions'!D$7:D$21)*$E41</f>
        <v>0</v>
      </c>
      <c r="H41" s="148">
        <f>_xlfn.XLOOKUP($M41,'Facteurs d''émissions'!$B$7:$B$21,'Facteurs d''émissions'!E$7:E$21)*$E41</f>
        <v>0</v>
      </c>
      <c r="I41" s="148">
        <f>_xlfn.XLOOKUP($M41,'Facteurs d''émissions'!$B$7:$B$21,'Facteurs d''émissions'!F$7:F$21)*$E41</f>
        <v>0</v>
      </c>
      <c r="J41" s="148">
        <f t="shared" si="15"/>
        <v>0</v>
      </c>
      <c r="K41" s="149">
        <f>_xlfn.XLOOKUP($M41,'Facteurs d''émissions'!$B$7:$B$21,'Facteurs d''émissions'!H$7:H$21)*$E41</f>
        <v>16635.867786734223</v>
      </c>
      <c r="L41" s="650">
        <f>_xlfn.XLOOKUP($M41,'Facteurs d''émissions'!$B$7:$B$21,'Facteurs d''émissions'!L$7:L$21)*$E41</f>
        <v>16635.867786734223</v>
      </c>
      <c r="M41" s="123" t="s">
        <v>108</v>
      </c>
    </row>
    <row r="42" spans="1:13" x14ac:dyDescent="0.35">
      <c r="B42" s="10">
        <f t="shared" si="14"/>
        <v>2015</v>
      </c>
      <c r="C42" s="18"/>
      <c r="D42" s="12" t="s">
        <v>90</v>
      </c>
      <c r="E42" s="148">
        <f>'Chaleur du bâtiment - Calcul'!D65*1000</f>
        <v>630074.53694961371</v>
      </c>
      <c r="F42" s="11" t="s">
        <v>96</v>
      </c>
      <c r="G42" s="646">
        <f>E42*'Chaleur du bâtiment - Calcul'!F128</f>
        <v>48031.918644837482</v>
      </c>
      <c r="H42" s="148">
        <v>0</v>
      </c>
      <c r="I42" s="148">
        <v>0</v>
      </c>
      <c r="J42" s="318">
        <f t="shared" si="15"/>
        <v>48031.918644837482</v>
      </c>
      <c r="K42" s="646">
        <f>E42*'Chaleur du bâtiment - Calcul'!$G$108</f>
        <v>13162.712567029457</v>
      </c>
      <c r="L42" s="650">
        <f>G42+K42</f>
        <v>61194.631211866938</v>
      </c>
      <c r="M42" s="123"/>
    </row>
    <row r="43" spans="1:13" x14ac:dyDescent="0.35">
      <c r="B43" s="10">
        <f t="shared" si="14"/>
        <v>2015</v>
      </c>
      <c r="C43" s="18"/>
      <c r="D43" s="12" t="s">
        <v>93</v>
      </c>
      <c r="E43" s="148">
        <f>'Chaleur du bâtiment - Calcul'!D66*1000</f>
        <v>85416.980130736207</v>
      </c>
      <c r="F43" s="11" t="s">
        <v>96</v>
      </c>
      <c r="G43" s="150">
        <f>_xlfn.XLOOKUP($M43,'Facteurs d''émissions'!$B$7:$B$21,'Facteurs d''émissions'!D$7:D$21)*$E43</f>
        <v>0</v>
      </c>
      <c r="H43" s="148">
        <f>_xlfn.XLOOKUP($M43,'Facteurs d''émissions'!$B$7:$B$21,'Facteurs d''émissions'!E$7:E$21)*$E43</f>
        <v>0</v>
      </c>
      <c r="I43" s="148">
        <f>_xlfn.XLOOKUP($M43,'Facteurs d''émissions'!$B$7:$B$21,'Facteurs d''émissions'!F$7:F$21)*$E43</f>
        <v>0</v>
      </c>
      <c r="J43" s="148">
        <f t="shared" si="15"/>
        <v>0</v>
      </c>
      <c r="K43" s="149">
        <f>_xlfn.XLOOKUP($M43,'Facteurs d''émissions'!$B$7:$B$21,'Facteurs d''émissions'!H$7:H$21)*$E43</f>
        <v>1281.2547019610431</v>
      </c>
      <c r="L43" s="650">
        <f>_xlfn.XLOOKUP($M43,'Facteurs d''émissions'!$B$7:$B$21,'Facteurs d''émissions'!L$7:L$21)*$E43</f>
        <v>1281.2547019610431</v>
      </c>
      <c r="M43" s="123" t="s">
        <v>109</v>
      </c>
    </row>
    <row r="44" spans="1:13" x14ac:dyDescent="0.35">
      <c r="B44" s="20" t="s">
        <v>6</v>
      </c>
      <c r="C44" s="21"/>
      <c r="D44" s="22"/>
      <c r="E44" s="213">
        <f t="shared" ref="E44" si="20">SUM(E40:E43)</f>
        <v>1785060.9695741488</v>
      </c>
      <c r="F44" s="339" t="s">
        <v>96</v>
      </c>
      <c r="G44" s="209">
        <f t="shared" ref="G44:L44" si="21">SUM(G40:G43)</f>
        <v>48031.918644837482</v>
      </c>
      <c r="H44" s="211">
        <f t="shared" si="21"/>
        <v>0</v>
      </c>
      <c r="I44" s="211">
        <f t="shared" si="21"/>
        <v>0</v>
      </c>
      <c r="J44" s="210">
        <f t="shared" si="15"/>
        <v>48031.918644837482</v>
      </c>
      <c r="K44" s="213">
        <f t="shared" si="21"/>
        <v>90508.749712386067</v>
      </c>
      <c r="L44" s="654">
        <f t="shared" si="21"/>
        <v>138540.66835722353</v>
      </c>
      <c r="M44" s="362"/>
    </row>
    <row r="45" spans="1:13" x14ac:dyDescent="0.35">
      <c r="B45" s="87" t="s">
        <v>7</v>
      </c>
      <c r="C45" s="88"/>
      <c r="D45" s="89"/>
      <c r="E45" s="341">
        <f>E44+E39</f>
        <v>9104447.7361154668</v>
      </c>
      <c r="F45" s="90" t="s">
        <v>96</v>
      </c>
      <c r="G45" s="341">
        <f t="shared" ref="G45:L45" si="22">G44+G39</f>
        <v>1787921.2263103547</v>
      </c>
      <c r="H45" s="342">
        <f t="shared" si="22"/>
        <v>0</v>
      </c>
      <c r="I45" s="342">
        <f t="shared" si="22"/>
        <v>0</v>
      </c>
      <c r="J45" s="342">
        <f t="shared" si="15"/>
        <v>1787921.2263103547</v>
      </c>
      <c r="K45" s="341">
        <f t="shared" si="22"/>
        <v>424447.49440414895</v>
      </c>
      <c r="L45" s="655">
        <f t="shared" si="22"/>
        <v>2199713.0261098966</v>
      </c>
      <c r="M45" s="362"/>
    </row>
    <row r="48" spans="1:13" s="85" customFormat="1" x14ac:dyDescent="0.35">
      <c r="A48" s="86">
        <v>1990</v>
      </c>
      <c r="G48" s="138"/>
      <c r="H48" s="138"/>
      <c r="I48" s="138"/>
      <c r="J48" s="138"/>
      <c r="K48" s="138"/>
      <c r="L48" s="138"/>
      <c r="M48" s="122"/>
    </row>
    <row r="50" spans="2:22" ht="29" x14ac:dyDescent="0.35">
      <c r="D50" s="5"/>
      <c r="E50" s="5"/>
      <c r="F50" s="14"/>
      <c r="G50" s="1001" t="s">
        <v>722</v>
      </c>
      <c r="H50" s="1002"/>
      <c r="I50" s="1002"/>
      <c r="J50" s="1003"/>
      <c r="K50" s="648" t="s">
        <v>731</v>
      </c>
      <c r="L50" s="660" t="s">
        <v>723</v>
      </c>
    </row>
    <row r="51" spans="2:22" ht="15" thickBot="1" x14ac:dyDescent="0.4">
      <c r="B51" s="15" t="s">
        <v>5</v>
      </c>
      <c r="C51" s="17" t="s">
        <v>340</v>
      </c>
      <c r="D51" s="9" t="s">
        <v>1</v>
      </c>
      <c r="E51" s="4" t="s">
        <v>129</v>
      </c>
      <c r="F51" s="4" t="s">
        <v>95</v>
      </c>
      <c r="G51" s="140" t="s">
        <v>48</v>
      </c>
      <c r="H51" s="141" t="s">
        <v>3</v>
      </c>
      <c r="I51" s="141" t="s">
        <v>50</v>
      </c>
      <c r="J51" s="142" t="s">
        <v>4</v>
      </c>
      <c r="K51" s="140" t="s">
        <v>48</v>
      </c>
      <c r="L51" s="140" t="s">
        <v>48</v>
      </c>
    </row>
    <row r="52" spans="2:22" ht="15" thickTop="1" x14ac:dyDescent="0.35">
      <c r="B52" s="20" t="s">
        <v>6</v>
      </c>
      <c r="C52" s="21"/>
      <c r="D52" s="22"/>
      <c r="E52" s="23"/>
      <c r="F52" s="23"/>
      <c r="G52" s="143"/>
      <c r="H52" s="144"/>
      <c r="I52" s="144"/>
      <c r="J52" s="145"/>
      <c r="K52" s="143"/>
      <c r="L52" s="143"/>
    </row>
    <row r="53" spans="2:22" x14ac:dyDescent="0.35">
      <c r="B53" s="87" t="s">
        <v>7</v>
      </c>
      <c r="C53" s="88"/>
      <c r="D53" s="89"/>
      <c r="E53" s="90"/>
      <c r="F53" s="90"/>
      <c r="G53" s="146"/>
      <c r="H53" s="147"/>
      <c r="I53" s="147"/>
      <c r="J53" s="186">
        <f xml:space="preserve"> Constantes!C25 * (POP_VD_1990/Pop_CH_1990) * ( ('Chaleur du batiment - Emissions'!J31/POP_VD_2019) / (Constantes!D25/POP_CH_2019) )</f>
        <v>2272379.3374299197</v>
      </c>
      <c r="K53" s="146"/>
      <c r="L53" s="146"/>
    </row>
    <row r="56" spans="2:22" x14ac:dyDescent="0.35">
      <c r="C56" s="163"/>
      <c r="D56" s="177"/>
      <c r="J56" s="177"/>
    </row>
    <row r="57" spans="2:22" x14ac:dyDescent="0.35">
      <c r="C57" s="163"/>
      <c r="D57" s="422"/>
    </row>
    <row r="59" spans="2:22" s="334" customFormat="1" x14ac:dyDescent="0.35">
      <c r="G59" s="343"/>
      <c r="H59" s="343"/>
      <c r="I59" s="343"/>
      <c r="J59" s="343"/>
      <c r="K59" s="343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18"/>
    </row>
  </sheetData>
  <sheetProtection algorithmName="SHA-512" hashValue="N4hF71NB44ocM7URxHr50tnFMgJuYL/oV5RuODI4qnFHH0ebPmE5V3ewOkvBQJzIOgd2u5E+/EC1DR9Sif8PoA==" saltValue="dVX/JZMrQITm5+fgKHPb9w==" spinCount="100000" sheet="1" objects="1" scenarios="1"/>
  <mergeCells count="4">
    <mergeCell ref="G7:J7"/>
    <mergeCell ref="G21:J21"/>
    <mergeCell ref="G35:J35"/>
    <mergeCell ref="G50:J50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BCBAE-5080-45D7-8891-6EA606832F89}">
  <sheetPr>
    <tabColor theme="7"/>
  </sheetPr>
  <dimension ref="A2:S139"/>
  <sheetViews>
    <sheetView topLeftCell="A80" workbookViewId="0">
      <selection activeCell="D101" sqref="C101:D101"/>
    </sheetView>
  </sheetViews>
  <sheetFormatPr baseColWidth="10" defaultRowHeight="14.5" x14ac:dyDescent="0.35"/>
  <cols>
    <col min="2" max="2" width="42.81640625" customWidth="1"/>
    <col min="3" max="3" width="23.81640625" customWidth="1"/>
    <col min="4" max="4" width="17" customWidth="1"/>
    <col min="5" max="5" width="15.26953125" customWidth="1"/>
    <col min="6" max="6" width="14.1796875" customWidth="1"/>
    <col min="7" max="7" width="17.81640625" customWidth="1"/>
    <col min="9" max="9" width="13.453125" bestFit="1" customWidth="1"/>
    <col min="17" max="17" width="20.1796875" customWidth="1"/>
    <col min="18" max="18" width="21.81640625" customWidth="1"/>
  </cols>
  <sheetData>
    <row r="2" spans="2:5" s="83" customFormat="1" ht="31" x14ac:dyDescent="0.7">
      <c r="B2" s="423" t="s">
        <v>87</v>
      </c>
    </row>
    <row r="4" spans="2:5" s="388" customFormat="1" x14ac:dyDescent="0.35"/>
    <row r="5" spans="2:5" s="388" customFormat="1" x14ac:dyDescent="0.35">
      <c r="B5" s="124" t="s">
        <v>450</v>
      </c>
    </row>
    <row r="6" spans="2:5" s="388" customFormat="1" x14ac:dyDescent="0.35">
      <c r="B6" s="394" t="s">
        <v>441</v>
      </c>
      <c r="C6" s="395" t="s">
        <v>442</v>
      </c>
      <c r="D6" s="394" t="s">
        <v>443</v>
      </c>
    </row>
    <row r="7" spans="2:5" s="388" customFormat="1" x14ac:dyDescent="0.35">
      <c r="B7" s="388" t="s">
        <v>444</v>
      </c>
      <c r="C7" s="388" t="s">
        <v>89</v>
      </c>
      <c r="D7" s="389">
        <v>2544438351.9325099</v>
      </c>
      <c r="E7" s="124" t="s">
        <v>452</v>
      </c>
    </row>
    <row r="8" spans="2:5" s="388" customFormat="1" x14ac:dyDescent="0.35">
      <c r="B8" s="388" t="s">
        <v>444</v>
      </c>
      <c r="C8" s="388" t="s">
        <v>88</v>
      </c>
      <c r="D8" s="389">
        <v>2325561344.5282559</v>
      </c>
    </row>
    <row r="9" spans="2:5" s="388" customFormat="1" x14ac:dyDescent="0.35">
      <c r="B9" s="388" t="s">
        <v>444</v>
      </c>
      <c r="C9" s="388" t="s">
        <v>445</v>
      </c>
      <c r="D9" s="389">
        <v>629818131.97164178</v>
      </c>
    </row>
    <row r="10" spans="2:5" s="388" customFormat="1" x14ac:dyDescent="0.35">
      <c r="B10" s="388" t="s">
        <v>444</v>
      </c>
      <c r="C10" s="388" t="s">
        <v>91</v>
      </c>
      <c r="D10" s="389">
        <v>469023480.89435482</v>
      </c>
    </row>
    <row r="11" spans="2:5" s="388" customFormat="1" x14ac:dyDescent="0.35">
      <c r="B11" s="388" t="s">
        <v>444</v>
      </c>
      <c r="C11" s="388" t="s">
        <v>446</v>
      </c>
      <c r="D11" s="389">
        <v>313816202.99342382</v>
      </c>
    </row>
    <row r="12" spans="2:5" s="388" customFormat="1" x14ac:dyDescent="0.35">
      <c r="B12" s="388" t="s">
        <v>444</v>
      </c>
      <c r="C12" s="388" t="s">
        <v>447</v>
      </c>
      <c r="D12" s="389">
        <v>221065989.25260869</v>
      </c>
    </row>
    <row r="13" spans="2:5" s="388" customFormat="1" x14ac:dyDescent="0.35">
      <c r="B13" s="388" t="s">
        <v>444</v>
      </c>
      <c r="C13" s="388" t="s">
        <v>93</v>
      </c>
      <c r="D13" s="389">
        <v>30040330.59394278</v>
      </c>
    </row>
    <row r="14" spans="2:5" s="388" customFormat="1" x14ac:dyDescent="0.35">
      <c r="B14" s="388" t="s">
        <v>448</v>
      </c>
      <c r="C14" s="388" t="s">
        <v>89</v>
      </c>
      <c r="D14" s="389">
        <v>343676465.42771262</v>
      </c>
    </row>
    <row r="15" spans="2:5" s="388" customFormat="1" x14ac:dyDescent="0.35">
      <c r="B15" s="388" t="s">
        <v>448</v>
      </c>
      <c r="C15" s="388" t="s">
        <v>88</v>
      </c>
      <c r="D15" s="389">
        <v>341750834.07340813</v>
      </c>
    </row>
    <row r="16" spans="2:5" s="388" customFormat="1" x14ac:dyDescent="0.35">
      <c r="B16" s="388" t="s">
        <v>448</v>
      </c>
      <c r="C16" s="388" t="s">
        <v>93</v>
      </c>
      <c r="D16" s="389">
        <v>92564994.627726182</v>
      </c>
    </row>
    <row r="17" spans="1:14" s="388" customFormat="1" x14ac:dyDescent="0.35">
      <c r="B17" s="388" t="s">
        <v>448</v>
      </c>
      <c r="C17" s="388" t="s">
        <v>446</v>
      </c>
      <c r="D17" s="389">
        <v>88926976.275355592</v>
      </c>
    </row>
    <row r="18" spans="1:14" s="388" customFormat="1" x14ac:dyDescent="0.35">
      <c r="B18" s="388" t="s">
        <v>448</v>
      </c>
      <c r="C18" s="388" t="s">
        <v>445</v>
      </c>
      <c r="D18" s="389">
        <v>85458373.424854815</v>
      </c>
      <c r="G18" s="432"/>
    </row>
    <row r="19" spans="1:14" s="388" customFormat="1" x14ac:dyDescent="0.35">
      <c r="B19" s="388" t="s">
        <v>448</v>
      </c>
      <c r="C19" s="388" t="s">
        <v>91</v>
      </c>
      <c r="D19" s="389">
        <v>56243004.255260631</v>
      </c>
    </row>
    <row r="20" spans="1:14" s="388" customFormat="1" x14ac:dyDescent="0.35">
      <c r="B20" s="388" t="s">
        <v>448</v>
      </c>
      <c r="C20" s="388" t="s">
        <v>447</v>
      </c>
      <c r="D20" s="389">
        <v>30668933.431356151</v>
      </c>
    </row>
    <row r="22" spans="1:14" s="397" customFormat="1" x14ac:dyDescent="0.35">
      <c r="B22" s="398" t="s">
        <v>495</v>
      </c>
    </row>
    <row r="25" spans="1:14" s="6" customFormat="1" x14ac:dyDescent="0.35">
      <c r="A25" s="334"/>
      <c r="B25" s="396" t="s">
        <v>120</v>
      </c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</row>
    <row r="26" spans="1:14" x14ac:dyDescent="0.35">
      <c r="B26" s="394"/>
      <c r="C26" s="395">
        <v>2023</v>
      </c>
      <c r="D26" s="11"/>
      <c r="I26" s="432"/>
    </row>
    <row r="27" spans="1:14" x14ac:dyDescent="0.35">
      <c r="B27" s="334" t="s">
        <v>449</v>
      </c>
      <c r="C27" s="393">
        <f>(D8+D15) / (1000*1000)</f>
        <v>2667.3121786016641</v>
      </c>
      <c r="E27" s="124"/>
    </row>
    <row r="28" spans="1:14" x14ac:dyDescent="0.35">
      <c r="E28" s="11"/>
    </row>
    <row r="29" spans="1:14" x14ac:dyDescent="0.35">
      <c r="B29" s="124" t="s">
        <v>451</v>
      </c>
      <c r="H29" s="358"/>
      <c r="I29" s="11"/>
      <c r="N29" s="124"/>
    </row>
    <row r="30" spans="1:14" x14ac:dyDescent="0.35">
      <c r="B30" s="394"/>
      <c r="C30" s="395">
        <v>1990</v>
      </c>
      <c r="D30" s="394">
        <v>2015</v>
      </c>
      <c r="E30" s="394">
        <v>2019</v>
      </c>
      <c r="F30" s="394">
        <v>2023</v>
      </c>
      <c r="G30" s="11"/>
      <c r="H30" s="11"/>
      <c r="I30" s="11"/>
    </row>
    <row r="31" spans="1:14" x14ac:dyDescent="0.35">
      <c r="B31" s="334" t="s">
        <v>122</v>
      </c>
      <c r="C31" s="392">
        <v>61189.975523095149</v>
      </c>
      <c r="D31" s="393">
        <v>35905.555545502</v>
      </c>
      <c r="E31" s="393">
        <v>30178</v>
      </c>
      <c r="F31" s="393">
        <v>23410</v>
      </c>
      <c r="G31" s="11"/>
      <c r="H31" s="277"/>
      <c r="I31" s="348"/>
    </row>
    <row r="32" spans="1:14" x14ac:dyDescent="0.35">
      <c r="H32" s="277"/>
      <c r="I32" s="348"/>
    </row>
    <row r="33" spans="2:13" x14ac:dyDescent="0.35">
      <c r="H33" s="6"/>
      <c r="I33" s="391"/>
    </row>
    <row r="34" spans="2:13" x14ac:dyDescent="0.35">
      <c r="B34" s="129" t="s">
        <v>125</v>
      </c>
      <c r="C34" s="130">
        <f>C27/F31</f>
        <v>0.11393900805645725</v>
      </c>
    </row>
    <row r="36" spans="2:13" s="6" customFormat="1" x14ac:dyDescent="0.35">
      <c r="B36" s="390" t="s">
        <v>126</v>
      </c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</row>
    <row r="37" spans="2:13" x14ac:dyDescent="0.35">
      <c r="B37" s="394"/>
      <c r="C37" s="395">
        <v>1990</v>
      </c>
      <c r="D37" s="394">
        <v>2015</v>
      </c>
      <c r="E37" s="394">
        <v>2019</v>
      </c>
      <c r="F37" s="394">
        <v>2023</v>
      </c>
      <c r="G37" s="11"/>
    </row>
    <row r="38" spans="2:13" x14ac:dyDescent="0.35">
      <c r="B38" s="6" t="s">
        <v>127</v>
      </c>
      <c r="C38" s="78"/>
      <c r="D38" s="78">
        <f>D31*$C$34</f>
        <v>4091.0433825705259</v>
      </c>
      <c r="E38" s="78">
        <f>E31*$C$34</f>
        <v>3438.451385127767</v>
      </c>
      <c r="F38" s="78">
        <f>C27</f>
        <v>2667.3121786016641</v>
      </c>
    </row>
    <row r="39" spans="2:13" x14ac:dyDescent="0.35">
      <c r="B39" s="6" t="s">
        <v>130</v>
      </c>
      <c r="C39" s="78"/>
      <c r="D39" s="78">
        <f t="shared" ref="D39:F39" si="0">1000*D38</f>
        <v>4091043.3825705256</v>
      </c>
      <c r="E39" s="78">
        <f t="shared" si="0"/>
        <v>3438451.385127767</v>
      </c>
      <c r="F39" s="78">
        <f t="shared" si="0"/>
        <v>2667312.178601664</v>
      </c>
    </row>
    <row r="41" spans="2:13" s="397" customFormat="1" x14ac:dyDescent="0.35">
      <c r="B41" s="398" t="s">
        <v>152</v>
      </c>
    </row>
    <row r="43" spans="2:13" x14ac:dyDescent="0.35">
      <c r="B43" s="131" t="s">
        <v>153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</row>
    <row r="44" spans="2:13" x14ac:dyDescent="0.35">
      <c r="B44" s="124" t="s">
        <v>131</v>
      </c>
    </row>
    <row r="46" spans="2:13" x14ac:dyDescent="0.35">
      <c r="C46" s="394">
        <v>1990</v>
      </c>
      <c r="D46" s="395"/>
      <c r="E46" s="394">
        <v>2015</v>
      </c>
      <c r="F46" s="394">
        <v>2016</v>
      </c>
      <c r="G46" s="394">
        <v>2017</v>
      </c>
      <c r="H46" s="394">
        <v>2018</v>
      </c>
      <c r="I46" s="395">
        <v>2019</v>
      </c>
      <c r="J46" s="394">
        <v>2020</v>
      </c>
      <c r="K46" s="394">
        <v>2021</v>
      </c>
      <c r="L46" s="394">
        <v>2022</v>
      </c>
      <c r="M46" s="394">
        <v>2023</v>
      </c>
    </row>
    <row r="47" spans="2:13" x14ac:dyDescent="0.35">
      <c r="B47" t="s">
        <v>133</v>
      </c>
      <c r="C47" s="162"/>
      <c r="D47" s="162"/>
      <c r="E47" s="162">
        <v>13497.14429728199</v>
      </c>
      <c r="F47" s="162">
        <v>14041.604315649589</v>
      </c>
      <c r="G47" s="162">
        <v>14256.484341456233</v>
      </c>
      <c r="H47" s="162">
        <v>13540.515898816358</v>
      </c>
      <c r="I47" s="162">
        <v>14053.29931494359</v>
      </c>
      <c r="J47" s="162">
        <v>13840.088243012631</v>
      </c>
      <c r="K47" s="162">
        <v>15102.506247565163</v>
      </c>
      <c r="L47" s="162">
        <v>12590.797691367818</v>
      </c>
      <c r="M47" s="162">
        <v>11985.158815189909</v>
      </c>
    </row>
    <row r="48" spans="2:13" x14ac:dyDescent="0.35">
      <c r="B48" t="s">
        <v>132</v>
      </c>
      <c r="C48" s="162">
        <v>2101.7420000000002</v>
      </c>
      <c r="D48" s="162"/>
      <c r="E48" s="162">
        <v>3749.2070491815375</v>
      </c>
      <c r="F48" s="162">
        <v>3900.4459552716485</v>
      </c>
      <c r="G48" s="162">
        <v>3960.1348561041614</v>
      </c>
      <c r="H48" s="162">
        <v>3761.254717238231</v>
      </c>
      <c r="I48" s="162">
        <v>3903.6945664465379</v>
      </c>
      <c r="J48" s="162">
        <v>3844.4692639499144</v>
      </c>
      <c r="K48" s="162">
        <v>4195.1409599349063</v>
      </c>
      <c r="L48" s="162">
        <v>3497.4440829532318</v>
      </c>
      <c r="M48" s="162">
        <v>3329.2110483340598</v>
      </c>
    </row>
    <row r="49" spans="2:15" x14ac:dyDescent="0.35">
      <c r="B49" t="s">
        <v>134</v>
      </c>
      <c r="C49" s="162">
        <f>C48*1000</f>
        <v>2101742</v>
      </c>
      <c r="D49" s="162"/>
      <c r="E49" s="162">
        <f t="shared" ref="E49:L49" si="1">E48*1000</f>
        <v>3749207.0491815377</v>
      </c>
      <c r="F49" s="162">
        <f t="shared" si="1"/>
        <v>3900445.9552716482</v>
      </c>
      <c r="G49" s="162">
        <f t="shared" si="1"/>
        <v>3960134.8561041616</v>
      </c>
      <c r="H49" s="162">
        <f t="shared" si="1"/>
        <v>3761254.7172382311</v>
      </c>
      <c r="I49" s="162">
        <f t="shared" si="1"/>
        <v>3903694.5664465381</v>
      </c>
      <c r="J49" s="162">
        <f t="shared" si="1"/>
        <v>3844469.2639499144</v>
      </c>
      <c r="K49" s="162">
        <f t="shared" si="1"/>
        <v>4195140.9599349061</v>
      </c>
      <c r="L49" s="162">
        <f t="shared" si="1"/>
        <v>3497444.0829532319</v>
      </c>
      <c r="M49" s="162">
        <f>M48*1000</f>
        <v>3329211.0483340598</v>
      </c>
    </row>
    <row r="51" spans="2:15" x14ac:dyDescent="0.35">
      <c r="B51" s="131" t="s">
        <v>727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</row>
    <row r="53" spans="2:15" x14ac:dyDescent="0.35">
      <c r="C53" s="394">
        <v>1990</v>
      </c>
      <c r="D53" s="395"/>
      <c r="E53" s="394">
        <v>2015</v>
      </c>
      <c r="F53" s="394">
        <v>2016</v>
      </c>
      <c r="G53" s="394">
        <v>2017</v>
      </c>
      <c r="H53" s="394">
        <v>2018</v>
      </c>
      <c r="I53" s="395">
        <v>2019</v>
      </c>
      <c r="J53" s="394">
        <v>2020</v>
      </c>
      <c r="K53" s="394">
        <v>2021</v>
      </c>
      <c r="L53" s="394">
        <v>2022</v>
      </c>
      <c r="M53" s="394">
        <v>2023</v>
      </c>
    </row>
    <row r="54" spans="2:15" x14ac:dyDescent="0.35">
      <c r="B54" t="s">
        <v>151</v>
      </c>
      <c r="E54" s="39">
        <f>'Industrie - Calcul'!C26</f>
        <v>354823.66521074582</v>
      </c>
      <c r="F54" s="39">
        <f>E54</f>
        <v>354823.66521074582</v>
      </c>
      <c r="G54" s="39">
        <f>'Industrie - Calcul'!$D$26</f>
        <v>335152.66566580784</v>
      </c>
      <c r="H54" s="39">
        <f>'Industrie - Calcul'!$D$26</f>
        <v>335152.66566580784</v>
      </c>
      <c r="I54" s="39">
        <f>'Industrie - Calcul'!$D$26</f>
        <v>335152.66566580784</v>
      </c>
      <c r="J54" s="39">
        <f>'Industrie - Calcul'!$E$15</f>
        <v>275056.23097383743</v>
      </c>
      <c r="K54" s="39">
        <f>'Industrie - Calcul'!$E$15</f>
        <v>275056.23097383743</v>
      </c>
      <c r="L54" s="39">
        <f>'Industrie - Calcul'!$E$15</f>
        <v>275056.23097383743</v>
      </c>
      <c r="M54" s="39">
        <f>'Industrie - Calcul'!$E$15</f>
        <v>275056.23097383743</v>
      </c>
    </row>
    <row r="55" spans="2:15" x14ac:dyDescent="0.35">
      <c r="B55" t="s">
        <v>154</v>
      </c>
      <c r="E55" s="162">
        <f>('Agriculture - Calcul'!$W$148+'Agriculture - Calcul'!$W$149) / 1000</f>
        <v>166040</v>
      </c>
      <c r="F55" s="162">
        <f>('Agriculture - Calcul'!$W$148+'Agriculture - Calcul'!$W$149) / 1000</f>
        <v>166040</v>
      </c>
      <c r="G55" s="162">
        <f>('Agriculture - Calcul'!$W$148+'Agriculture - Calcul'!$W$149) / 1000</f>
        <v>166040</v>
      </c>
      <c r="H55" s="162">
        <f>('Agriculture - Calcul'!$W$148+'Agriculture - Calcul'!$W$149) / 1000</f>
        <v>166040</v>
      </c>
      <c r="I55" s="162">
        <f>('Agriculture - Calcul'!$W$148+'Agriculture - Calcul'!$W$149) / 1000</f>
        <v>166040</v>
      </c>
      <c r="J55" s="162">
        <f>('Agriculture - Calcul'!$W$148+'Agriculture - Calcul'!$W$149) / 1000</f>
        <v>166040</v>
      </c>
      <c r="K55" s="162">
        <f>('Agriculture - Calcul'!$W$148+'Agriculture - Calcul'!$W$149) / 1000</f>
        <v>166040</v>
      </c>
      <c r="L55" s="162">
        <f>('Agriculture - Calcul'!$W$148+'Agriculture - Calcul'!$W$149) / 1000</f>
        <v>166040</v>
      </c>
      <c r="M55" s="162">
        <f>('Agriculture - Calcul'!$W$148+'Agriculture - Calcul'!$W$149) / 1000</f>
        <v>166040</v>
      </c>
    </row>
    <row r="56" spans="2:15" x14ac:dyDescent="0.35">
      <c r="B56" s="107" t="s">
        <v>155</v>
      </c>
      <c r="C56" s="107"/>
      <c r="D56" s="107"/>
      <c r="E56" s="178">
        <f>E49-E54-E55</f>
        <v>3228343.3839707919</v>
      </c>
      <c r="F56" s="178">
        <f t="shared" ref="F56:L56" si="2">F49-F54-F55</f>
        <v>3379582.2900609025</v>
      </c>
      <c r="G56" s="178">
        <f t="shared" si="2"/>
        <v>3458942.1904383539</v>
      </c>
      <c r="H56" s="178">
        <f t="shared" si="2"/>
        <v>3260062.0515724234</v>
      </c>
      <c r="I56" s="178">
        <f t="shared" si="2"/>
        <v>3402501.9007807304</v>
      </c>
      <c r="J56" s="178">
        <f t="shared" si="2"/>
        <v>3403373.0329760769</v>
      </c>
      <c r="K56" s="178">
        <f t="shared" si="2"/>
        <v>3754044.7289610687</v>
      </c>
      <c r="L56" s="178">
        <f t="shared" si="2"/>
        <v>3056347.8519793944</v>
      </c>
      <c r="M56" s="178">
        <f>M49-M54-M55</f>
        <v>2888114.8173602223</v>
      </c>
      <c r="O56" s="369"/>
    </row>
    <row r="58" spans="2:15" s="397" customFormat="1" x14ac:dyDescent="0.35">
      <c r="B58" s="398" t="s">
        <v>454</v>
      </c>
    </row>
    <row r="61" spans="2:15" x14ac:dyDescent="0.35">
      <c r="B61" s="124" t="s">
        <v>458</v>
      </c>
    </row>
    <row r="62" spans="2:15" x14ac:dyDescent="0.35">
      <c r="B62" s="86"/>
      <c r="C62" s="86">
        <v>1990</v>
      </c>
      <c r="D62" s="86">
        <v>2015</v>
      </c>
      <c r="E62" s="86">
        <v>2019</v>
      </c>
      <c r="F62" s="86">
        <v>2023</v>
      </c>
      <c r="H62" s="124"/>
    </row>
    <row r="63" spans="2:15" s="388" customFormat="1" x14ac:dyDescent="0.35">
      <c r="B63" s="388" t="s">
        <v>92</v>
      </c>
      <c r="C63"/>
      <c r="D63" s="39">
        <f t="shared" ref="D63:E66" si="3">E63+D88*E63*(E$62-D$62)</f>
        <v>475.43131725329062</v>
      </c>
      <c r="E63" s="39">
        <f t="shared" si="3"/>
        <v>580.57735421476684</v>
      </c>
      <c r="F63" s="39">
        <f xml:space="preserve"> (D11+D12+D17+D18) / (1000*1000)</f>
        <v>709.26754194624277</v>
      </c>
    </row>
    <row r="64" spans="2:15" x14ac:dyDescent="0.35">
      <c r="B64" s="388" t="s">
        <v>91</v>
      </c>
      <c r="D64" s="39">
        <f t="shared" si="3"/>
        <v>594.13813524050806</v>
      </c>
      <c r="E64" s="39">
        <f t="shared" si="3"/>
        <v>521.24632877492024</v>
      </c>
      <c r="F64" s="39">
        <f>(D10+D19) / (1000*1000)</f>
        <v>525.26648514961551</v>
      </c>
    </row>
    <row r="65" spans="2:19" x14ac:dyDescent="0.35">
      <c r="B65" s="388" t="s">
        <v>445</v>
      </c>
      <c r="D65" s="39">
        <f t="shared" si="3"/>
        <v>630.07453694961373</v>
      </c>
      <c r="E65" s="39">
        <f t="shared" si="3"/>
        <v>671.32519163862412</v>
      </c>
      <c r="F65" s="50">
        <f>(D9+D18) / (1000*1000)</f>
        <v>715.27650539649653</v>
      </c>
      <c r="M65" s="6"/>
      <c r="N65" s="6"/>
      <c r="O65" s="6"/>
      <c r="P65" s="6"/>
      <c r="Q65" s="6"/>
      <c r="R65" s="6"/>
      <c r="S65" s="6"/>
    </row>
    <row r="66" spans="2:19" x14ac:dyDescent="0.35">
      <c r="B66" s="388" t="s">
        <v>93</v>
      </c>
      <c r="D66" s="39">
        <f t="shared" si="3"/>
        <v>85.416980130736206</v>
      </c>
      <c r="E66" s="39">
        <f t="shared" si="3"/>
        <v>103.04270618945955</v>
      </c>
      <c r="F66" s="39">
        <f>(D13+D16) / (1000*1000)</f>
        <v>122.60532522166896</v>
      </c>
      <c r="M66" s="6"/>
      <c r="N66" s="6"/>
      <c r="O66" s="6"/>
      <c r="P66" s="6"/>
      <c r="Q66" s="6"/>
      <c r="R66" s="6"/>
      <c r="S66" s="6"/>
    </row>
    <row r="67" spans="2:19" x14ac:dyDescent="0.35">
      <c r="M67" s="6"/>
      <c r="N67" s="6"/>
      <c r="O67" s="6"/>
      <c r="P67" s="6"/>
      <c r="Q67" s="6"/>
      <c r="R67" s="6"/>
      <c r="S67" s="6"/>
    </row>
    <row r="68" spans="2:19" x14ac:dyDescent="0.35">
      <c r="M68" s="6"/>
      <c r="N68" s="262"/>
      <c r="O68" s="6"/>
      <c r="P68" s="6"/>
      <c r="Q68" s="6"/>
      <c r="R68" s="6"/>
      <c r="S68" s="6"/>
    </row>
    <row r="69" spans="2:19" x14ac:dyDescent="0.35">
      <c r="B69" s="124" t="s">
        <v>744</v>
      </c>
      <c r="C69" s="388"/>
      <c r="D69" s="388"/>
      <c r="E69" s="388"/>
      <c r="F69" s="388"/>
      <c r="M69" s="6"/>
      <c r="N69" s="74"/>
      <c r="O69" s="74"/>
      <c r="P69" s="74"/>
      <c r="Q69" s="74"/>
      <c r="R69" s="6"/>
      <c r="S69" s="6"/>
    </row>
    <row r="70" spans="2:19" x14ac:dyDescent="0.35">
      <c r="B70" s="86"/>
      <c r="C70" s="86"/>
      <c r="D70" s="86">
        <v>2015</v>
      </c>
      <c r="E70" s="86">
        <v>2019</v>
      </c>
      <c r="F70" s="86">
        <v>2023</v>
      </c>
      <c r="M70" s="6"/>
      <c r="N70" s="6"/>
      <c r="O70" s="6"/>
      <c r="P70" s="76"/>
      <c r="Q70" s="76"/>
      <c r="R70" s="76"/>
      <c r="S70" s="6"/>
    </row>
    <row r="71" spans="2:19" x14ac:dyDescent="0.35">
      <c r="B71" t="s">
        <v>539</v>
      </c>
      <c r="D71" s="215">
        <v>2288.4911028550355</v>
      </c>
      <c r="E71" s="215">
        <v>2007.7276899830388</v>
      </c>
      <c r="F71" s="215">
        <v>2023.2124595170662</v>
      </c>
      <c r="H71" s="408">
        <v>2015</v>
      </c>
      <c r="I71" s="408">
        <v>2019</v>
      </c>
      <c r="J71" s="408">
        <v>2023</v>
      </c>
      <c r="M71" s="6"/>
      <c r="N71" s="6"/>
      <c r="O71" s="6"/>
      <c r="P71" s="277"/>
      <c r="Q71" s="277"/>
      <c r="R71" s="277"/>
      <c r="S71" s="6"/>
    </row>
    <row r="72" spans="2:19" x14ac:dyDescent="0.35">
      <c r="H72" s="407">
        <v>1506.2652</v>
      </c>
      <c r="I72" s="407">
        <v>1641.9528</v>
      </c>
      <c r="J72" s="407">
        <v>1586.556</v>
      </c>
      <c r="M72" s="6"/>
      <c r="N72" s="6"/>
      <c r="O72" s="6"/>
      <c r="P72" s="6"/>
      <c r="Q72" s="6"/>
      <c r="R72" s="6"/>
      <c r="S72" s="6"/>
    </row>
    <row r="73" spans="2:19" s="413" customFormat="1" x14ac:dyDescent="0.35">
      <c r="D73" s="215"/>
      <c r="E73" s="215"/>
      <c r="F73" s="215"/>
      <c r="H73" s="407"/>
      <c r="I73" s="407"/>
      <c r="J73" s="407"/>
      <c r="M73" s="6"/>
      <c r="N73" s="6"/>
      <c r="O73" s="6"/>
      <c r="P73" s="6"/>
      <c r="Q73" s="6"/>
      <c r="R73" s="6"/>
      <c r="S73" s="6"/>
    </row>
    <row r="74" spans="2:19" x14ac:dyDescent="0.35">
      <c r="B74" s="124" t="s">
        <v>534</v>
      </c>
      <c r="H74" s="407">
        <v>1864.9694999999997</v>
      </c>
      <c r="I74" s="407">
        <v>1961.3823</v>
      </c>
      <c r="J74" s="407">
        <v>1727.3525381999998</v>
      </c>
      <c r="M74" s="6"/>
      <c r="N74" s="6"/>
      <c r="O74" s="6"/>
      <c r="P74" s="6"/>
      <c r="Q74" s="6"/>
      <c r="R74" s="6"/>
      <c r="S74" s="6"/>
    </row>
    <row r="75" spans="2:19" x14ac:dyDescent="0.35">
      <c r="B75" s="86"/>
      <c r="C75" s="86"/>
      <c r="D75" s="86">
        <v>2015</v>
      </c>
      <c r="E75" s="86">
        <v>2019</v>
      </c>
      <c r="F75" s="86">
        <v>2023</v>
      </c>
      <c r="M75" s="6"/>
      <c r="N75" s="262"/>
      <c r="O75" s="6"/>
      <c r="P75" s="6"/>
      <c r="Q75" s="6"/>
      <c r="R75" s="6"/>
      <c r="S75" s="6"/>
    </row>
    <row r="76" spans="2:19" x14ac:dyDescent="0.35">
      <c r="B76" t="s">
        <v>536</v>
      </c>
      <c r="D76" s="215">
        <v>44.1</v>
      </c>
      <c r="E76" s="215">
        <v>53.2</v>
      </c>
      <c r="F76" s="215">
        <v>63.3</v>
      </c>
      <c r="M76" s="6"/>
      <c r="N76" s="74"/>
      <c r="O76" s="6"/>
      <c r="P76" s="6"/>
      <c r="Q76" s="6"/>
      <c r="R76" s="6"/>
      <c r="S76" s="6"/>
    </row>
    <row r="77" spans="2:19" s="684" customFormat="1" x14ac:dyDescent="0.35">
      <c r="D77" s="215"/>
      <c r="E77" s="215"/>
      <c r="F77" s="215"/>
      <c r="M77" s="6"/>
      <c r="N77" s="74"/>
      <c r="O77" s="6"/>
      <c r="P77" s="6"/>
      <c r="Q77" s="6"/>
      <c r="R77" s="6"/>
      <c r="S77" s="6"/>
    </row>
    <row r="78" spans="2:19" s="684" customFormat="1" x14ac:dyDescent="0.35">
      <c r="B78" s="124" t="s">
        <v>745</v>
      </c>
      <c r="M78" s="6"/>
      <c r="N78" s="74"/>
      <c r="O78" s="6"/>
      <c r="P78" s="6"/>
      <c r="Q78" s="6"/>
      <c r="R78" s="6"/>
      <c r="S78" s="6"/>
    </row>
    <row r="79" spans="2:19" s="684" customFormat="1" x14ac:dyDescent="0.35">
      <c r="B79" s="86"/>
      <c r="C79" s="86"/>
      <c r="D79" s="86">
        <v>2017</v>
      </c>
      <c r="E79" s="86">
        <v>2023</v>
      </c>
      <c r="M79" s="6"/>
      <c r="N79" s="74"/>
      <c r="O79" s="6"/>
      <c r="P79" s="6"/>
      <c r="Q79" s="6"/>
      <c r="R79" s="6"/>
      <c r="S79" s="6"/>
    </row>
    <row r="80" spans="2:19" s="684" customFormat="1" x14ac:dyDescent="0.35">
      <c r="B80" t="s">
        <v>540</v>
      </c>
      <c r="C80"/>
      <c r="D80" s="215">
        <f>C126</f>
        <v>735.95139600000005</v>
      </c>
      <c r="E80" s="215">
        <f>C110</f>
        <v>810.67085520800003</v>
      </c>
      <c r="M80" s="6"/>
      <c r="N80" s="74"/>
      <c r="O80" s="6"/>
      <c r="P80" s="6"/>
      <c r="Q80" s="6"/>
      <c r="R80" s="6"/>
      <c r="S80" s="6"/>
    </row>
    <row r="81" spans="2:19" s="413" customFormat="1" x14ac:dyDescent="0.35">
      <c r="D81" s="215"/>
      <c r="E81" s="215"/>
      <c r="F81" s="215"/>
      <c r="M81" s="6"/>
      <c r="N81" s="74"/>
      <c r="O81" s="6"/>
      <c r="P81" s="6"/>
      <c r="Q81" s="6"/>
      <c r="R81" s="6"/>
      <c r="S81" s="6"/>
    </row>
    <row r="82" spans="2:19" s="413" customFormat="1" x14ac:dyDescent="0.35">
      <c r="B82" s="124" t="s">
        <v>538</v>
      </c>
      <c r="D82" s="215"/>
      <c r="E82" s="215"/>
      <c r="F82" s="215"/>
      <c r="M82" s="6"/>
      <c r="N82" s="74"/>
      <c r="O82" s="6"/>
      <c r="P82" s="6"/>
      <c r="Q82" s="6"/>
      <c r="R82" s="6"/>
      <c r="S82" s="6"/>
    </row>
    <row r="83" spans="2:19" s="413" customFormat="1" x14ac:dyDescent="0.35">
      <c r="B83" s="86"/>
      <c r="C83" s="86"/>
      <c r="D83" s="86">
        <v>2015</v>
      </c>
      <c r="E83" s="86">
        <v>2019</v>
      </c>
      <c r="F83" s="86">
        <v>2023</v>
      </c>
      <c r="M83" s="6"/>
      <c r="N83" s="74"/>
      <c r="O83" s="6"/>
      <c r="P83" s="6"/>
      <c r="Q83" s="6"/>
      <c r="R83" s="6"/>
      <c r="S83" s="6"/>
    </row>
    <row r="84" spans="2:19" s="413" customFormat="1" x14ac:dyDescent="0.35">
      <c r="B84" s="413" t="s">
        <v>537</v>
      </c>
      <c r="D84" s="215">
        <v>1777</v>
      </c>
      <c r="E84" s="215">
        <v>2170</v>
      </c>
      <c r="F84" s="215">
        <v>2651</v>
      </c>
      <c r="M84" s="6"/>
      <c r="N84" s="74"/>
      <c r="O84" s="6"/>
      <c r="P84" s="6"/>
      <c r="Q84" s="6"/>
      <c r="R84" s="6"/>
      <c r="S84" s="6"/>
    </row>
    <row r="85" spans="2:19" s="413" customFormat="1" x14ac:dyDescent="0.35">
      <c r="D85" s="215"/>
      <c r="E85" s="215"/>
      <c r="F85" s="215"/>
      <c r="M85" s="6"/>
      <c r="N85" s="74"/>
      <c r="O85" s="6"/>
      <c r="P85" s="6"/>
      <c r="Q85" s="6"/>
      <c r="R85" s="6"/>
      <c r="S85" s="6"/>
    </row>
    <row r="86" spans="2:19" x14ac:dyDescent="0.35">
      <c r="B86" s="124" t="s">
        <v>535</v>
      </c>
      <c r="C86" s="388"/>
      <c r="D86" s="388"/>
      <c r="E86" s="388"/>
      <c r="F86" s="388"/>
      <c r="M86" s="6"/>
      <c r="N86" s="6"/>
      <c r="O86" s="6"/>
      <c r="P86" s="277"/>
      <c r="Q86" s="277"/>
      <c r="R86" s="277"/>
      <c r="S86" s="6"/>
    </row>
    <row r="87" spans="2:19" x14ac:dyDescent="0.35">
      <c r="B87" s="86"/>
      <c r="C87" s="86"/>
      <c r="D87" s="406" t="s">
        <v>462</v>
      </c>
      <c r="E87" s="406" t="s">
        <v>461</v>
      </c>
      <c r="M87" s="6"/>
      <c r="N87" s="6"/>
      <c r="O87" s="6"/>
      <c r="P87" s="277"/>
      <c r="Q87" s="277"/>
      <c r="R87" s="277"/>
      <c r="S87" s="6"/>
    </row>
    <row r="88" spans="2:19" x14ac:dyDescent="0.35">
      <c r="B88" s="388" t="s">
        <v>459</v>
      </c>
      <c r="D88" s="414">
        <f xml:space="preserve"> ((D84-E84) / (E$70-D$70))  /E84</f>
        <v>-4.5276497695852534E-2</v>
      </c>
      <c r="E88" s="414">
        <f xml:space="preserve"> ((E84-F84) / (F$70-E$70))  /F84</f>
        <v>-4.5360241418332704E-2</v>
      </c>
      <c r="M88" s="6"/>
      <c r="N88" s="6"/>
      <c r="O88" s="6"/>
      <c r="P88" s="6"/>
      <c r="Q88" s="6"/>
      <c r="R88" s="6"/>
      <c r="S88" s="6"/>
    </row>
    <row r="89" spans="2:19" x14ac:dyDescent="0.35">
      <c r="B89" s="388" t="s">
        <v>463</v>
      </c>
      <c r="D89" s="216">
        <f t="shared" ref="D89" si="4" xml:space="preserve"> ((D71-E71) / (E$70-D$70))  / E71</f>
        <v>3.4960345254087789E-2</v>
      </c>
      <c r="E89" s="216">
        <f xml:space="preserve"> ((E71-F71) / (F$70-E$70))  / F71</f>
        <v>-1.9133889598677669E-3</v>
      </c>
      <c r="M89" s="6"/>
      <c r="N89" s="6"/>
      <c r="O89" s="6"/>
      <c r="P89" s="6"/>
      <c r="Q89" s="6"/>
      <c r="R89" s="6"/>
      <c r="S89" s="6"/>
    </row>
    <row r="90" spans="2:19" x14ac:dyDescent="0.35">
      <c r="B90" s="388" t="s">
        <v>464</v>
      </c>
      <c r="D90" s="216">
        <f>E90</f>
        <v>-1.5361651552328357E-2</v>
      </c>
      <c r="E90" s="216">
        <f xml:space="preserve"> ((D80-E80) / (E79-D79) ) / E80</f>
        <v>-1.5361651552328357E-2</v>
      </c>
      <c r="M90" s="6"/>
      <c r="N90" s="6"/>
      <c r="O90" s="6"/>
      <c r="P90" s="6"/>
      <c r="Q90" s="6"/>
      <c r="R90" s="6"/>
      <c r="S90" s="6"/>
    </row>
    <row r="91" spans="2:19" x14ac:dyDescent="0.35">
      <c r="B91" s="388" t="s">
        <v>460</v>
      </c>
      <c r="D91" s="216">
        <f xml:space="preserve"> ((D76-E76) / (E$70-D$70))  / E76</f>
        <v>-4.2763157894736843E-2</v>
      </c>
      <c r="E91" s="216">
        <f xml:space="preserve"> ((E76-F76) / (F$70-E$70))  / F76</f>
        <v>-3.9889415481832523E-2</v>
      </c>
      <c r="M91" s="6"/>
      <c r="N91" s="6"/>
      <c r="O91" s="6"/>
      <c r="P91" s="6"/>
      <c r="Q91" s="6"/>
      <c r="R91" s="6"/>
      <c r="S91" s="6"/>
    </row>
    <row r="92" spans="2:19" x14ac:dyDescent="0.35">
      <c r="M92" s="6"/>
      <c r="N92" s="6"/>
      <c r="O92" s="6"/>
      <c r="P92" s="409"/>
      <c r="Q92" s="409"/>
      <c r="R92" s="409"/>
      <c r="S92" s="6"/>
    </row>
    <row r="93" spans="2:19" s="397" customFormat="1" x14ac:dyDescent="0.35">
      <c r="B93" s="398" t="s">
        <v>700</v>
      </c>
      <c r="P93" s="411"/>
      <c r="Q93" s="411"/>
      <c r="R93" s="411"/>
    </row>
    <row r="94" spans="2:19" x14ac:dyDescent="0.35">
      <c r="M94" s="6"/>
      <c r="N94" s="6"/>
      <c r="O94" s="6"/>
      <c r="P94" s="409"/>
      <c r="Q94" s="409"/>
      <c r="R94" s="409"/>
      <c r="S94" s="6"/>
    </row>
    <row r="95" spans="2:19" x14ac:dyDescent="0.35">
      <c r="M95" s="6"/>
      <c r="N95" s="6"/>
      <c r="O95" s="6"/>
      <c r="P95" s="409"/>
      <c r="Q95" s="409"/>
      <c r="R95" s="409"/>
      <c r="S95" s="6"/>
    </row>
    <row r="96" spans="2:19" x14ac:dyDescent="0.35">
      <c r="F96" t="s">
        <v>476</v>
      </c>
      <c r="G96" s="413" t="s">
        <v>476</v>
      </c>
      <c r="M96" s="6"/>
      <c r="N96" s="6"/>
      <c r="O96" s="6"/>
      <c r="P96" s="6"/>
      <c r="Q96" s="6"/>
      <c r="R96" s="6"/>
      <c r="S96" s="6"/>
    </row>
    <row r="97" spans="2:8" x14ac:dyDescent="0.35">
      <c r="B97" s="412" t="s">
        <v>701</v>
      </c>
      <c r="C97" s="412" t="s">
        <v>465</v>
      </c>
      <c r="D97" s="412" t="s">
        <v>466</v>
      </c>
      <c r="E97" s="412" t="s">
        <v>473</v>
      </c>
      <c r="F97" s="86" t="s">
        <v>702</v>
      </c>
      <c r="G97" s="86" t="s">
        <v>703</v>
      </c>
    </row>
    <row r="98" spans="2:8" x14ac:dyDescent="0.35">
      <c r="B98" s="413" t="s">
        <v>467</v>
      </c>
      <c r="C98" s="415">
        <v>315.70093716283719</v>
      </c>
      <c r="D98" s="414">
        <v>0.38943170971878022</v>
      </c>
      <c r="E98" s="416"/>
      <c r="F98">
        <v>0</v>
      </c>
      <c r="G98">
        <v>0</v>
      </c>
    </row>
    <row r="99" spans="2:8" x14ac:dyDescent="0.35">
      <c r="B99" s="413" t="s">
        <v>738</v>
      </c>
      <c r="C99" s="415">
        <v>234.0833439770806</v>
      </c>
      <c r="D99" s="414">
        <v>0.28875263304861259</v>
      </c>
      <c r="E99" s="416" t="str">
        <f>'Chaleur du batiment - Emissions'!M24</f>
        <v>Chauffage à gaz 2019</v>
      </c>
      <c r="F99">
        <f>_xlfn.XLOOKUP($E99,'Facteurs d''émissions'!$B$7:$B$21,'Facteurs d''émissions'!$G$7:$G$21)</f>
        <v>0.20303983756812993</v>
      </c>
      <c r="G99" s="413">
        <f>_xlfn.XLOOKUP($E99,'Facteurs d''émissions'!$B$7:$B$21,'Facteurs d''émissions'!$K$7:$K$21)</f>
        <v>2.4839980128015859E-2</v>
      </c>
      <c r="H99" s="413"/>
    </row>
    <row r="100" spans="2:8" x14ac:dyDescent="0.35">
      <c r="B100" s="413" t="s">
        <v>91</v>
      </c>
      <c r="C100" s="415">
        <v>172.84933713312751</v>
      </c>
      <c r="D100" s="414">
        <v>0.21321765303722209</v>
      </c>
      <c r="E100" s="417" t="str">
        <f>'Chaleur du batiment - Emissions'!M27</f>
        <v>Chauffage à bois (pellets)</v>
      </c>
      <c r="F100" s="413">
        <f>_xlfn.XLOOKUP(E100,'Facteurs d''émissions'!$B$7:$B$21,'Facteurs d''émissions'!$G$7:$G$21)</f>
        <v>0</v>
      </c>
      <c r="G100" s="413">
        <f>_xlfn.XLOOKUP($E100,'Facteurs d''émissions'!$B$7:$B$21,'Facteurs d''émissions'!$K$7:$K$21)</f>
        <v>2.8000000000000001E-2</v>
      </c>
    </row>
    <row r="101" spans="2:8" x14ac:dyDescent="0.35">
      <c r="B101" s="413" t="s">
        <v>469</v>
      </c>
      <c r="C101" s="415">
        <v>36.776335134158757</v>
      </c>
      <c r="D101" s="414">
        <v>4.5365310591710832E-2</v>
      </c>
      <c r="E101" s="417" t="str">
        <f>'Chaleur du batiment - Emissions'!M40</f>
        <v xml:space="preserve">Electricité du réseau </v>
      </c>
      <c r="F101" s="413">
        <f>_xlfn.XLOOKUP(E101,'Facteurs d''émissions'!$B$7:$B$21,'Facteurs d''émissions'!$G$7:$G$21)</f>
        <v>0</v>
      </c>
      <c r="G101" s="47">
        <f>_xlfn.XLOOKUP($E101,'Facteurs d''émissions'!$B$7:$B$21,'Facteurs d''émissions'!$K$7:$K$21)/G110</f>
        <v>3.5714285714285712E-2</v>
      </c>
    </row>
    <row r="102" spans="2:8" x14ac:dyDescent="0.35">
      <c r="B102" s="413" t="s">
        <v>470</v>
      </c>
      <c r="C102" s="415">
        <v>33.364398941399848</v>
      </c>
      <c r="D102" s="414">
        <v>4.1156529468225782E-2</v>
      </c>
      <c r="E102" s="416" t="s">
        <v>105</v>
      </c>
      <c r="F102" s="413">
        <f>_xlfn.XLOOKUP(E102,'Facteurs d''émissions'!$B$7:$B$21,'Facteurs d''émissions'!$G$7:$G$21)</f>
        <v>0</v>
      </c>
      <c r="G102" s="413">
        <f>_xlfn.XLOOKUP($E102,'Facteurs d''émissions'!$B$7:$B$21,'Facteurs d''émissions'!$K$7:$K$21)</f>
        <v>0.124</v>
      </c>
    </row>
    <row r="103" spans="2:8" x14ac:dyDescent="0.35">
      <c r="B103" s="413" t="s">
        <v>88</v>
      </c>
      <c r="C103" s="415">
        <v>14.083463489396159</v>
      </c>
      <c r="D103" s="414">
        <v>1.737260368856193E-2</v>
      </c>
      <c r="E103" s="416" t="str">
        <f>'Chaleur du batiment - Emissions'!M23</f>
        <v>Chauffage à mazout</v>
      </c>
      <c r="F103" s="413">
        <f>_xlfn.XLOOKUP(E103,'Facteurs d''émissions'!$B$7:$B$21,'Facteurs d''émissions'!$G$7:$G$21)</f>
        <v>0.2651</v>
      </c>
      <c r="G103" s="413">
        <f>_xlfn.XLOOKUP($E103,'Facteurs d''émissions'!$B$7:$B$21,'Facteurs d''émissions'!$K$7:$K$21)</f>
        <v>5.8900000000000008E-2</v>
      </c>
    </row>
    <row r="104" spans="2:8" x14ac:dyDescent="0.35">
      <c r="B104" s="413" t="s">
        <v>471</v>
      </c>
      <c r="C104" s="415">
        <v>3.0875821700000001</v>
      </c>
      <c r="D104" s="414">
        <v>3.808675432408132E-3</v>
      </c>
      <c r="E104" s="416"/>
      <c r="F104" s="413"/>
      <c r="G104" s="413"/>
    </row>
    <row r="105" spans="2:8" x14ac:dyDescent="0.35">
      <c r="B105" s="413" t="s">
        <v>472</v>
      </c>
      <c r="C105" s="415">
        <v>0.66204719999999995</v>
      </c>
      <c r="D105" s="414">
        <v>8.1666584625166201E-4</v>
      </c>
      <c r="E105" s="416"/>
      <c r="F105" s="413"/>
      <c r="G105" s="413"/>
    </row>
    <row r="106" spans="2:8" x14ac:dyDescent="0.35">
      <c r="B106" s="413" t="s">
        <v>93</v>
      </c>
      <c r="C106" s="415">
        <v>6.3410000000000008E-2</v>
      </c>
      <c r="D106" s="414">
        <v>7.8219168226703324E-5</v>
      </c>
      <c r="E106" s="417" t="str">
        <f>'Facteurs d''émissions'!B15</f>
        <v>Solaire thermique, bâtiment collectif</v>
      </c>
      <c r="F106" s="413">
        <f>_xlfn.XLOOKUP(E106,'Facteurs d''émissions'!$B$7:$B$21,'Facteurs d''émissions'!$G$7:$G$21)</f>
        <v>0</v>
      </c>
      <c r="G106" s="413">
        <f>_xlfn.XLOOKUP($E106,'Facteurs d''émissions'!$B$7:$B$21,'Facteurs d''émissions'!$K$7:$K$21)</f>
        <v>1.4999999999999999E-2</v>
      </c>
    </row>
    <row r="108" spans="2:8" x14ac:dyDescent="0.35">
      <c r="D108" s="86"/>
      <c r="E108" s="406" t="s">
        <v>480</v>
      </c>
      <c r="F108" s="418">
        <f>SUMPRODUCT(D98:D106,F98:F106)</f>
        <v>6.3233764949397905E-2</v>
      </c>
      <c r="G108" s="418">
        <f>SUMPRODUCT(D98:D106,G98:G106)</f>
        <v>2.089072291471138E-2</v>
      </c>
      <c r="H108" t="s">
        <v>477</v>
      </c>
    </row>
    <row r="110" spans="2:8" x14ac:dyDescent="0.35">
      <c r="B110" t="s">
        <v>747</v>
      </c>
      <c r="C110" s="432">
        <f>SUM(C98:C106)</f>
        <v>810.67085520800003</v>
      </c>
      <c r="F110" t="s">
        <v>478</v>
      </c>
      <c r="G110">
        <v>3.5</v>
      </c>
    </row>
    <row r="113" spans="2:7" s="397" customFormat="1" x14ac:dyDescent="0.35">
      <c r="B113" s="398" t="s">
        <v>737</v>
      </c>
    </row>
    <row r="116" spans="2:7" x14ac:dyDescent="0.35">
      <c r="B116" s="85" t="s">
        <v>746</v>
      </c>
      <c r="C116" s="85"/>
      <c r="D116" s="85"/>
      <c r="E116" s="85"/>
      <c r="F116" s="85"/>
      <c r="G116" s="85"/>
    </row>
    <row r="117" spans="2:7" x14ac:dyDescent="0.35">
      <c r="B117" s="684" t="s">
        <v>91</v>
      </c>
      <c r="C117" s="685">
        <v>115242305</v>
      </c>
      <c r="D117" s="177">
        <f>C117/($C$126*1000*1000)</f>
        <v>0.15658955961814627</v>
      </c>
      <c r="E117" s="417" t="s">
        <v>108</v>
      </c>
      <c r="G117">
        <f>_xlfn.XLOOKUP($E117,'Facteurs d''émissions'!$B$7:$B$21,'Facteurs d''émissions'!$K$7:$K$21)</f>
        <v>2.8000000000000001E-2</v>
      </c>
    </row>
    <row r="118" spans="2:7" x14ac:dyDescent="0.35">
      <c r="B118" s="684" t="s">
        <v>738</v>
      </c>
      <c r="C118" s="685">
        <v>226940249</v>
      </c>
      <c r="D118" s="177">
        <f t="shared" ref="D118:D124" si="5">C118/($C$126*1000*1000)</f>
        <v>0.30836309331492862</v>
      </c>
      <c r="E118" s="417" t="str">
        <f>E99</f>
        <v>Chauffage à gaz 2019</v>
      </c>
      <c r="F118">
        <f>_xlfn.XLOOKUP($E118,'Facteurs d''émissions'!$B$7:$B$21,'Facteurs d''émissions'!$G$7:$G$21)</f>
        <v>0.20303983756812993</v>
      </c>
      <c r="G118" s="684">
        <f>_xlfn.XLOOKUP($E118,'Facteurs d''émissions'!$B$7:$B$21,'Facteurs d''émissions'!$K$7:$K$21)</f>
        <v>2.4839980128015859E-2</v>
      </c>
    </row>
    <row r="119" spans="2:7" x14ac:dyDescent="0.35">
      <c r="B119" s="684" t="s">
        <v>88</v>
      </c>
      <c r="C119" s="685">
        <v>37816767</v>
      </c>
      <c r="D119" s="177">
        <f t="shared" si="5"/>
        <v>5.1384870258470161E-2</v>
      </c>
      <c r="E119" s="417" t="s">
        <v>102</v>
      </c>
      <c r="F119" s="684">
        <f>_xlfn.XLOOKUP($E119,'Facteurs d''émissions'!$B$7:$B$21,'Facteurs d''émissions'!$G$7:$G$21)</f>
        <v>0.2651</v>
      </c>
      <c r="G119" s="684">
        <f>_xlfn.XLOOKUP($E119,'Facteurs d''émissions'!$B$7:$B$21,'Facteurs d''émissions'!$K$7:$K$21)</f>
        <v>5.8900000000000008E-2</v>
      </c>
    </row>
    <row r="120" spans="2:7" x14ac:dyDescent="0.35">
      <c r="B120" s="684" t="s">
        <v>739</v>
      </c>
      <c r="C120" s="685">
        <v>286220000</v>
      </c>
      <c r="D120" s="177">
        <f t="shared" si="5"/>
        <v>0.38891155252323206</v>
      </c>
      <c r="E120" s="417"/>
      <c r="G120" s="684"/>
    </row>
    <row r="121" spans="2:7" x14ac:dyDescent="0.35">
      <c r="B121" s="684" t="s">
        <v>740</v>
      </c>
      <c r="C121" s="685">
        <v>18463000</v>
      </c>
      <c r="D121" s="177">
        <f t="shared" si="5"/>
        <v>2.5087254539292968E-2</v>
      </c>
      <c r="E121" s="417"/>
      <c r="G121" s="684"/>
    </row>
    <row r="122" spans="2:7" x14ac:dyDescent="0.35">
      <c r="B122" s="684" t="s">
        <v>741</v>
      </c>
      <c r="C122" s="685">
        <v>28465617</v>
      </c>
      <c r="D122" s="177">
        <f t="shared" si="5"/>
        <v>3.8678664317663709E-2</v>
      </c>
      <c r="E122" s="417"/>
      <c r="G122" s="684"/>
    </row>
    <row r="123" spans="2:7" x14ac:dyDescent="0.35">
      <c r="B123" s="684" t="s">
        <v>742</v>
      </c>
      <c r="C123" s="685">
        <v>22376458</v>
      </c>
      <c r="D123" s="177">
        <f t="shared" si="5"/>
        <v>3.0404804069425254E-2</v>
      </c>
      <c r="E123" s="417" t="s">
        <v>159</v>
      </c>
      <c r="G123" s="47">
        <f>_xlfn.XLOOKUP($E123,'Facteurs d''émissions'!$B$7:$B$21,'Facteurs d''émissions'!$K$7:$K$21)/G110</f>
        <v>3.5714285714285712E-2</v>
      </c>
    </row>
    <row r="124" spans="2:7" x14ac:dyDescent="0.35">
      <c r="B124" s="684" t="s">
        <v>743</v>
      </c>
      <c r="C124" s="685">
        <v>427000</v>
      </c>
      <c r="D124" s="177">
        <f t="shared" si="5"/>
        <v>5.802013588408221E-4</v>
      </c>
      <c r="E124" s="417" t="s">
        <v>109</v>
      </c>
      <c r="G124" s="684">
        <f>_xlfn.XLOOKUP($E124,'Facteurs d''émissions'!$B$7:$B$21,'Facteurs d''émissions'!$K$7:$K$21)</f>
        <v>1.4999999999999999E-2</v>
      </c>
    </row>
    <row r="125" spans="2:7" x14ac:dyDescent="0.35">
      <c r="E125" s="417"/>
    </row>
    <row r="126" spans="2:7" x14ac:dyDescent="0.35">
      <c r="B126" t="s">
        <v>747</v>
      </c>
      <c r="C126" s="432">
        <f>SUM(C117:C124)/(1000*1000)</f>
        <v>735.95139600000005</v>
      </c>
    </row>
    <row r="128" spans="2:7" x14ac:dyDescent="0.35">
      <c r="D128" s="86"/>
      <c r="E128" s="406" t="s">
        <v>480</v>
      </c>
      <c r="F128" s="418">
        <f>SUMPRODUCT(D118:D126,F118:F126)</f>
        <v>7.6232121484189633E-2</v>
      </c>
      <c r="G128" s="418">
        <f>SUMPRODUCT(D118:D126,G118:G126)</f>
        <v>1.1780890848385163E-2</v>
      </c>
    </row>
    <row r="133" spans="2:7" s="83" customFormat="1" x14ac:dyDescent="0.35">
      <c r="B133" s="83" t="s">
        <v>797</v>
      </c>
    </row>
    <row r="136" spans="2:7" x14ac:dyDescent="0.35">
      <c r="B136" s="124" t="s">
        <v>798</v>
      </c>
    </row>
    <row r="137" spans="2:7" x14ac:dyDescent="0.35">
      <c r="B137" t="s">
        <v>799</v>
      </c>
      <c r="C137">
        <f xml:space="preserve"> 1.62/0.0163</f>
        <v>99.386503067484682</v>
      </c>
      <c r="D137" t="s">
        <v>800</v>
      </c>
      <c r="F137" t="s">
        <v>801</v>
      </c>
      <c r="G137">
        <v>277.77778000000001</v>
      </c>
    </row>
    <row r="139" spans="2:7" x14ac:dyDescent="0.35">
      <c r="B139" s="700" t="s">
        <v>802</v>
      </c>
      <c r="C139" s="701">
        <f>C137/G137*'Chaleur du batiment - Emissions'!E13</f>
        <v>187935.83539176229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DDF6A-17C9-420B-91F5-7E23E753FF73}">
  <sheetPr>
    <tabColor theme="7" tint="0.79998168889431442"/>
  </sheetPr>
  <dimension ref="A2:M29"/>
  <sheetViews>
    <sheetView workbookViewId="0">
      <selection activeCell="E33" sqref="E33"/>
    </sheetView>
  </sheetViews>
  <sheetFormatPr baseColWidth="10" defaultRowHeight="14.5" x14ac:dyDescent="0.35"/>
  <cols>
    <col min="3" max="3" width="20.81640625" customWidth="1"/>
    <col min="4" max="4" width="25.26953125" customWidth="1"/>
    <col min="5" max="5" width="14.1796875" customWidth="1"/>
    <col min="11" max="12" width="29.7265625" customWidth="1"/>
    <col min="13" max="13" width="0" hidden="1" customWidth="1"/>
  </cols>
  <sheetData>
    <row r="2" spans="1:13" s="85" customFormat="1" ht="33.5" x14ac:dyDescent="0.75">
      <c r="B2" s="188" t="s">
        <v>156</v>
      </c>
    </row>
    <row r="4" spans="1:13" s="85" customFormat="1" x14ac:dyDescent="0.35">
      <c r="A4" s="86">
        <v>2023</v>
      </c>
      <c r="G4" s="138"/>
      <c r="H4" s="138"/>
      <c r="I4" s="138"/>
      <c r="J4" s="138"/>
      <c r="K4" s="138"/>
      <c r="L4" s="138"/>
      <c r="M4" s="122"/>
    </row>
    <row r="5" spans="1:13" x14ac:dyDescent="0.35">
      <c r="G5" s="139"/>
      <c r="H5" s="139"/>
      <c r="I5" s="139"/>
      <c r="J5" s="139"/>
      <c r="K5" s="139"/>
      <c r="L5" s="139"/>
      <c r="M5" s="117"/>
    </row>
    <row r="6" spans="1:13" ht="29" x14ac:dyDescent="0.35">
      <c r="D6" s="5"/>
      <c r="E6" s="5"/>
      <c r="F6" s="14"/>
      <c r="G6" s="970" t="s">
        <v>722</v>
      </c>
      <c r="H6" s="971"/>
      <c r="I6" s="971"/>
      <c r="J6" s="972"/>
      <c r="K6" s="667" t="s">
        <v>731</v>
      </c>
      <c r="L6" s="668" t="s">
        <v>723</v>
      </c>
      <c r="M6" s="117"/>
    </row>
    <row r="7" spans="1:13" ht="15" thickBot="1" x14ac:dyDescent="0.4">
      <c r="B7" s="15" t="s">
        <v>5</v>
      </c>
      <c r="C7" s="17" t="s">
        <v>340</v>
      </c>
      <c r="D7" s="9" t="s">
        <v>1</v>
      </c>
      <c r="E7" s="4" t="s">
        <v>129</v>
      </c>
      <c r="F7" s="4" t="s">
        <v>95</v>
      </c>
      <c r="G7" s="159" t="s">
        <v>48</v>
      </c>
      <c r="H7" s="160" t="s">
        <v>3</v>
      </c>
      <c r="I7" s="160" t="s">
        <v>50</v>
      </c>
      <c r="J7" s="161" t="s">
        <v>4</v>
      </c>
      <c r="K7" s="159" t="s">
        <v>4</v>
      </c>
      <c r="L7" s="652" t="s">
        <v>4</v>
      </c>
      <c r="M7" s="117"/>
    </row>
    <row r="8" spans="1:13" ht="15" thickTop="1" x14ac:dyDescent="0.35">
      <c r="B8" s="10">
        <v>2023</v>
      </c>
      <c r="C8" s="18"/>
      <c r="D8" s="12" t="s">
        <v>156</v>
      </c>
      <c r="E8" s="148">
        <f>'Electricité - Calcul'!I10</f>
        <v>3424883.538513815</v>
      </c>
      <c r="F8" s="11" t="s">
        <v>158</v>
      </c>
      <c r="G8" s="191">
        <v>0</v>
      </c>
      <c r="H8" s="192">
        <v>0</v>
      </c>
      <c r="I8" s="192">
        <v>0</v>
      </c>
      <c r="J8" s="192">
        <f>SUM(G8:I8)</f>
        <v>0</v>
      </c>
      <c r="K8" s="191">
        <f>E8*_xlfn.XLOOKUP(M8,'Facteurs d''émissions'!$B$7:$B$19,'Facteurs d''émissions'!$L$7:$L$19)</f>
        <v>428110.44231422688</v>
      </c>
      <c r="L8" s="669">
        <f>G8+K8</f>
        <v>428110.44231422688</v>
      </c>
      <c r="M8" s="123" t="s">
        <v>159</v>
      </c>
    </row>
    <row r="9" spans="1:13" x14ac:dyDescent="0.35">
      <c r="B9" s="20" t="s">
        <v>6</v>
      </c>
      <c r="C9" s="21"/>
      <c r="D9" s="22"/>
      <c r="E9" s="23"/>
      <c r="F9" s="23"/>
      <c r="G9" s="155"/>
      <c r="H9" s="156"/>
      <c r="I9" s="156"/>
      <c r="J9" s="363">
        <f>J8</f>
        <v>0</v>
      </c>
      <c r="K9" s="209">
        <f>K8</f>
        <v>428110.44231422688</v>
      </c>
      <c r="L9" s="659">
        <f>L8</f>
        <v>428110.44231422688</v>
      </c>
      <c r="M9" s="117"/>
    </row>
    <row r="10" spans="1:13" x14ac:dyDescent="0.35">
      <c r="B10" s="87" t="s">
        <v>7</v>
      </c>
      <c r="C10" s="88"/>
      <c r="D10" s="89"/>
      <c r="E10" s="90"/>
      <c r="F10" s="90"/>
      <c r="G10" s="146"/>
      <c r="H10" s="147"/>
      <c r="I10" s="147"/>
      <c r="J10" s="186">
        <f>SUM(J8:J8)</f>
        <v>0</v>
      </c>
      <c r="K10" s="341">
        <f>K9</f>
        <v>428110.44231422688</v>
      </c>
      <c r="L10" s="655">
        <f>L9</f>
        <v>428110.44231422688</v>
      </c>
      <c r="M10" s="117"/>
    </row>
    <row r="11" spans="1:13" x14ac:dyDescent="0.35">
      <c r="G11" s="139"/>
      <c r="H11" s="139"/>
      <c r="I11" s="139"/>
      <c r="J11" s="139"/>
      <c r="K11" s="139"/>
      <c r="L11" s="139"/>
      <c r="M11" s="117"/>
    </row>
    <row r="12" spans="1:13" s="85" customFormat="1" x14ac:dyDescent="0.35">
      <c r="A12" s="86">
        <v>2019</v>
      </c>
      <c r="G12" s="138"/>
      <c r="H12" s="138"/>
      <c r="I12" s="138"/>
      <c r="J12" s="138"/>
      <c r="K12" s="138"/>
      <c r="L12" s="138"/>
      <c r="M12" s="122"/>
    </row>
    <row r="13" spans="1:13" x14ac:dyDescent="0.35">
      <c r="G13" s="139"/>
      <c r="H13" s="139"/>
      <c r="I13" s="139"/>
      <c r="J13" s="139"/>
      <c r="K13" s="139"/>
      <c r="L13" s="139"/>
      <c r="M13" s="117"/>
    </row>
    <row r="14" spans="1:13" ht="29" x14ac:dyDescent="0.35">
      <c r="D14" s="5"/>
      <c r="E14" s="5"/>
      <c r="F14" s="14"/>
      <c r="G14" s="970" t="s">
        <v>722</v>
      </c>
      <c r="H14" s="971"/>
      <c r="I14" s="971"/>
      <c r="J14" s="972"/>
      <c r="K14" s="667" t="s">
        <v>731</v>
      </c>
      <c r="L14" s="668" t="s">
        <v>723</v>
      </c>
      <c r="M14" s="117"/>
    </row>
    <row r="15" spans="1:13" ht="15" thickBot="1" x14ac:dyDescent="0.4">
      <c r="B15" s="15" t="s">
        <v>5</v>
      </c>
      <c r="C15" s="17" t="s">
        <v>340</v>
      </c>
      <c r="D15" s="9" t="s">
        <v>1</v>
      </c>
      <c r="E15" s="4" t="s">
        <v>129</v>
      </c>
      <c r="F15" s="4" t="s">
        <v>95</v>
      </c>
      <c r="G15" s="140" t="s">
        <v>48</v>
      </c>
      <c r="H15" s="141" t="s">
        <v>3</v>
      </c>
      <c r="I15" s="141" t="s">
        <v>50</v>
      </c>
      <c r="J15" s="142" t="s">
        <v>4</v>
      </c>
      <c r="K15" s="159" t="s">
        <v>4</v>
      </c>
      <c r="L15" s="652" t="s">
        <v>4</v>
      </c>
      <c r="M15" s="117"/>
    </row>
    <row r="16" spans="1:13" ht="15" thickTop="1" x14ac:dyDescent="0.35">
      <c r="B16" s="10">
        <v>2019</v>
      </c>
      <c r="C16" s="18"/>
      <c r="D16" s="12" t="s">
        <v>156</v>
      </c>
      <c r="E16" s="148">
        <f>'Electricité - Calcul'!I9</f>
        <v>3630211.8264146396</v>
      </c>
      <c r="F16" s="11" t="s">
        <v>158</v>
      </c>
      <c r="G16" s="153">
        <v>0</v>
      </c>
      <c r="H16" s="192">
        <v>0</v>
      </c>
      <c r="I16" s="192">
        <v>0</v>
      </c>
      <c r="J16" s="192">
        <f>SUM(G16:I16)</f>
        <v>0</v>
      </c>
      <c r="K16" s="191">
        <f>E16*_xlfn.XLOOKUP(M16,'Facteurs d''émissions'!$B$7:$B$19,'Facteurs d''émissions'!$L$7:$L$19)</f>
        <v>453776.47830182995</v>
      </c>
      <c r="L16" s="669">
        <f>G16+K16</f>
        <v>453776.47830182995</v>
      </c>
      <c r="M16" s="117" t="s">
        <v>159</v>
      </c>
    </row>
    <row r="17" spans="1:13" x14ac:dyDescent="0.35">
      <c r="B17" s="20" t="s">
        <v>6</v>
      </c>
      <c r="C17" s="21"/>
      <c r="D17" s="22"/>
      <c r="E17" s="23"/>
      <c r="F17" s="23"/>
      <c r="G17" s="143"/>
      <c r="H17" s="156"/>
      <c r="I17" s="156"/>
      <c r="J17" s="363">
        <f>J16</f>
        <v>0</v>
      </c>
      <c r="K17" s="209">
        <f>K16</f>
        <v>453776.47830182995</v>
      </c>
      <c r="L17" s="659">
        <f>L16</f>
        <v>453776.47830182995</v>
      </c>
      <c r="M17" s="117"/>
    </row>
    <row r="18" spans="1:13" x14ac:dyDescent="0.35">
      <c r="B18" s="87" t="s">
        <v>7</v>
      </c>
      <c r="C18" s="88"/>
      <c r="D18" s="89"/>
      <c r="E18" s="90"/>
      <c r="F18" s="90"/>
      <c r="G18" s="146"/>
      <c r="H18" s="147"/>
      <c r="I18" s="147"/>
      <c r="J18" s="186">
        <f>SUM(J16:J16)</f>
        <v>0</v>
      </c>
      <c r="K18" s="341">
        <f>K17</f>
        <v>453776.47830182995</v>
      </c>
      <c r="L18" s="655">
        <f>L17</f>
        <v>453776.47830182995</v>
      </c>
      <c r="M18" s="117"/>
    </row>
    <row r="19" spans="1:13" x14ac:dyDescent="0.35">
      <c r="G19" s="139"/>
      <c r="H19" s="139"/>
      <c r="I19" s="139"/>
      <c r="J19" s="139"/>
      <c r="K19" s="139"/>
      <c r="L19" s="139"/>
      <c r="M19" s="117"/>
    </row>
    <row r="20" spans="1:13" s="85" customFormat="1" x14ac:dyDescent="0.35">
      <c r="A20" s="86">
        <v>2015</v>
      </c>
      <c r="G20" s="138"/>
      <c r="H20" s="138"/>
      <c r="I20" s="138"/>
      <c r="J20" s="138"/>
      <c r="K20" s="138"/>
      <c r="L20" s="138"/>
      <c r="M20" s="122"/>
    </row>
    <row r="21" spans="1:13" x14ac:dyDescent="0.35">
      <c r="G21" s="139"/>
      <c r="H21" s="139"/>
      <c r="I21" s="139"/>
      <c r="J21" s="139"/>
      <c r="K21" s="139"/>
      <c r="L21" s="139"/>
      <c r="M21" s="117"/>
    </row>
    <row r="22" spans="1:13" ht="29" x14ac:dyDescent="0.35">
      <c r="D22" s="5"/>
      <c r="E22" s="5"/>
      <c r="F22" s="14"/>
      <c r="G22" s="970" t="s">
        <v>722</v>
      </c>
      <c r="H22" s="971"/>
      <c r="I22" s="971"/>
      <c r="J22" s="972"/>
      <c r="K22" s="667" t="s">
        <v>731</v>
      </c>
      <c r="L22" s="668" t="s">
        <v>723</v>
      </c>
      <c r="M22" s="117"/>
    </row>
    <row r="23" spans="1:13" ht="15" thickBot="1" x14ac:dyDescent="0.4">
      <c r="B23" s="15" t="s">
        <v>5</v>
      </c>
      <c r="C23" s="17" t="s">
        <v>340</v>
      </c>
      <c r="D23" s="9" t="s">
        <v>1</v>
      </c>
      <c r="E23" s="4" t="s">
        <v>129</v>
      </c>
      <c r="F23" s="4" t="s">
        <v>95</v>
      </c>
      <c r="G23" s="140" t="s">
        <v>48</v>
      </c>
      <c r="H23" s="141" t="s">
        <v>3</v>
      </c>
      <c r="I23" s="141" t="s">
        <v>50</v>
      </c>
      <c r="J23" s="142" t="s">
        <v>4</v>
      </c>
      <c r="K23" s="159" t="s">
        <v>4</v>
      </c>
      <c r="L23" s="652" t="s">
        <v>4</v>
      </c>
      <c r="M23" s="117"/>
    </row>
    <row r="24" spans="1:13" ht="15" thickTop="1" x14ac:dyDescent="0.35">
      <c r="B24" s="10"/>
      <c r="C24" s="18"/>
      <c r="D24" s="12" t="s">
        <v>156</v>
      </c>
      <c r="E24" s="148">
        <f>'Electricité - Calcul'!I8</f>
        <v>3602833.2853504643</v>
      </c>
      <c r="F24" s="11" t="s">
        <v>158</v>
      </c>
      <c r="G24" s="153">
        <v>0</v>
      </c>
      <c r="H24" s="154">
        <v>0</v>
      </c>
      <c r="I24" s="192">
        <v>0</v>
      </c>
      <c r="J24" s="192">
        <f>SUM(G24:I24)</f>
        <v>0</v>
      </c>
      <c r="K24" s="191">
        <f>E24*_xlfn.XLOOKUP(M24,'Facteurs d''émissions'!$B$7:$B$19,'Facteurs d''émissions'!$L$7:$L$19)</f>
        <v>499352.29386773921</v>
      </c>
      <c r="L24" s="669">
        <f>G24+K24</f>
        <v>499352.29386773921</v>
      </c>
      <c r="M24" s="117" t="s">
        <v>810</v>
      </c>
    </row>
    <row r="25" spans="1:13" x14ac:dyDescent="0.35">
      <c r="B25" s="20" t="s">
        <v>6</v>
      </c>
      <c r="C25" s="21"/>
      <c r="D25" s="22"/>
      <c r="E25" s="23"/>
      <c r="F25" s="23"/>
      <c r="G25" s="143"/>
      <c r="H25" s="144"/>
      <c r="I25" s="156"/>
      <c r="J25" s="363">
        <f>J24</f>
        <v>0</v>
      </c>
      <c r="K25" s="209">
        <f>K24</f>
        <v>499352.29386773921</v>
      </c>
      <c r="L25" s="659">
        <f>L24</f>
        <v>499352.29386773921</v>
      </c>
      <c r="M25" s="117"/>
    </row>
    <row r="26" spans="1:13" x14ac:dyDescent="0.35">
      <c r="B26" s="87" t="s">
        <v>7</v>
      </c>
      <c r="C26" s="88"/>
      <c r="D26" s="89"/>
      <c r="E26" s="90"/>
      <c r="F26" s="90"/>
      <c r="G26" s="146"/>
      <c r="H26" s="147"/>
      <c r="I26" s="147"/>
      <c r="J26" s="186">
        <f>SUM(J24:J24)</f>
        <v>0</v>
      </c>
      <c r="K26" s="341">
        <f>K25</f>
        <v>499352.29386773921</v>
      </c>
      <c r="L26" s="655">
        <f>L25</f>
        <v>499352.29386773921</v>
      </c>
      <c r="M26" s="117"/>
    </row>
    <row r="27" spans="1:13" x14ac:dyDescent="0.35">
      <c r="G27" s="139"/>
      <c r="H27" s="139"/>
      <c r="I27" s="139"/>
      <c r="J27" s="139"/>
      <c r="K27" s="139"/>
      <c r="L27" s="139"/>
      <c r="M27" s="117"/>
    </row>
    <row r="29" spans="1:13" x14ac:dyDescent="0.35">
      <c r="C29" s="262"/>
    </row>
  </sheetData>
  <sheetProtection algorithmName="SHA-512" hashValue="5itt+exkF0CnhRBMv8XoTf66Xx3L/YtRLSqiaobtRh4998MCDs6lLOjOmkayBwg7D5zVLTtGOSNKJL9eBmb1Yw==" saltValue="qPmde9ykcT72uQ819hftig==" spinCount="100000" sheet="1" objects="1" scenarios="1"/>
  <mergeCells count="3">
    <mergeCell ref="G22:J22"/>
    <mergeCell ref="G6:J6"/>
    <mergeCell ref="G14:J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25</vt:i4>
      </vt:variant>
      <vt:variant>
        <vt:lpstr>Plages nommées</vt:lpstr>
      </vt:variant>
      <vt:variant>
        <vt:i4>10</vt:i4>
      </vt:variant>
    </vt:vector>
  </HeadingPairs>
  <TitlesOfParts>
    <vt:vector size="35" baseType="lpstr">
      <vt:lpstr>Resultat 2023</vt:lpstr>
      <vt:lpstr>Evolution 1990 - 2023</vt:lpstr>
      <vt:lpstr>Secteur ----&gt;</vt:lpstr>
      <vt:lpstr>Transports - Emissions</vt:lpstr>
      <vt:lpstr>Transports - Calcul 2</vt:lpstr>
      <vt:lpstr>Transports - Calcul</vt:lpstr>
      <vt:lpstr>Chaleur du batiment - Emissions</vt:lpstr>
      <vt:lpstr>Chaleur du bâtiment - Calcul</vt:lpstr>
      <vt:lpstr>Electricite - Emissions</vt:lpstr>
      <vt:lpstr>Electricité - Calcul</vt:lpstr>
      <vt:lpstr>Industrie - Emissions</vt:lpstr>
      <vt:lpstr>Industrie - Calcul</vt:lpstr>
      <vt:lpstr>Déchets - Emissions</vt:lpstr>
      <vt:lpstr>Déchets - Calcul</vt:lpstr>
      <vt:lpstr>Gaz synth. - Emissions</vt:lpstr>
      <vt:lpstr>Gaz synth. - Calcul</vt:lpstr>
      <vt:lpstr>Agriculture - Emissions</vt:lpstr>
      <vt:lpstr>Agriculture - Calcul</vt:lpstr>
      <vt:lpstr>Consommation - Emissions</vt:lpstr>
      <vt:lpstr>Consommation - Calcul</vt:lpstr>
      <vt:lpstr>Forêt et sols - Emissions</vt:lpstr>
      <vt:lpstr>Calcul - Forêt et sols</vt:lpstr>
      <vt:lpstr>Constantes</vt:lpstr>
      <vt:lpstr>Facteurs d'émissions</vt:lpstr>
      <vt:lpstr>PRG100</vt:lpstr>
      <vt:lpstr>CH4_PRG</vt:lpstr>
      <vt:lpstr>N2O_PRG</vt:lpstr>
      <vt:lpstr>Pop_CH_1990</vt:lpstr>
      <vt:lpstr>POP_CH_2015</vt:lpstr>
      <vt:lpstr>POP_CH_2019</vt:lpstr>
      <vt:lpstr>POP_VD_1990</vt:lpstr>
      <vt:lpstr>POP_VD_2015</vt:lpstr>
      <vt:lpstr>POP_VD_2019</vt:lpstr>
      <vt:lpstr>POP_VD_2023</vt:lpstr>
      <vt:lpstr>TJ_to_kWh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 Gunten Diane</dc:creator>
  <cp:lastModifiedBy>von Gunten Diane</cp:lastModifiedBy>
  <cp:lastPrinted>2025-03-20T09:13:25Z</cp:lastPrinted>
  <dcterms:created xsi:type="dcterms:W3CDTF">2015-06-05T18:19:34Z</dcterms:created>
  <dcterms:modified xsi:type="dcterms:W3CDTF">2026-01-20T15:10:20Z</dcterms:modified>
</cp:coreProperties>
</file>