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DIREV\06 PRE\AUR\Agriculture\1. Bases légales, Formulaires, Recommandations\2. Formulaires\Q52 (Travail)\2024\Mise à jour 2024\Versions en ligne 2024\"/>
    </mc:Choice>
  </mc:AlternateContent>
  <xr:revisionPtr revIDLastSave="0" documentId="13_ncr:1_{F4AFDB21-5EAF-4E31-BDDA-7477ECF6F6ED}" xr6:coauthVersionLast="47" xr6:coauthVersionMax="47" xr10:uidLastSave="{00000000-0000-0000-0000-000000000000}"/>
  <workbookProtection workbookAlgorithmName="SHA-512" workbookHashValue="wXQ9K7KBmvrQYXmdxaiSBZ4iLmrj76pJkfQf7+yy1wDLoO9C4WpYoQwP/K72Tzv9DYeiKNwBFJ8ERg2W129k7Q==" workbookSaltValue="v3C4cFb+Lp9OiI/m7Dlk7w==" workbookSpinCount="100000" lockStructure="1"/>
  <bookViews>
    <workbookView xWindow="-110" yWindow="-110" windowWidth="19420" windowHeight="10420" tabRatio="803" xr2:uid="{00000000-000D-0000-FFFF-FFFF00000000}"/>
  </bookViews>
  <sheets>
    <sheet name="INTRO" sheetId="7" r:id="rId1"/>
    <sheet name="A.Exploitation" sheetId="1" r:id="rId2"/>
    <sheet name="B.Surface" sheetId="2" r:id="rId3"/>
    <sheet name="C1.Animaux" sheetId="12" r:id="rId4"/>
    <sheet name="C2.Animaux" sheetId="3" r:id="rId5"/>
    <sheet name="D.Bilan Engrais" sheetId="6" r:id="rId6"/>
    <sheet name="E.Eaux usées" sheetId="5" r:id="rId7"/>
    <sheet name="F.Fosse et fumière" sheetId="4" r:id="rId8"/>
    <sheet name="G.Attestations" sheetId="8" r:id="rId9"/>
  </sheets>
  <externalReferences>
    <externalReference r:id="rId10"/>
  </externalReferences>
  <definedNames>
    <definedName name="_xlnm.Print_Area" localSheetId="1">A.Exploitation!$A$1:$H$40</definedName>
    <definedName name="_xlnm.Print_Area" localSheetId="2">B.Surface!$A$1:$H$23</definedName>
    <definedName name="_xlnm.Print_Area" localSheetId="3">'C1.Animaux'!$A$1:$N$34</definedName>
    <definedName name="_xlnm.Print_Area" localSheetId="4">'C2.Animaux'!$A$1:$H$37</definedName>
    <definedName name="_xlnm.Print_Area" localSheetId="5">'D.Bilan Engrais'!$A$1:$E$41</definedName>
    <definedName name="_xlnm.Print_Area" localSheetId="6">'E.Eaux usées'!$A$1:$E$43</definedName>
    <definedName name="_xlnm.Print_Area" localSheetId="7">'F.Fosse et fumière'!$A$1:$F$48</definedName>
    <definedName name="_xlnm.Print_Area" localSheetId="8">G.Attestations!$A$1:$G$29</definedName>
    <definedName name="_xlnm.Print_Area" localSheetId="0">INTRO!$B$1:$J$20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3" l="1"/>
  <c r="G24" i="3"/>
  <c r="G14" i="3"/>
  <c r="G11" i="3"/>
  <c r="G10" i="3"/>
  <c r="G9" i="3"/>
  <c r="F14" i="3"/>
  <c r="H14" i="3"/>
  <c r="F24" i="3"/>
  <c r="H9" i="2"/>
  <c r="H6" i="2"/>
  <c r="F34" i="12"/>
  <c r="E34" i="12"/>
  <c r="D34" i="12"/>
  <c r="C34" i="12"/>
  <c r="C24" i="12"/>
  <c r="K17" i="12"/>
  <c r="J17" i="12"/>
  <c r="I17" i="12"/>
  <c r="H17" i="12"/>
  <c r="G17" i="12"/>
  <c r="F17" i="12"/>
  <c r="E17" i="12"/>
  <c r="D17" i="12"/>
  <c r="C14" i="3"/>
  <c r="C24" i="3"/>
  <c r="C37" i="3"/>
  <c r="F18" i="3"/>
  <c r="F16" i="8"/>
  <c r="F11" i="8"/>
  <c r="E20" i="5" l="1"/>
  <c r="L21" i="12"/>
  <c r="H22" i="2"/>
  <c r="F20" i="3"/>
  <c r="G20" i="3"/>
  <c r="H20" i="3"/>
  <c r="F21" i="3"/>
  <c r="G21" i="3"/>
  <c r="H21" i="3"/>
  <c r="F22" i="3"/>
  <c r="G22" i="3"/>
  <c r="H22" i="3"/>
  <c r="E23" i="5" l="1"/>
  <c r="E22" i="5"/>
  <c r="E12" i="5"/>
  <c r="E13" i="5"/>
  <c r="E14" i="5"/>
  <c r="E15" i="5"/>
  <c r="E16" i="5"/>
  <c r="E24" i="5"/>
  <c r="E21" i="5"/>
  <c r="E19" i="5"/>
  <c r="E18" i="5"/>
  <c r="G17" i="2"/>
  <c r="F17" i="2"/>
  <c r="E17" i="2"/>
  <c r="C17" i="2"/>
  <c r="D17" i="2"/>
  <c r="B17" i="2"/>
  <c r="H1" i="2" l="1"/>
  <c r="A1" i="2"/>
  <c r="C14" i="5"/>
  <c r="H35" i="1"/>
  <c r="H17" i="2" l="1"/>
  <c r="G1" i="8"/>
  <c r="F1" i="4"/>
  <c r="E1" i="5"/>
  <c r="E1" i="6"/>
  <c r="H1" i="3"/>
  <c r="N1" i="12"/>
  <c r="H1" i="1"/>
  <c r="H23" i="2" l="1"/>
  <c r="D14" i="6" s="1"/>
  <c r="H19" i="2"/>
  <c r="N32" i="12"/>
  <c r="M32" i="12"/>
  <c r="L32" i="12"/>
  <c r="N33" i="12"/>
  <c r="M33" i="12"/>
  <c r="L33" i="12"/>
  <c r="M34" i="12"/>
  <c r="I8" i="4" s="1"/>
  <c r="N34" i="12" l="1"/>
  <c r="D12" i="6"/>
  <c r="A1" i="4" l="1"/>
  <c r="A1" i="8"/>
  <c r="A1" i="5"/>
  <c r="A1" i="6"/>
  <c r="A1" i="3"/>
  <c r="A1" i="12"/>
  <c r="A1" i="1"/>
  <c r="N31" i="12" l="1"/>
  <c r="N30" i="12"/>
  <c r="N29" i="12"/>
  <c r="N28" i="12"/>
  <c r="M31" i="12"/>
  <c r="M30" i="12"/>
  <c r="M29" i="12"/>
  <c r="M28" i="12"/>
  <c r="N16" i="12" l="1"/>
  <c r="N15" i="12"/>
  <c r="N14" i="12"/>
  <c r="N13" i="12"/>
  <c r="N12" i="12"/>
  <c r="N11" i="12"/>
  <c r="N10" i="12"/>
  <c r="H36" i="3" l="1"/>
  <c r="H35" i="3"/>
  <c r="H34" i="3"/>
  <c r="H33" i="3"/>
  <c r="H32" i="3"/>
  <c r="H31" i="3"/>
  <c r="H30" i="3"/>
  <c r="H29" i="3"/>
  <c r="H28" i="3"/>
  <c r="H23" i="3"/>
  <c r="H19" i="3"/>
  <c r="H18" i="3"/>
  <c r="G23" i="3"/>
  <c r="G19" i="3"/>
  <c r="G18" i="3"/>
  <c r="H9" i="3"/>
  <c r="H13" i="3"/>
  <c r="H12" i="3"/>
  <c r="H11" i="3"/>
  <c r="H10" i="3"/>
  <c r="G13" i="3"/>
  <c r="G12" i="3"/>
  <c r="C7" i="5"/>
  <c r="L31" i="12"/>
  <c r="L30" i="12"/>
  <c r="L29" i="12"/>
  <c r="L28" i="12"/>
  <c r="D24" i="12"/>
  <c r="N23" i="12"/>
  <c r="M23" i="12"/>
  <c r="L23" i="12"/>
  <c r="N22" i="12"/>
  <c r="M22" i="12"/>
  <c r="L22" i="12"/>
  <c r="N21" i="12"/>
  <c r="M21" i="12"/>
  <c r="C17" i="12"/>
  <c r="M16" i="12"/>
  <c r="L16" i="12"/>
  <c r="M15" i="12"/>
  <c r="L15" i="12"/>
  <c r="M14" i="12"/>
  <c r="L14" i="12"/>
  <c r="M13" i="12"/>
  <c r="L13" i="12"/>
  <c r="M12" i="12"/>
  <c r="L12" i="12"/>
  <c r="M11" i="12"/>
  <c r="L11" i="12"/>
  <c r="M10" i="12"/>
  <c r="L10" i="12"/>
  <c r="D14" i="3"/>
  <c r="E14" i="3"/>
  <c r="C26" i="3"/>
  <c r="G34" i="3" s="1"/>
  <c r="F34" i="3"/>
  <c r="F33" i="3"/>
  <c r="F32" i="3"/>
  <c r="F31" i="3"/>
  <c r="F30" i="3"/>
  <c r="F36" i="3"/>
  <c r="F35" i="3"/>
  <c r="F29" i="3"/>
  <c r="F28" i="3"/>
  <c r="G32" i="3" l="1"/>
  <c r="G37" i="3"/>
  <c r="G28" i="3"/>
  <c r="G31" i="3"/>
  <c r="G35" i="3"/>
  <c r="G29" i="3"/>
  <c r="G33" i="3"/>
  <c r="G36" i="3"/>
  <c r="L34" i="12"/>
  <c r="G30" i="3"/>
  <c r="C8" i="5"/>
  <c r="M24" i="12"/>
  <c r="I7" i="4" s="1"/>
  <c r="L17" i="12"/>
  <c r="L24" i="12"/>
  <c r="N17" i="12"/>
  <c r="N24" i="12"/>
  <c r="M17" i="12"/>
  <c r="I6" i="4" s="1"/>
  <c r="H37" i="3"/>
  <c r="F37" i="3"/>
  <c r="C6" i="5" l="1"/>
  <c r="E31" i="5"/>
  <c r="E25" i="5"/>
  <c r="E30" i="5" l="1"/>
  <c r="E32" i="5" s="1"/>
  <c r="D35" i="5" s="1"/>
  <c r="I10" i="4" l="1"/>
  <c r="M16" i="4" l="1"/>
  <c r="F10" i="3"/>
  <c r="F23" i="3"/>
  <c r="F19" i="3"/>
  <c r="F13" i="3"/>
  <c r="F12" i="3"/>
  <c r="F11" i="3"/>
  <c r="F9" i="3"/>
  <c r="M14" i="4" l="1"/>
  <c r="C10" i="5"/>
  <c r="C9" i="5"/>
  <c r="M5" i="4" l="1"/>
  <c r="M6" i="4"/>
  <c r="M7" i="4"/>
  <c r="M8" i="4"/>
  <c r="M9" i="4"/>
  <c r="M10" i="4"/>
  <c r="N5" i="4" l="1"/>
  <c r="B6" i="4" s="1"/>
  <c r="E7" i="5" l="1"/>
  <c r="H22" i="1"/>
  <c r="H30" i="1"/>
  <c r="H27" i="1"/>
  <c r="F17" i="4" l="1"/>
  <c r="B12" i="4"/>
  <c r="D8" i="6" l="1"/>
  <c r="D9" i="6" s="1"/>
  <c r="E10" i="5"/>
  <c r="C8" i="6" l="1"/>
  <c r="C9" i="6" s="1"/>
  <c r="F6" i="4" s="1"/>
  <c r="F12" i="4" s="1"/>
  <c r="I9" i="4"/>
  <c r="I11" i="4" s="1"/>
  <c r="F7" i="4" s="1"/>
  <c r="B35" i="5"/>
  <c r="B7" i="4"/>
  <c r="E9" i="5"/>
  <c r="F13" i="4" l="1"/>
  <c r="F14" i="4" s="1"/>
  <c r="B8" i="4"/>
  <c r="C12" i="5"/>
  <c r="F16" i="4" l="1"/>
  <c r="F20" i="4" s="1"/>
  <c r="E21" i="4" s="1"/>
  <c r="B8" i="6"/>
  <c r="D13" i="6" s="1"/>
  <c r="B19" i="6" s="1"/>
  <c r="E8" i="5"/>
  <c r="E6" i="5"/>
  <c r="E26" i="5" l="1"/>
  <c r="C35" i="5" s="1"/>
  <c r="F8" i="4"/>
  <c r="B36" i="5" l="1"/>
  <c r="B9" i="4"/>
  <c r="E35" i="5"/>
  <c r="B10" i="4" l="1"/>
  <c r="B11" i="4"/>
  <c r="B14" i="4" l="1"/>
  <c r="B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Franck Charlotte</author>
  </authors>
  <commentList>
    <comment ref="B19" authorId="0" shapeId="0" xr:uid="{00000000-0006-0000-0000-000001000000}">
      <text>
        <r>
          <rPr>
            <sz val="9"/>
            <color indexed="81"/>
            <rFont val="Tahoma"/>
            <family val="2"/>
          </rPr>
          <t>Détail ou précision pour remplir les données correspondantes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Franck Charlotte</author>
  </authors>
  <commentList>
    <comment ref="B12" authorId="0" shapeId="0" xr:uid="{877D2FCD-63FF-45A1-8823-9AE89EAE9F33}">
      <text>
        <r>
          <rPr>
            <sz val="10"/>
            <color indexed="81"/>
            <rFont val="Tahoma"/>
            <family val="2"/>
          </rPr>
          <t>Quantité d'azote exportée vers une autre exploitation, selon synthèse HODOFLU ou contrat</t>
        </r>
      </text>
    </comment>
    <comment ref="E12" authorId="0" shapeId="0" xr:uid="{69F71878-0CDC-4250-AD08-7F35D14B3293}">
      <text>
        <r>
          <rPr>
            <sz val="10"/>
            <color indexed="81"/>
            <rFont val="Tahoma"/>
            <family val="2"/>
          </rPr>
          <t>Quantité d'azot reprise d'une autre exploitation, selon synthèse HODOFLU ou contrat.</t>
        </r>
      </text>
    </comment>
    <comment ref="A16" authorId="0" shapeId="0" xr:uid="{09E527D0-AA96-4CE7-AFA5-8BBFFC4D0E96}">
      <text>
        <r>
          <rPr>
            <sz val="10"/>
            <color indexed="81"/>
            <rFont val="Tahoma"/>
            <family val="2"/>
          </rPr>
          <t>Mettre la copie des contrats en annexe</t>
        </r>
      </text>
    </comment>
    <comment ref="H22" authorId="0" shapeId="0" xr:uid="{3895CB60-EC3D-4145-B1E1-320328F7F8B0}">
      <text>
        <r>
          <rPr>
            <sz val="10"/>
            <color indexed="81"/>
            <rFont val="Tahoma"/>
            <family val="2"/>
          </rPr>
          <t>La valeur de cette case doit être égale à la valeur ci-dessus "Total Surface disponible pour l'épandage des engrais de ferme"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Franck Charlotte</author>
  </authors>
  <commentList>
    <comment ref="C7" authorId="0" shapeId="0" xr:uid="{00000000-0006-0000-0300-000001000000}">
      <text>
        <r>
          <rPr>
            <sz val="9"/>
            <color indexed="81"/>
            <rFont val="Tahoma"/>
            <family val="2"/>
          </rPr>
          <t>Les coefficients proposés sont la base standard pour une vache laitière. Ils peuvent être adaptés en fonctions du système d’exploitation et du niveau de production.</t>
        </r>
      </text>
    </comment>
    <comment ref="J7" authorId="0" shapeId="0" xr:uid="{00000000-0006-0000-0300-000002000000}">
      <text>
        <r>
          <rPr>
            <sz val="9"/>
            <color indexed="81"/>
            <rFont val="Tahoma"/>
            <family val="2"/>
          </rPr>
          <t>Les coefficients proposés sont la base standard. Ils peuvent être adaptés en fonctions du système d’exploitation et du niveau de production.</t>
        </r>
      </text>
    </comment>
    <comment ref="K7" authorId="0" shapeId="0" xr:uid="{00000000-0006-0000-0300-000003000000}">
      <text>
        <r>
          <rPr>
            <sz val="9"/>
            <color indexed="81"/>
            <rFont val="Tahoma"/>
            <family val="2"/>
          </rPr>
          <t>Les coefficients proposés sont la base standard. Ils peuvent être adaptés en fonctions du système d’exploitation et du niveau de production.</t>
        </r>
      </text>
    </comment>
    <comment ref="K10" authorId="0" shapeId="0" xr:uid="{00000000-0006-0000-0300-000004000000}">
      <text>
        <r>
          <rPr>
            <sz val="9"/>
            <color indexed="81"/>
            <rFont val="Tahoma"/>
            <family val="2"/>
          </rPr>
          <t>Vaches laitières : Poids moyen croissance terminée 650 kg ; production annuelle de lait 6’500 kg.
Par 1’000 kg de lait en moins, réduire de 10 % les déjections et pour 1’000 kg en plus, les augmenter de 2 %.
Cette correction tient compte des différences de poids des bêtes.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Franck Charlotte</author>
  </authors>
  <commentList>
    <comment ref="D13" authorId="0" shapeId="0" xr:uid="{00000000-0006-0000-0600-000001000000}">
      <text>
        <r>
          <rPr>
            <sz val="9"/>
            <color indexed="81"/>
            <rFont val="Tahoma"/>
            <family val="2"/>
          </rPr>
          <t>Seul 1/3 de la surface est considérée pour la production de jus</t>
        </r>
      </text>
    </comment>
    <comment ref="D19" authorId="0" shapeId="0" xr:uid="{00000000-0006-0000-0600-000002000000}">
      <text>
        <r>
          <rPr>
            <sz val="9"/>
            <color indexed="81"/>
            <rFont val="Tahoma"/>
            <family val="2"/>
          </rPr>
          <t>La production d'eau usée pour la chambre à lait est de 0.5 m3 + 0.05 m3 pour chaque poste de traite</t>
        </r>
      </text>
    </comment>
    <comment ref="D20" authorId="0" shapeId="0" xr:uid="{00000000-0006-0000-0600-000003000000}">
      <text>
        <r>
          <rPr>
            <sz val="9"/>
            <color indexed="81"/>
            <rFont val="Tahoma"/>
            <family val="2"/>
          </rPr>
          <t>La production d'eau usée pour l'installation de traite à pots est de 3 m3 + 0.5 m3 pour chaque poste de traite</t>
        </r>
      </text>
    </comment>
    <comment ref="D21" authorId="0" shapeId="0" xr:uid="{00000000-0006-0000-0600-000004000000}">
      <text>
        <r>
          <rPr>
            <sz val="9"/>
            <color indexed="81"/>
            <rFont val="Tahoma"/>
            <family val="2"/>
          </rPr>
          <t>La production d'eau usée pour la salle de traite est de 4 m3 + 0.5 m3 pour chaque poste de traite</t>
        </r>
      </text>
    </comment>
    <comment ref="B25" authorId="0" shapeId="0" xr:uid="{00000000-0006-0000-0600-000005000000}">
      <text>
        <r>
          <rPr>
            <sz val="9"/>
            <color indexed="81"/>
            <rFont val="Tahoma"/>
            <family val="2"/>
          </rPr>
          <t>Intégrer une brève description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Franck Charlotte</author>
    <author>Füllemann Nicolas</author>
  </authors>
  <commentList>
    <comment ref="A9" authorId="0" shapeId="0" xr:uid="{00000000-0006-0000-0700-000001000000}">
      <text>
        <r>
          <rPr>
            <sz val="9"/>
            <color indexed="81"/>
            <rFont val="Tahoma"/>
            <family val="2"/>
          </rPr>
          <t xml:space="preserve">y.c. nouvelle fumière </t>
        </r>
      </text>
    </comment>
    <comment ref="A10" authorId="0" shapeId="0" xr:uid="{00000000-0006-0000-0700-000002000000}">
      <text>
        <r>
          <rPr>
            <sz val="9"/>
            <color indexed="81"/>
            <rFont val="Tahoma"/>
            <family val="2"/>
          </rPr>
          <t>si déversées dans la fosse</t>
        </r>
      </text>
    </comment>
    <comment ref="F10" authorId="0" shapeId="0" xr:uid="{00000000-0006-0000-0700-000003000000}">
      <text>
        <r>
          <rPr>
            <sz val="9"/>
            <color indexed="81"/>
            <rFont val="Tahoma"/>
            <family val="2"/>
          </rPr>
          <t>Hauteur maximale prise en compte: 1.2 m</t>
        </r>
      </text>
    </comment>
    <comment ref="F11" authorId="0" shapeId="0" xr:uid="{00000000-0006-0000-0700-000004000000}">
      <text>
        <r>
          <rPr>
            <sz val="9"/>
            <color indexed="81"/>
            <rFont val="Tahoma"/>
            <family val="2"/>
          </rPr>
          <t xml:space="preserve">Combien de mois la litière profonde est-elle laissée en place avant son renouvellement.
</t>
        </r>
      </text>
    </comment>
    <comment ref="F14" authorId="0" shapeId="0" xr:uid="{00000000-0006-0000-0700-000005000000}">
      <text>
        <r>
          <rPr>
            <sz val="9"/>
            <color indexed="81"/>
            <rFont val="Tahoma"/>
            <family val="2"/>
          </rPr>
          <t xml:space="preserve">Le volume considéré est le plus grand entre la production théorique (cellule F7) et la production selon le renouvellement de la litière profonde (cellule F13)
</t>
        </r>
      </text>
    </comment>
    <comment ref="E15" authorId="0" shapeId="0" xr:uid="{00000000-0006-0000-0700-000006000000}">
      <text>
        <r>
          <rPr>
            <sz val="9"/>
            <color indexed="81"/>
            <rFont val="Tahoma"/>
            <family val="2"/>
          </rPr>
          <t>Standard: entre 1.5 m et 2 m</t>
        </r>
      </text>
    </comment>
    <comment ref="E18" authorId="1" shapeId="0" xr:uid="{AC0D5213-D056-438A-817E-EA061E2F98A7}">
      <text>
        <r>
          <rPr>
            <sz val="9"/>
            <color indexed="81"/>
            <rFont val="Tahoma"/>
            <family val="2"/>
          </rPr>
          <t xml:space="preserve">Y compris aires de sécurité
</t>
        </r>
      </text>
    </comment>
  </commentList>
</comments>
</file>

<file path=xl/sharedStrings.xml><?xml version="1.0" encoding="utf-8"?>
<sst xmlns="http://schemas.openxmlformats.org/spreadsheetml/2006/main" count="413" uniqueCount="293">
  <si>
    <t>Total</t>
  </si>
  <si>
    <t>Vignobles</t>
  </si>
  <si>
    <t>Zone de plaine</t>
  </si>
  <si>
    <t>Zone de collines</t>
  </si>
  <si>
    <t>Zone de montagne 1</t>
  </si>
  <si>
    <t>Zone de montagne 2</t>
  </si>
  <si>
    <t>Zone de montagne 4</t>
  </si>
  <si>
    <t>Zone de montagne 3</t>
  </si>
  <si>
    <t>SAU avec limitation de fumure [ha]</t>
  </si>
  <si>
    <t>Charge totale admissible [UGBF]</t>
  </si>
  <si>
    <t>Bovins</t>
  </si>
  <si>
    <t>Vaches laitières</t>
  </si>
  <si>
    <t>Autres vaches</t>
  </si>
  <si>
    <t>Nombre de places</t>
  </si>
  <si>
    <t>UGB</t>
  </si>
  <si>
    <t>UGBF</t>
  </si>
  <si>
    <t>TOTAL</t>
  </si>
  <si>
    <t>Chevaux</t>
  </si>
  <si>
    <t>Cheval dès 30 mois</t>
  </si>
  <si>
    <t>Poulain jusqu'à 30 mois</t>
  </si>
  <si>
    <t>Porcs</t>
  </si>
  <si>
    <t>Porcelet sevré</t>
  </si>
  <si>
    <t>Truies non allaitantes</t>
  </si>
  <si>
    <t>Verrats d'élevage</t>
  </si>
  <si>
    <t>Volaille</t>
  </si>
  <si>
    <t>Poulette</t>
  </si>
  <si>
    <t>Dinde à l'engrais</t>
  </si>
  <si>
    <t>Mois</t>
  </si>
  <si>
    <t>Stabulation libre
A litière</t>
  </si>
  <si>
    <t>coeff. UGB</t>
  </si>
  <si>
    <t>Mini STEP</t>
  </si>
  <si>
    <t>Tranchée filtrante</t>
  </si>
  <si>
    <t>Tranchée absorbante</t>
  </si>
  <si>
    <t>Fosse septique</t>
  </si>
  <si>
    <t>Fosse à purin</t>
  </si>
  <si>
    <t>Choisir</t>
  </si>
  <si>
    <t>Porcins: Nettoyage des porcheries et soins aux animaux</t>
  </si>
  <si>
    <t>Bovins - Equins: Nettoyage des étables et soins aux animaux</t>
  </si>
  <si>
    <t>Ecoulement des fumières non couvertes</t>
  </si>
  <si>
    <t>Bovins - Equins: Evacuation hydraulique du lisier</t>
  </si>
  <si>
    <t>oui</t>
  </si>
  <si>
    <t>non</t>
  </si>
  <si>
    <t>Chèvres laitières</t>
  </si>
  <si>
    <r>
      <t>Volume [m</t>
    </r>
    <r>
      <rPr>
        <b/>
        <vertAlign val="superscript"/>
        <sz val="11"/>
        <color theme="1"/>
        <rFont val="Calibri"/>
        <family val="2"/>
        <scheme val="minor"/>
      </rPr>
      <t>3</t>
    </r>
    <r>
      <rPr>
        <b/>
        <sz val="11"/>
        <color theme="1"/>
        <rFont val="Calibri"/>
        <family val="2"/>
        <scheme val="minor"/>
      </rPr>
      <t>]</t>
    </r>
  </si>
  <si>
    <t>REMARQUE</t>
  </si>
  <si>
    <t>Surface disponible pour l'épandage des engrais de ferme par zone de production [ha]</t>
  </si>
  <si>
    <t>Commune</t>
  </si>
  <si>
    <t>Lieu-dit et/ou Adresse</t>
  </si>
  <si>
    <t>Nom</t>
  </si>
  <si>
    <t>Prénom</t>
  </si>
  <si>
    <t>Adresse</t>
  </si>
  <si>
    <t>N° postal</t>
  </si>
  <si>
    <t>Localité</t>
  </si>
  <si>
    <t>Adresse e-mail</t>
  </si>
  <si>
    <t>N° téléphone</t>
  </si>
  <si>
    <t>Charge totale corrigée [UGBF]</t>
  </si>
  <si>
    <t>-</t>
  </si>
  <si>
    <r>
      <t>Surface [m</t>
    </r>
    <r>
      <rPr>
        <b/>
        <vertAlign val="superscript"/>
        <sz val="11"/>
        <color theme="1"/>
        <rFont val="Calibri"/>
        <family val="2"/>
        <scheme val="minor"/>
      </rPr>
      <t>2</t>
    </r>
    <r>
      <rPr>
        <b/>
        <sz val="11"/>
        <color theme="1"/>
        <rFont val="Calibri"/>
        <family val="2"/>
        <scheme val="minor"/>
      </rPr>
      <t>]</t>
    </r>
  </si>
  <si>
    <t>Nombre</t>
  </si>
  <si>
    <t>TOTAL [UGBF]</t>
  </si>
  <si>
    <t>Fumière</t>
  </si>
  <si>
    <t>Production mensuelle de fumier [t]</t>
  </si>
  <si>
    <t>Bovin</t>
  </si>
  <si>
    <t>Porcin</t>
  </si>
  <si>
    <t>Ovin/Caprin</t>
  </si>
  <si>
    <t>Equin</t>
  </si>
  <si>
    <t>Avicole</t>
  </si>
  <si>
    <r>
      <t>Volume de stockage existant [m</t>
    </r>
    <r>
      <rPr>
        <vertAlign val="superscript"/>
        <sz val="11"/>
        <color theme="1"/>
        <rFont val="Calibri"/>
        <family val="2"/>
        <scheme val="minor"/>
      </rPr>
      <t>3</t>
    </r>
    <r>
      <rPr>
        <sz val="11"/>
        <color theme="1"/>
        <rFont val="Calibri"/>
        <family val="2"/>
        <scheme val="minor"/>
      </rPr>
      <t>]</t>
    </r>
  </si>
  <si>
    <r>
      <t>Volume de stockage prévu par le projet [m</t>
    </r>
    <r>
      <rPr>
        <vertAlign val="superscript"/>
        <sz val="11"/>
        <color theme="1"/>
        <rFont val="Calibri"/>
        <family val="2"/>
        <scheme val="minor"/>
      </rPr>
      <t>3</t>
    </r>
    <r>
      <rPr>
        <sz val="11"/>
        <color theme="1"/>
        <rFont val="Calibri"/>
        <family val="2"/>
        <scheme val="minor"/>
      </rPr>
      <t>]</t>
    </r>
  </si>
  <si>
    <r>
      <t>Surface de litière profonde [m</t>
    </r>
    <r>
      <rPr>
        <vertAlign val="superscript"/>
        <sz val="11"/>
        <color theme="1"/>
        <rFont val="Calibri"/>
        <family val="2"/>
        <scheme val="minor"/>
      </rPr>
      <t>2</t>
    </r>
    <r>
      <rPr>
        <sz val="11"/>
        <color theme="1"/>
        <rFont val="Calibri"/>
        <family val="2"/>
        <scheme val="minor"/>
      </rPr>
      <t>]</t>
    </r>
  </si>
  <si>
    <r>
      <t>Surface de stockage existante [m</t>
    </r>
    <r>
      <rPr>
        <vertAlign val="superscript"/>
        <sz val="11"/>
        <color theme="1"/>
        <rFont val="Calibri"/>
        <family val="2"/>
        <scheme val="minor"/>
      </rPr>
      <t>2</t>
    </r>
    <r>
      <rPr>
        <sz val="11"/>
        <color theme="1"/>
        <rFont val="Calibri"/>
        <family val="2"/>
        <scheme val="minor"/>
      </rPr>
      <t>]</t>
    </r>
  </si>
  <si>
    <r>
      <t>Surface de stockage prévue par le projet [m</t>
    </r>
    <r>
      <rPr>
        <vertAlign val="superscript"/>
        <sz val="11"/>
        <color theme="1"/>
        <rFont val="Calibri"/>
        <family val="2"/>
        <scheme val="minor"/>
      </rPr>
      <t>2</t>
    </r>
    <r>
      <rPr>
        <sz val="11"/>
        <color theme="1"/>
        <rFont val="Calibri"/>
        <family val="2"/>
        <scheme val="minor"/>
      </rPr>
      <t>]</t>
    </r>
  </si>
  <si>
    <r>
      <t xml:space="preserve">Total Surface disponible pour l'épandage des engrais de ferme [ha] </t>
    </r>
    <r>
      <rPr>
        <sz val="11"/>
        <rFont val="Calibri"/>
        <family val="2"/>
        <scheme val="minor"/>
      </rPr>
      <t>(à répartir ci-après)</t>
    </r>
  </si>
  <si>
    <t>Date</t>
  </si>
  <si>
    <t>CAMAC n°</t>
  </si>
  <si>
    <t>Fumier 
[t/an]</t>
  </si>
  <si>
    <t>Purin
[m3/an]</t>
  </si>
  <si>
    <r>
      <t>Purin
[m</t>
    </r>
    <r>
      <rPr>
        <b/>
        <u/>
        <vertAlign val="superscript"/>
        <sz val="11"/>
        <color theme="1"/>
        <rFont val="Calibri"/>
        <family val="2"/>
        <scheme val="minor"/>
      </rPr>
      <t>3</t>
    </r>
    <r>
      <rPr>
        <b/>
        <u/>
        <sz val="11"/>
        <color theme="1"/>
        <rFont val="Calibri"/>
        <family val="2"/>
        <scheme val="minor"/>
      </rPr>
      <t>/an]</t>
    </r>
  </si>
  <si>
    <t>Purin</t>
  </si>
  <si>
    <t>Eaux exploitation</t>
  </si>
  <si>
    <t>Eaux domestiques</t>
  </si>
  <si>
    <r>
      <t>Récapitulatif - Production eaux usées dans la fosse [m</t>
    </r>
    <r>
      <rPr>
        <vertAlign val="superscript"/>
        <sz val="11"/>
        <color theme="1"/>
        <rFont val="Calibri"/>
        <family val="2"/>
        <scheme val="minor"/>
      </rPr>
      <t>3</t>
    </r>
    <r>
      <rPr>
        <sz val="11"/>
        <color theme="1"/>
        <rFont val="Calibri"/>
        <family val="2"/>
        <scheme val="minor"/>
      </rPr>
      <t>/mois]</t>
    </r>
  </si>
  <si>
    <t>Numéro</t>
  </si>
  <si>
    <t>Parcelle principale</t>
  </si>
  <si>
    <r>
      <t>Surface de stockage nécessaire [m</t>
    </r>
    <r>
      <rPr>
        <vertAlign val="superscript"/>
        <sz val="11"/>
        <color theme="1"/>
        <rFont val="Calibri"/>
        <family val="2"/>
        <scheme val="minor"/>
      </rPr>
      <t>2</t>
    </r>
    <r>
      <rPr>
        <sz val="11"/>
        <color theme="1"/>
        <rFont val="Calibri"/>
        <family val="2"/>
        <scheme val="minor"/>
      </rPr>
      <t>]</t>
    </r>
  </si>
  <si>
    <t xml:space="preserve">Service responsable </t>
  </si>
  <si>
    <t>Autres services concernés</t>
  </si>
  <si>
    <t xml:space="preserve"> ­ Direction des ressources et du patrimoine naturel (DIRNA), Section eaux souterraines.</t>
  </si>
  <si>
    <t>Comment remplir le formulaire</t>
  </si>
  <si>
    <t>En-tête ou résultat. La case ne peut pas être modifiée. Le calcul se fait automatiquement.</t>
  </si>
  <si>
    <t>Précision importante de l'autorité.</t>
  </si>
  <si>
    <t>Le résultat est conforme.</t>
  </si>
  <si>
    <t>X</t>
  </si>
  <si>
    <t>Le résultat n'est pas conforme. Un justificatif ou un correctif doit être apporté.</t>
  </si>
  <si>
    <t>Signature du requérant</t>
  </si>
  <si>
    <t xml:space="preserve">Au cas où le propriétaire de l'exploitation et l'exploitant sont distincts, la demande portera la signature des deux.
</t>
  </si>
  <si>
    <t>Le soussigné déclare avoir fourni les indications ci-dessus au plus près de sa conscience et répond de leur exactitude.</t>
  </si>
  <si>
    <t>L'exploitant:</t>
  </si>
  <si>
    <t>Lieu:</t>
  </si>
  <si>
    <t>Date:</t>
  </si>
  <si>
    <t>Tél:</t>
  </si>
  <si>
    <t>Signature:</t>
  </si>
  <si>
    <t>Le propriétaire (si différent de l'exploitant):</t>
  </si>
  <si>
    <t>Exploitant</t>
  </si>
  <si>
    <t>Attestation de l'expert technique (facultatif, mais conseillé)</t>
  </si>
  <si>
    <t>Nom:</t>
  </si>
  <si>
    <t>Entreprise:</t>
  </si>
  <si>
    <t>Oui</t>
  </si>
  <si>
    <t>Non</t>
  </si>
  <si>
    <r>
      <t>Profondeur maximale litière [m</t>
    </r>
    <r>
      <rPr>
        <sz val="11"/>
        <color theme="1"/>
        <rFont val="Calibri"/>
        <family val="2"/>
        <scheme val="minor"/>
      </rPr>
      <t>]</t>
    </r>
  </si>
  <si>
    <t>Elevage sur litière profonde</t>
  </si>
  <si>
    <t>Volières</t>
  </si>
  <si>
    <t>Grillage incliné, caisse à crottes</t>
  </si>
  <si>
    <t>Exploitation année : Durée de stockage [mois]</t>
  </si>
  <si>
    <t>Fumier [t]</t>
  </si>
  <si>
    <t>TOTAL Annuel [t/an]</t>
  </si>
  <si>
    <t>TOTAL Mensuel [t/mois]</t>
  </si>
  <si>
    <t>Impression du document:</t>
  </si>
  <si>
    <t>JUSTIFICATION EN CAS DE RESULTAT NEGATIF:</t>
  </si>
  <si>
    <t>Propriétaire (si différent)</t>
  </si>
  <si>
    <t>Coordonnée X</t>
  </si>
  <si>
    <t>Ex: 2123456</t>
  </si>
  <si>
    <t>Ex: 1123456</t>
  </si>
  <si>
    <r>
      <t>Fumière(s) existante(s) [m</t>
    </r>
    <r>
      <rPr>
        <b/>
        <vertAlign val="superscript"/>
        <sz val="11"/>
        <color theme="1"/>
        <rFont val="Calibri"/>
        <family val="2"/>
        <scheme val="minor"/>
      </rPr>
      <t>2</t>
    </r>
    <r>
      <rPr>
        <b/>
        <sz val="11"/>
        <color theme="1"/>
        <rFont val="Calibri"/>
        <family val="2"/>
        <scheme val="minor"/>
      </rPr>
      <t>]</t>
    </r>
    <r>
      <rPr>
        <sz val="11"/>
        <color theme="1"/>
        <rFont val="Calibri"/>
        <family val="2"/>
        <scheme val="minor"/>
      </rPr>
      <t xml:space="preserve">
non couverte(s)</t>
    </r>
  </si>
  <si>
    <r>
      <t>Fumière(s) existante(s) [m</t>
    </r>
    <r>
      <rPr>
        <b/>
        <vertAlign val="superscript"/>
        <sz val="11"/>
        <color theme="1"/>
        <rFont val="Calibri"/>
        <family val="2"/>
        <scheme val="minor"/>
      </rPr>
      <t>2</t>
    </r>
    <r>
      <rPr>
        <b/>
        <sz val="11"/>
        <color theme="1"/>
        <rFont val="Calibri"/>
        <family val="2"/>
        <scheme val="minor"/>
      </rPr>
      <t>]</t>
    </r>
    <r>
      <rPr>
        <sz val="11"/>
        <color theme="1"/>
        <rFont val="Calibri"/>
        <family val="2"/>
        <scheme val="minor"/>
      </rPr>
      <t xml:space="preserve">
couverte(s)</t>
    </r>
  </si>
  <si>
    <t>Coordonnée Y</t>
  </si>
  <si>
    <t>Estivage</t>
  </si>
  <si>
    <t>Objet N°1</t>
  </si>
  <si>
    <t>Objet N°2</t>
  </si>
  <si>
    <t>Objet N°3</t>
  </si>
  <si>
    <t>Objet N°4</t>
  </si>
  <si>
    <t>Objet N°5</t>
  </si>
  <si>
    <t>Objet N°6</t>
  </si>
  <si>
    <t xml:space="preserve">Culture fruitière intensive </t>
  </si>
  <si>
    <t>Hors bilan fumure</t>
  </si>
  <si>
    <t>Stabulation entravée</t>
  </si>
  <si>
    <t>Stabulation libre</t>
  </si>
  <si>
    <t>Truies allaitantes et porcelets</t>
  </si>
  <si>
    <r>
      <t xml:space="preserve">Caillebotis
</t>
    </r>
    <r>
      <rPr>
        <sz val="11"/>
        <color theme="1"/>
        <rFont val="Calibri"/>
        <family val="2"/>
        <scheme val="minor"/>
      </rPr>
      <t>Lisier complet</t>
    </r>
  </si>
  <si>
    <r>
      <t xml:space="preserve">Aire paillée partielle
</t>
    </r>
    <r>
      <rPr>
        <sz val="11"/>
        <color theme="1"/>
        <rFont val="Calibri"/>
        <family val="2"/>
        <scheme val="minor"/>
      </rPr>
      <t>Princ. Purin</t>
    </r>
  </si>
  <si>
    <r>
      <t xml:space="preserve">Litière et couloir de déjection
</t>
    </r>
    <r>
      <rPr>
        <sz val="11"/>
        <color theme="1"/>
        <rFont val="Calibri"/>
        <family val="2"/>
        <scheme val="minor"/>
      </rPr>
      <t>50-50</t>
    </r>
  </si>
  <si>
    <r>
      <t xml:space="preserve">Stabulation libre
Litière profonde
</t>
    </r>
    <r>
      <rPr>
        <sz val="11"/>
        <color theme="1"/>
        <rFont val="Calibri"/>
        <family val="2"/>
        <scheme val="minor"/>
      </rPr>
      <t>Fumier complet</t>
    </r>
  </si>
  <si>
    <r>
      <t xml:space="preserve">Stabulation libre
</t>
    </r>
    <r>
      <rPr>
        <sz val="11"/>
        <color theme="1"/>
        <rFont val="Calibri"/>
        <family val="2"/>
        <scheme val="minor"/>
      </rPr>
      <t>Fumier</t>
    </r>
  </si>
  <si>
    <r>
      <t xml:space="preserve">Avec grille
</t>
    </r>
    <r>
      <rPr>
        <sz val="11"/>
        <color theme="1"/>
        <rFont val="Calibri"/>
        <family val="2"/>
        <scheme val="minor"/>
      </rPr>
      <t>Lisier complet</t>
    </r>
  </si>
  <si>
    <r>
      <t xml:space="preserve">Avec rigole
</t>
    </r>
    <r>
      <rPr>
        <sz val="11"/>
        <color theme="1"/>
        <rFont val="Calibri"/>
        <family val="2"/>
        <scheme val="minor"/>
      </rPr>
      <t>Purin et fumier</t>
    </r>
  </si>
  <si>
    <r>
      <t xml:space="preserve">Fumier et peu de </t>
    </r>
    <r>
      <rPr>
        <sz val="11"/>
        <color theme="1"/>
        <rFont val="Calibri"/>
        <family val="2"/>
        <scheme val="minor"/>
      </rPr>
      <t>Purin</t>
    </r>
  </si>
  <si>
    <r>
      <t xml:space="preserve">Litière profonde
</t>
    </r>
    <r>
      <rPr>
        <sz val="11"/>
        <color theme="1"/>
        <rFont val="Calibri"/>
        <family val="2"/>
        <scheme val="minor"/>
      </rPr>
      <t>Fumier seul</t>
    </r>
  </si>
  <si>
    <r>
      <t xml:space="preserve">A 2 secteurs
</t>
    </r>
    <r>
      <rPr>
        <sz val="11"/>
        <color theme="1"/>
        <rFont val="Calibri"/>
        <family val="2"/>
        <scheme val="minor"/>
      </rPr>
      <t>50-50</t>
    </r>
  </si>
  <si>
    <r>
      <t xml:space="preserve">Plusieurs secteurs
</t>
    </r>
    <r>
      <rPr>
        <sz val="11"/>
        <color theme="1"/>
        <rFont val="Calibri"/>
        <family val="2"/>
        <scheme val="minor"/>
      </rPr>
      <t>Purin et peu fumier</t>
    </r>
  </si>
  <si>
    <r>
      <t>Plan incliné paillé</t>
    </r>
    <r>
      <rPr>
        <sz val="11"/>
        <color theme="1"/>
        <rFont val="Calibri"/>
        <family val="2"/>
        <scheme val="minor"/>
      </rPr>
      <t xml:space="preserve">
Fumier et peu purin</t>
    </r>
  </si>
  <si>
    <r>
      <t xml:space="preserve">100% Fosse
</t>
    </r>
    <r>
      <rPr>
        <sz val="11"/>
        <color theme="1"/>
        <rFont val="Calibri"/>
        <family val="2"/>
        <scheme val="minor"/>
      </rPr>
      <t>Lisier complet</t>
    </r>
  </si>
  <si>
    <t>Silos couloirs</t>
  </si>
  <si>
    <t>Volume produit par litière profonde:</t>
  </si>
  <si>
    <t>Numéro UHZ</t>
  </si>
  <si>
    <t>Terre en propriété</t>
  </si>
  <si>
    <t>Terre en fermage</t>
  </si>
  <si>
    <t>SAU de l'exploitation [ha]</t>
  </si>
  <si>
    <r>
      <t>Fosse(s) à purin existante(s) [m</t>
    </r>
    <r>
      <rPr>
        <b/>
        <vertAlign val="superscript"/>
        <sz val="11"/>
        <color theme="1"/>
        <rFont val="Calibri"/>
        <family val="2"/>
        <scheme val="minor"/>
      </rPr>
      <t>3</t>
    </r>
    <r>
      <rPr>
        <b/>
        <sz val="11"/>
        <color theme="1"/>
        <rFont val="Calibri"/>
        <family val="2"/>
        <scheme val="minor"/>
      </rPr>
      <t>]</t>
    </r>
  </si>
  <si>
    <t>Fosse(s) à purin: Coordonnée Y</t>
  </si>
  <si>
    <t>Animaux de 1 à 2 ans</t>
  </si>
  <si>
    <t>Animaux de 4 à 12 mois</t>
  </si>
  <si>
    <t>Animaux de 0 à 4 mois</t>
  </si>
  <si>
    <t>Animaux de plus de 2 ans</t>
  </si>
  <si>
    <t>Poules pondeuses (PP)</t>
  </si>
  <si>
    <t>Poulet à l'engrais (PE)</t>
  </si>
  <si>
    <t>Autres chèvres et moutons</t>
  </si>
  <si>
    <r>
      <t xml:space="preserve">A logettes
</t>
    </r>
    <r>
      <rPr>
        <sz val="11"/>
        <color theme="1"/>
        <rFont val="Calibri"/>
        <family val="2"/>
        <scheme val="minor"/>
      </rPr>
      <t>3/4 purin</t>
    </r>
  </si>
  <si>
    <t>La charge totale admissible a été déterminée au point B du présent document en fonction de la surface d’épandage disponible et de la zone dans laquelle elle se trouve.</t>
  </si>
  <si>
    <t>La charge totale corrigée correspond à la charge en bétail détenue au maximum sur l’exploitation en fonction du nombre de places disponibles y compris le projet (déterminé au point C).</t>
  </si>
  <si>
    <t>La confrontation des 2 chiffres ci-dessous renseigne sur le bilan des engrais (article 14 LEaux)</t>
  </si>
  <si>
    <t>Bilan Engrais [UGBF]</t>
  </si>
  <si>
    <r>
      <t>Purin [m</t>
    </r>
    <r>
      <rPr>
        <b/>
        <vertAlign val="superscript"/>
        <sz val="11"/>
        <color theme="1"/>
        <rFont val="Calibri"/>
        <family val="2"/>
        <scheme val="minor"/>
      </rPr>
      <t>3</t>
    </r>
    <r>
      <rPr>
        <b/>
        <sz val="11"/>
        <color theme="1"/>
        <rFont val="Calibri"/>
        <family val="2"/>
        <scheme val="minor"/>
      </rPr>
      <t>]</t>
    </r>
  </si>
  <si>
    <t>moins de 10/an</t>
  </si>
  <si>
    <t>plus de 10/an</t>
  </si>
  <si>
    <t>Volaille: Nettoyage des poulaillers - poulet à l'engrais, poulettes</t>
  </si>
  <si>
    <t>Volaille: Nettoyage des poulaillers - poules pondeuses, dindes</t>
  </si>
  <si>
    <t>Réseau communal d'égouts vers station d'épuration (STEP)</t>
  </si>
  <si>
    <t>Surfaces exposées à la pluie selon plan canalisations</t>
  </si>
  <si>
    <t>Nettoyage de la détention des animaux</t>
  </si>
  <si>
    <t>Type de traitement des eaux usées domestiques</t>
  </si>
  <si>
    <t>Eaux usées de l'exploitation</t>
  </si>
  <si>
    <t>Autres activités productrices d'eaux polluées</t>
  </si>
  <si>
    <t>Calcul du volume d'eaux usées par mois d'hiver raccordé à la fosse (eaux de nettoyage, ruissellement ou du ménage)</t>
  </si>
  <si>
    <t>Inventaire de la surface disponible pour l'épandage des engrais de ferme</t>
  </si>
  <si>
    <t>Données de l'exploitation</t>
  </si>
  <si>
    <t>Vérification du dimensionnement des ouvrages de stockage des engrais de ferme</t>
  </si>
  <si>
    <t>Hauteur litière profonde considérée:</t>
  </si>
  <si>
    <t>Surface de stockage projetée couverte?</t>
  </si>
  <si>
    <t>Hauteur maximale du tas de fumier [m]</t>
  </si>
  <si>
    <t>Attestation du propriétaire, de l'exploitant et de la Commune territoriale</t>
  </si>
  <si>
    <t>Exemple de plans des canalisations:</t>
  </si>
  <si>
    <t>Calcul du dimensionnement,
Approbation de la capacité et de la charge</t>
  </si>
  <si>
    <t>Plan des canalisations de l'exploitation</t>
  </si>
  <si>
    <t>Résultat positif: la charge en bétail de l'exploitation est admissible, tenant compte du projet
Résultat négatif: l'exploitation présente un excès de charge en UGBF. Des solutions doivent être trouvées et décrites ci-dessous (p.ex. contrats de reprise, nom des repreneurs, numéro exploitation, extrait HODUFLU, …) et éventuellement renseignées dans le point B du présent document.</t>
  </si>
  <si>
    <r>
      <t>m</t>
    </r>
    <r>
      <rPr>
        <b/>
        <vertAlign val="superscript"/>
        <sz val="11"/>
        <color theme="1"/>
        <rFont val="Calibri"/>
        <family val="2"/>
        <scheme val="minor"/>
      </rPr>
      <t>3</t>
    </r>
    <r>
      <rPr>
        <b/>
        <sz val="11"/>
        <color theme="1"/>
        <rFont val="Calibri"/>
        <family val="2"/>
        <scheme val="minor"/>
      </rPr>
      <t xml:space="preserve"> EU par m</t>
    </r>
    <r>
      <rPr>
        <b/>
        <vertAlign val="superscript"/>
        <sz val="11"/>
        <color theme="1"/>
        <rFont val="Calibri"/>
        <family val="2"/>
        <scheme val="minor"/>
      </rPr>
      <t>2</t>
    </r>
  </si>
  <si>
    <r>
      <t>m</t>
    </r>
    <r>
      <rPr>
        <b/>
        <vertAlign val="superscript"/>
        <sz val="11"/>
        <color theme="1"/>
        <rFont val="Calibri"/>
        <family val="2"/>
        <scheme val="minor"/>
      </rPr>
      <t>3</t>
    </r>
    <r>
      <rPr>
        <b/>
        <sz val="11"/>
        <color theme="1"/>
        <rFont val="Calibri"/>
        <family val="2"/>
        <scheme val="minor"/>
      </rPr>
      <t xml:space="preserve"> EU par unité</t>
    </r>
  </si>
  <si>
    <r>
      <t>m</t>
    </r>
    <r>
      <rPr>
        <b/>
        <vertAlign val="superscript"/>
        <sz val="11"/>
        <color theme="1"/>
        <rFont val="Calibri"/>
        <family val="2"/>
        <scheme val="minor"/>
      </rPr>
      <t>3</t>
    </r>
    <r>
      <rPr>
        <b/>
        <sz val="11"/>
        <color theme="1"/>
        <rFont val="Calibri"/>
        <family val="2"/>
        <scheme val="minor"/>
      </rPr>
      <t xml:space="preserve"> EU par UGBF</t>
    </r>
  </si>
  <si>
    <t xml:space="preserve">Pour rappel, un plan des canalisations de l'exploitation doit être intégré dans tout dossier de demande de permis de constuire.
Dans ce plan, il convient d’indiquer où aboutit toute conduite d’évacuation des eaux (fosse à lisier, puits d’infiltration, milieu récepteur, etc.), de même que toute installation, toute place avec revêtement étanche, tout ouvrage d’entreposage d’engrais de ferme, d’engrais de recyclage ou de substances et liquides de nature à polluer les eaux (bâtiments d’élevage, réservoirs à lisier, fumières, aires d’exercice,
silos à fourrage, distribution du carburant, place de lavage, etc.). Cela peut se faire sous une forme schématique, comme illustré ci-après.
</t>
  </si>
  <si>
    <t>Numéro cantonal exploitation</t>
  </si>
  <si>
    <t>Prairies extensives et autres surfaces grevées d'une interdiction de fumure prolongée</t>
  </si>
  <si>
    <r>
      <t>Inventaire de l'</t>
    </r>
    <r>
      <rPr>
        <b/>
        <u/>
        <sz val="11"/>
        <color theme="1"/>
        <rFont val="Calibri"/>
        <family val="2"/>
        <scheme val="minor"/>
      </rPr>
      <t>exploitation à l'année</t>
    </r>
    <r>
      <rPr>
        <sz val="11"/>
        <color theme="1"/>
        <rFont val="Calibri"/>
        <family val="2"/>
        <scheme val="minor"/>
      </rPr>
      <t xml:space="preserve"> pour contrôle du bilan d'engrais et dimensionnement de la fosse et de la fumière.
Indiquer le nombre de places disponibles après réalisation du projet (ou effectif réel) pour l'entier de l'exploitation ou de la communauté d'exploitation, ainsi que le(s) système(s) de détention. </t>
    </r>
  </si>
  <si>
    <t>Aire d'exercice étanche non couverte</t>
  </si>
  <si>
    <t>Citerne de refroidissement - Volume [l]</t>
  </si>
  <si>
    <t>Unité</t>
  </si>
  <si>
    <t>Activités annexes</t>
  </si>
  <si>
    <t>Boucherie</t>
  </si>
  <si>
    <t>Fromagerie</t>
  </si>
  <si>
    <t>Buvette, table d'hôtes</t>
  </si>
  <si>
    <r>
      <t>Coeff Purin [m</t>
    </r>
    <r>
      <rPr>
        <i/>
        <vertAlign val="superscript"/>
        <sz val="11"/>
        <color theme="1"/>
        <rFont val="Calibri"/>
        <family val="2"/>
        <scheme val="minor"/>
      </rPr>
      <t>3</t>
    </r>
    <r>
      <rPr>
        <i/>
        <sz val="11"/>
        <color theme="1"/>
        <rFont val="Calibri"/>
        <family val="2"/>
        <scheme val="minor"/>
      </rPr>
      <t>/an]</t>
    </r>
  </si>
  <si>
    <t>Divers</t>
  </si>
  <si>
    <t>Bisons &gt; 3 ans</t>
  </si>
  <si>
    <t>Bisons &lt; 3 ans</t>
  </si>
  <si>
    <t>Daims</t>
  </si>
  <si>
    <t>Rennes</t>
  </si>
  <si>
    <t>Lama &gt; 2 ans</t>
  </si>
  <si>
    <t>Lama &lt; 2 ans</t>
  </si>
  <si>
    <t>Taux de dilution (si les eaux usées domestiques vont à la fosse à purin)</t>
  </si>
  <si>
    <t xml:space="preserve">• Département de l'économie, de l'innovation et du sport, Direction générale de l'agriculture, de la viticulture et des affaires vétérinaires (DGAV)
• Département des institutions et du territoire, Direction générale du territoire et du logement (DGTL)
• Département de l’environnement et de la sécurité, Direction générale de l’environnement (DGE) :
</t>
  </si>
  <si>
    <t>Fosse(s) à purin: Coordonnée X</t>
  </si>
  <si>
    <t>Chèvres, moutons</t>
  </si>
  <si>
    <t>Alpaga &gt; 2 ans</t>
  </si>
  <si>
    <t>Alpaga &lt; 2 ans</t>
  </si>
  <si>
    <t>Autres:</t>
  </si>
  <si>
    <t>Porc à l'engrais</t>
  </si>
  <si>
    <t>Habitation - Nombre de pièces habitables</t>
  </si>
  <si>
    <t>Description</t>
  </si>
  <si>
    <t>A remplir par l'autorité cantonale</t>
  </si>
  <si>
    <t>Déficit, indicatif</t>
  </si>
  <si>
    <r>
      <t>Volume stocké sous forme de litière profonde [m</t>
    </r>
    <r>
      <rPr>
        <vertAlign val="superscript"/>
        <sz val="11"/>
        <color theme="1"/>
        <rFont val="Calibri"/>
        <family val="2"/>
        <scheme val="minor"/>
      </rPr>
      <t>3</t>
    </r>
    <r>
      <rPr>
        <sz val="11"/>
        <color theme="1"/>
        <rFont val="Calibri"/>
        <family val="2"/>
        <scheme val="minor"/>
      </rPr>
      <t>]</t>
    </r>
  </si>
  <si>
    <r>
      <t>Production mensuelle de fumier théorique [m</t>
    </r>
    <r>
      <rPr>
        <vertAlign val="superscript"/>
        <sz val="11"/>
        <color theme="1"/>
        <rFont val="Calibri"/>
        <family val="2"/>
        <scheme val="minor"/>
      </rPr>
      <t>3</t>
    </r>
    <r>
      <rPr>
        <sz val="11"/>
        <color theme="1"/>
        <rFont val="Calibri"/>
        <family val="2"/>
        <scheme val="minor"/>
      </rPr>
      <t>]</t>
    </r>
  </si>
  <si>
    <r>
      <t>Production mensuelle de fumier selon renouvellement de la litière profonde [m</t>
    </r>
    <r>
      <rPr>
        <vertAlign val="superscript"/>
        <sz val="11"/>
        <color theme="1"/>
        <rFont val="Calibri"/>
        <family val="2"/>
        <scheme val="minor"/>
      </rPr>
      <t>3</t>
    </r>
    <r>
      <rPr>
        <sz val="11"/>
        <color theme="1"/>
        <rFont val="Calibri"/>
        <family val="2"/>
        <scheme val="minor"/>
      </rPr>
      <t>]</t>
    </r>
  </si>
  <si>
    <t xml:space="preserve">Inventaire de l'entier de l'exploitation pour contrôle du bilan d'engrais et dimensionnement de la fosse et de la fumière.
Indiquer le nombre de places disponibles après réalisation du projet (ou effectif réel) pour l'entier de l'exploitation ou de la communauté d'exploitation, ainsi que le(s) système(s) de détention. </t>
  </si>
  <si>
    <t>52a</t>
  </si>
  <si>
    <t>Installations de stockage d'engrais de ferme
Exploitation à l'année</t>
  </si>
  <si>
    <r>
      <t>Production mensuelle de purin [m</t>
    </r>
    <r>
      <rPr>
        <vertAlign val="superscript"/>
        <sz val="11"/>
        <color theme="1"/>
        <rFont val="Calibri"/>
        <family val="2"/>
        <scheme val="minor"/>
      </rPr>
      <t>3</t>
    </r>
    <r>
      <rPr>
        <sz val="11"/>
        <color theme="1"/>
        <rFont val="Calibri"/>
        <family val="2"/>
        <scheme val="minor"/>
      </rPr>
      <t>]</t>
    </r>
  </si>
  <si>
    <t xml:space="preserve"> ­ Direction de l’environnement industriel, urbain et rural (DIREV), Section protection de l'air.</t>
  </si>
  <si>
    <t>Altitude</t>
  </si>
  <si>
    <t>entre 600 et 1000 m</t>
  </si>
  <si>
    <t>moins de 600 m</t>
  </si>
  <si>
    <t>plus de 1000 m</t>
  </si>
  <si>
    <t>Animaux absents (p. ex. estivage) [UGBF]*</t>
  </si>
  <si>
    <t>*Quels animaux sont absents (Nombre et type de bêtes, p. ex. "4 vaches laitières")</t>
  </si>
  <si>
    <t>Autres surfaces (fosse ouverte, etc.)  </t>
  </si>
  <si>
    <r>
      <t>Production mensuelle eaux usées domestiques [m</t>
    </r>
    <r>
      <rPr>
        <vertAlign val="superscript"/>
        <sz val="11"/>
        <color theme="1"/>
        <rFont val="Calibri"/>
        <family val="2"/>
        <scheme val="minor"/>
      </rPr>
      <t>3</t>
    </r>
    <r>
      <rPr>
        <sz val="11"/>
        <color theme="1"/>
        <rFont val="Calibri"/>
        <family val="2"/>
        <scheme val="minor"/>
      </rPr>
      <t>]</t>
    </r>
  </si>
  <si>
    <r>
      <t>Future production mensuelle eaux exploitation [m</t>
    </r>
    <r>
      <rPr>
        <vertAlign val="superscript"/>
        <sz val="11"/>
        <color theme="1"/>
        <rFont val="Calibri"/>
        <family val="2"/>
        <scheme val="minor"/>
      </rPr>
      <t>3</t>
    </r>
    <r>
      <rPr>
        <sz val="11"/>
        <color theme="1"/>
        <rFont val="Calibri"/>
        <family val="2"/>
        <scheme val="minor"/>
      </rPr>
      <t>]</t>
    </r>
  </si>
  <si>
    <t>Futur taux de dilution des eaux usées ménagères</t>
  </si>
  <si>
    <t>Bilan:
Résultat négatif: surface additionnelle à construire.
Résultat positif: surface existante et/ou prévue suffisante</t>
  </si>
  <si>
    <t>JUSTIFICATION</t>
  </si>
  <si>
    <r>
      <t xml:space="preserve">Si la dilution est supérieure à la limite tolérée (&gt;3) ou s'il n'y a pas de production de purin, une autre solution d'assainissement doit être envisagée pour les </t>
    </r>
    <r>
      <rPr>
        <b/>
        <u/>
        <sz val="11"/>
        <color theme="1"/>
        <rFont val="Calibri"/>
        <family val="2"/>
        <scheme val="minor"/>
      </rPr>
      <t xml:space="preserve">eaux usées domestiques </t>
    </r>
  </si>
  <si>
    <t xml:space="preserve">Bilan:
Résultat négatif: volume additionnel à construire.
Résultat positif: volume existant et/ou prévu suffisant
Taux de dilution:
Si le taux de dilution des eaux usées est supérieur à 3, une autre solution d'assainissement doit être envisagée pour les eaux usées domestiques </t>
  </si>
  <si>
    <t>Installation de traite automatique - Nombre d'installations</t>
  </si>
  <si>
    <t>Choisir une option.</t>
  </si>
  <si>
    <t>Case pouvant être remplie ou modifiée.</t>
  </si>
  <si>
    <t>Passer la souris sur le coin rouge: Détail ou précision de l'autorité relativement aux informations à fournir.</t>
  </si>
  <si>
    <t>Coefficient t/m3</t>
  </si>
  <si>
    <r>
      <t>Densité moyenne du fumier [t/m</t>
    </r>
    <r>
      <rPr>
        <vertAlign val="superscript"/>
        <sz val="11"/>
        <color theme="1"/>
        <rFont val="Calibri"/>
        <family val="2"/>
        <scheme val="minor"/>
      </rPr>
      <t>3</t>
    </r>
    <r>
      <rPr>
        <sz val="11"/>
        <color theme="1"/>
        <rFont val="Calibri"/>
        <family val="2"/>
        <scheme val="minor"/>
      </rPr>
      <t>]</t>
    </r>
  </si>
  <si>
    <t>Durée avant renouvellement de la litière [mois]</t>
  </si>
  <si>
    <r>
      <t>Volume de fumier à stocker pour 6 mois [m</t>
    </r>
    <r>
      <rPr>
        <b/>
        <vertAlign val="superscript"/>
        <sz val="11"/>
        <color theme="1"/>
        <rFont val="Calibri"/>
        <family val="2"/>
        <scheme val="minor"/>
      </rPr>
      <t>3</t>
    </r>
    <r>
      <rPr>
        <b/>
        <sz val="11"/>
        <color theme="1"/>
        <rFont val="Calibri"/>
        <family val="2"/>
        <scheme val="minor"/>
      </rPr>
      <t>]</t>
    </r>
  </si>
  <si>
    <r>
      <t>Bilan [m</t>
    </r>
    <r>
      <rPr>
        <b/>
        <vertAlign val="superscript"/>
        <sz val="11"/>
        <color theme="1"/>
        <rFont val="Calibri"/>
        <family val="2"/>
        <scheme val="minor"/>
      </rPr>
      <t>2</t>
    </r>
    <r>
      <rPr>
        <b/>
        <sz val="11"/>
        <color theme="1"/>
        <rFont val="Calibri"/>
        <family val="2"/>
        <scheme val="minor"/>
      </rPr>
      <t>]</t>
    </r>
  </si>
  <si>
    <r>
      <t>Bilan [m</t>
    </r>
    <r>
      <rPr>
        <b/>
        <vertAlign val="superscript"/>
        <sz val="11"/>
        <color theme="1"/>
        <rFont val="Calibri"/>
        <family val="2"/>
        <scheme val="minor"/>
      </rPr>
      <t>3</t>
    </r>
    <r>
      <rPr>
        <b/>
        <sz val="11"/>
        <color theme="1"/>
        <rFont val="Calibri"/>
        <family val="2"/>
        <scheme val="minor"/>
      </rPr>
      <t>]</t>
    </r>
  </si>
  <si>
    <r>
      <t>Volume de stockage total nécessaire [m</t>
    </r>
    <r>
      <rPr>
        <b/>
        <vertAlign val="superscript"/>
        <sz val="11"/>
        <color theme="1"/>
        <rFont val="Calibri"/>
        <family val="2"/>
        <scheme val="minor"/>
      </rPr>
      <t>3</t>
    </r>
    <r>
      <rPr>
        <b/>
        <sz val="11"/>
        <color theme="1"/>
        <rFont val="Calibri"/>
        <family val="2"/>
        <scheme val="minor"/>
      </rPr>
      <t>]</t>
    </r>
  </si>
  <si>
    <r>
      <rPr>
        <b/>
        <sz val="11"/>
        <color theme="1"/>
        <rFont val="Calibri"/>
        <family val="2"/>
        <scheme val="minor"/>
      </rPr>
      <t xml:space="preserve">Direction générale
de l’environnement (DGE)
</t>
    </r>
    <r>
      <rPr>
        <sz val="11"/>
        <color theme="1"/>
        <rFont val="Calibri"/>
        <family val="2"/>
        <scheme val="minor"/>
      </rPr>
      <t>Assainissement urbain et rural (AUR)
Ch. des Boveresses 155
Case postale 33
1066 Epalinges</t>
    </r>
  </si>
  <si>
    <t>Nombre d'exemplaires requis: 2</t>
  </si>
  <si>
    <r>
      <t xml:space="preserve">Imprimer chaque feuille séparément, sauf intro (Onglets A-G)
Choisir l'option "Ajuster la feuille à une page" dans la boite de dialogue, voir image ci-contre.
</t>
    </r>
    <r>
      <rPr>
        <b/>
        <u/>
        <sz val="11"/>
        <color theme="1"/>
        <rFont val="Calibri"/>
        <family val="2"/>
        <scheme val="minor"/>
      </rPr>
      <t xml:space="preserve">
Le document est à imprimer en 2 exemplaires et à remettre en version xls via la CAMAC.</t>
    </r>
  </si>
  <si>
    <r>
      <t>Aire(s) d'exercice [m</t>
    </r>
    <r>
      <rPr>
        <b/>
        <vertAlign val="superscript"/>
        <sz val="11"/>
        <color theme="1"/>
        <rFont val="Calibri"/>
        <family val="2"/>
        <scheme val="minor"/>
      </rPr>
      <t>2</t>
    </r>
    <r>
      <rPr>
        <b/>
        <sz val="11"/>
        <color theme="1"/>
        <rFont val="Calibri"/>
        <family val="2"/>
        <scheme val="minor"/>
      </rPr>
      <t>]</t>
    </r>
    <r>
      <rPr>
        <sz val="11"/>
        <color theme="1"/>
        <rFont val="Calibri"/>
        <family val="2"/>
        <scheme val="minor"/>
      </rPr>
      <t xml:space="preserve">
étanches, non couverte(s)</t>
    </r>
  </si>
  <si>
    <t>Aire(s) d'exercice: Coordonnée X</t>
  </si>
  <si>
    <t>Aire(s) d'exercice: Coordonnée Y</t>
  </si>
  <si>
    <t>Aire d'exercice étanche non couverte prévue par le projet</t>
  </si>
  <si>
    <t>Eaux usées domestiques (habitation et activités annexes)</t>
  </si>
  <si>
    <t>Buvette, table d'hôte - Nombre de places assises</t>
  </si>
  <si>
    <t>Fumière(s) : Coordonnée X</t>
  </si>
  <si>
    <t>Fumière(s) : Coordonnée Y</t>
  </si>
  <si>
    <t>Contrats d'engrais de ferme</t>
  </si>
  <si>
    <t>Exportation vers</t>
  </si>
  <si>
    <t>Numéro d'exploitation</t>
  </si>
  <si>
    <t>Kilos d'azote [Kg N]</t>
  </si>
  <si>
    <t>UGBF (Art. 23 OEaux)</t>
  </si>
  <si>
    <t>Importation depuis</t>
  </si>
  <si>
    <t>Département de l’environnement et de la sécurité, Direction générale de l’environnement (DGE), Direction de l’environnement industriel, urbain et rural (DIREV), Section assainissement urbain et rural.
Chemin des Boveresses 155, 1066 Epalinges
Tél. 021 316 43 60</t>
  </si>
  <si>
    <t>Chambre à lait - Nombre d'agrégats</t>
  </si>
  <si>
    <t>Installation de traite à pots - Nombre d'agrégats</t>
  </si>
  <si>
    <t>Installation de traite directe - Nombre d'agrégats</t>
  </si>
  <si>
    <t>Nombres de sanitaires simples raccordés à la fosse</t>
  </si>
  <si>
    <t>Coeff Fumier [t/an]</t>
  </si>
  <si>
    <r>
      <t>Incomplet</t>
    </r>
    <r>
      <rPr>
        <i/>
        <sz val="11"/>
        <color theme="1"/>
        <rFont val="Calibri"/>
        <family val="2"/>
        <scheme val="minor"/>
      </rPr>
      <t>*</t>
    </r>
  </si>
  <si>
    <t>Zone de montagne I</t>
  </si>
  <si>
    <t>Zone de montagne II</t>
  </si>
  <si>
    <t>Zone de montagne III</t>
  </si>
  <si>
    <t xml:space="preserve">Zone de montagne IV </t>
  </si>
  <si>
    <t>Brebis laitières</t>
  </si>
  <si>
    <t>Moutons/chevreaux de 180 à 365 j.</t>
  </si>
  <si>
    <t>Agneaux/cabris jusqu'à 180 j.</t>
  </si>
  <si>
    <t>Salle de traite - Nombre de places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</si>
</sst>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rgb="FF9C6500"/>
      <name val="Calibri"/>
      <family val="2"/>
      <scheme val="minor"/>
    </font>
    <font>
      <b/>
      <sz val="11"/>
      <color theme="1"/>
      <name val="Calibri"/>
      <family val="2"/>
      <scheme val="minor"/>
    </font>
    <font>
      <vertAlign val="superscript"/>
      <sz val="11"/>
      <color theme="1"/>
      <name val="Calibri"/>
      <family val="2"/>
      <scheme val="minor"/>
    </font>
    <font>
      <i/>
      <sz val="11"/>
      <color theme="1"/>
      <name val="Calibri"/>
      <family val="2"/>
      <scheme val="minor"/>
    </font>
    <font>
      <b/>
      <u/>
      <sz val="11"/>
      <color theme="1"/>
      <name val="Calibri"/>
      <family val="2"/>
      <scheme val="minor"/>
    </font>
    <font>
      <u/>
      <sz val="11"/>
      <color theme="1"/>
      <name val="Calibri"/>
      <family val="2"/>
      <scheme val="minor"/>
    </font>
    <font>
      <b/>
      <sz val="11"/>
      <name val="Calibri"/>
      <family val="2"/>
      <scheme val="minor"/>
    </font>
    <font>
      <b/>
      <vertAlign val="superscript"/>
      <sz val="11"/>
      <color theme="1"/>
      <name val="Calibri"/>
      <family val="2"/>
      <scheme val="minor"/>
    </font>
    <font>
      <sz val="11"/>
      <color theme="1"/>
      <name val="Calibri"/>
      <family val="2"/>
      <scheme val="minor"/>
    </font>
    <font>
      <b/>
      <u/>
      <vertAlign val="superscript"/>
      <sz val="11"/>
      <color theme="1"/>
      <name val="Calibri"/>
      <family val="2"/>
      <scheme val="minor"/>
    </font>
    <font>
      <b/>
      <u/>
      <sz val="11"/>
      <name val="Calibri"/>
      <family val="2"/>
      <scheme val="minor"/>
    </font>
    <font>
      <sz val="11"/>
      <name val="Calibri"/>
      <family val="2"/>
      <scheme val="minor"/>
    </font>
    <font>
      <b/>
      <u/>
      <sz val="11"/>
      <color theme="0" tint="-4.9989318521683403E-2"/>
      <name val="Calibri"/>
      <family val="2"/>
      <scheme val="minor"/>
    </font>
    <font>
      <sz val="11"/>
      <color theme="0" tint="-4.9989318521683403E-2"/>
      <name val="Calibri"/>
      <family val="2"/>
      <scheme val="minor"/>
    </font>
    <font>
      <b/>
      <sz val="16"/>
      <color theme="1"/>
      <name val="Calibri"/>
      <family val="2"/>
      <scheme val="minor"/>
    </font>
    <font>
      <sz val="11"/>
      <color rgb="FF9C0006"/>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20"/>
      <color theme="1"/>
      <name val="Calibri"/>
      <family val="2"/>
      <scheme val="minor"/>
    </font>
    <font>
      <sz val="16"/>
      <color theme="1"/>
      <name val="Calibri"/>
      <family val="2"/>
      <scheme val="minor"/>
    </font>
    <font>
      <b/>
      <u/>
      <sz val="16"/>
      <color theme="1"/>
      <name val="Calibri"/>
      <family val="2"/>
      <scheme val="minor"/>
    </font>
    <font>
      <b/>
      <u/>
      <sz val="14"/>
      <color theme="1"/>
      <name val="Calibri"/>
      <family val="2"/>
      <scheme val="minor"/>
    </font>
    <font>
      <i/>
      <vertAlign val="superscript"/>
      <sz val="11"/>
      <color theme="1"/>
      <name val="Calibri"/>
      <family val="2"/>
      <scheme val="minor"/>
    </font>
    <font>
      <b/>
      <i/>
      <sz val="11"/>
      <color theme="1"/>
      <name val="Calibri"/>
      <family val="2"/>
      <scheme val="minor"/>
    </font>
    <font>
      <sz val="10"/>
      <color indexed="81"/>
      <name val="Tahoma"/>
      <family val="2"/>
    </font>
    <font>
      <i/>
      <sz val="11"/>
      <color rgb="FFFF0000"/>
      <name val="Calibri"/>
      <family val="2"/>
      <scheme val="minor"/>
    </font>
    <font>
      <b/>
      <sz val="11"/>
      <color rgb="FFFF0000"/>
      <name val="Calibri"/>
      <family val="2"/>
      <scheme val="minor"/>
    </font>
    <font>
      <sz val="10"/>
      <color theme="1"/>
      <name val="Arial"/>
      <family val="2"/>
    </font>
  </fonts>
  <fills count="6">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C7CE"/>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14996795556505021"/>
      </right>
      <top style="thin">
        <color indexed="64"/>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rgb="FFFF0000"/>
      </left>
      <right style="thin">
        <color rgb="FFFF0000"/>
      </right>
      <top style="thin">
        <color rgb="FFFF0000"/>
      </top>
      <bottom style="thin">
        <color rgb="FFFF0000"/>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indexed="64"/>
      </right>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thin">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right style="thin">
        <color theme="0" tint="-0.14996795556505021"/>
      </right>
      <top style="thin">
        <color indexed="64"/>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indexed="64"/>
      </right>
      <top/>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indexed="64"/>
      </right>
      <top style="thin">
        <color indexed="64"/>
      </top>
      <bottom/>
      <diagonal/>
    </border>
    <border>
      <left/>
      <right style="thin">
        <color theme="0" tint="-0.24994659260841701"/>
      </right>
      <top style="thin">
        <color indexed="64"/>
      </top>
      <bottom/>
      <diagonal/>
    </border>
    <border>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indexed="64"/>
      </bottom>
      <diagonal/>
    </border>
    <border>
      <left style="thin">
        <color theme="0" tint="-0.24994659260841701"/>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6" fillId="5" borderId="0" applyNumberFormat="0" applyBorder="0" applyAlignment="0" applyProtection="0"/>
    <xf numFmtId="9" fontId="9" fillId="0" borderId="0" applyFont="0" applyFill="0" applyBorder="0" applyAlignment="0" applyProtection="0"/>
  </cellStyleXfs>
  <cellXfs count="361">
    <xf numFmtId="0" fontId="0" fillId="0" borderId="0" xfId="0"/>
    <xf numFmtId="0" fontId="0" fillId="0" borderId="0" xfId="0" applyAlignment="1">
      <alignment wrapText="1"/>
    </xf>
    <xf numFmtId="0" fontId="15" fillId="0" borderId="0" xfId="0" applyFont="1"/>
    <xf numFmtId="0" fontId="12" fillId="3" borderId="2" xfId="1" applyFont="1" applyFill="1" applyBorder="1" applyAlignment="1" applyProtection="1">
      <alignment horizontal="center" vertical="center"/>
    </xf>
    <xf numFmtId="0" fontId="1" fillId="4" borderId="1" xfId="1" applyFont="1" applyFill="1" applyBorder="1" applyAlignment="1" applyProtection="1">
      <alignment horizontal="center" vertical="center"/>
      <protection locked="0"/>
    </xf>
    <xf numFmtId="0" fontId="0" fillId="0" borderId="47" xfId="0" applyBorder="1" applyAlignment="1">
      <alignment horizontal="center" vertical="center"/>
    </xf>
    <xf numFmtId="0" fontId="0" fillId="4" borderId="48" xfId="0" applyFill="1" applyBorder="1" applyAlignment="1" applyProtection="1">
      <alignment horizontal="center" vertical="center"/>
      <protection locked="0"/>
    </xf>
    <xf numFmtId="164" fontId="0" fillId="0" borderId="1" xfId="0" applyNumberFormat="1" applyFont="1" applyBorder="1" applyAlignment="1">
      <alignment horizontal="center" vertical="center"/>
    </xf>
    <xf numFmtId="0" fontId="17" fillId="5" borderId="1" xfId="2" applyFont="1" applyBorder="1" applyAlignment="1">
      <alignment horizontal="center" vertical="center"/>
    </xf>
    <xf numFmtId="0" fontId="0" fillId="0" borderId="0" xfId="0" applyFont="1" applyAlignment="1">
      <alignment horizontal="center" vertical="center"/>
    </xf>
    <xf numFmtId="0" fontId="1" fillId="4" borderId="0" xfId="1" applyFont="1" applyFill="1" applyBorder="1" applyAlignment="1" applyProtection="1">
      <alignment horizontal="center" wrapText="1"/>
      <protection locked="0"/>
    </xf>
    <xf numFmtId="0" fontId="0" fillId="0" borderId="0" xfId="0" applyAlignment="1">
      <alignment horizontal="right" wrapText="1"/>
    </xf>
    <xf numFmtId="0" fontId="0" fillId="0" borderId="0" xfId="0"/>
    <xf numFmtId="0" fontId="0" fillId="0" borderId="0" xfId="0" applyAlignment="1">
      <alignment wrapText="1"/>
    </xf>
    <xf numFmtId="0" fontId="0" fillId="0" borderId="0" xfId="0" applyAlignment="1">
      <alignment horizontal="left" vertical="center" wrapText="1"/>
    </xf>
    <xf numFmtId="0" fontId="0" fillId="0" borderId="21" xfId="0" applyFill="1" applyBorder="1" applyAlignment="1">
      <alignment horizontal="left" vertical="center" wrapText="1"/>
    </xf>
    <xf numFmtId="14" fontId="2" fillId="0" borderId="0" xfId="0" applyNumberFormat="1" applyFont="1" applyAlignment="1">
      <alignment horizontal="left" wrapText="1"/>
    </xf>
    <xf numFmtId="0" fontId="2" fillId="3" borderId="3" xfId="0" applyFont="1" applyFill="1" applyBorder="1" applyAlignment="1" applyProtection="1">
      <alignment horizontal="left" vertical="center" wrapText="1"/>
    </xf>
    <xf numFmtId="0" fontId="2" fillId="3" borderId="3" xfId="0" applyFont="1" applyFill="1" applyBorder="1" applyAlignment="1" applyProtection="1">
      <alignment horizontal="center" vertical="center" wrapText="1"/>
    </xf>
    <xf numFmtId="0" fontId="0" fillId="0" borderId="0" xfId="0" applyAlignment="1">
      <alignment vertical="center" wrapText="1"/>
    </xf>
    <xf numFmtId="0" fontId="0" fillId="0" borderId="21" xfId="0" applyFill="1" applyBorder="1" applyAlignment="1">
      <alignmen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0" fillId="4" borderId="42" xfId="0" applyFill="1" applyBorder="1" applyAlignment="1" applyProtection="1">
      <alignment horizontal="center" vertical="center" wrapText="1"/>
      <protection locked="0"/>
    </xf>
    <xf numFmtId="164" fontId="2" fillId="3" borderId="1" xfId="1" applyNumberFormat="1" applyFont="1" applyFill="1" applyBorder="1" applyAlignment="1">
      <alignment horizontal="center" vertical="center" wrapText="1"/>
    </xf>
    <xf numFmtId="0" fontId="0" fillId="4" borderId="43"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2" fillId="3" borderId="60" xfId="0" applyFont="1" applyFill="1" applyBorder="1" applyAlignment="1">
      <alignment vertical="center" wrapText="1"/>
    </xf>
    <xf numFmtId="0" fontId="2" fillId="0" borderId="72" xfId="0" applyFont="1" applyBorder="1" applyAlignment="1">
      <alignment horizontal="center" vertical="center" wrapText="1"/>
    </xf>
    <xf numFmtId="0" fontId="4" fillId="3" borderId="65" xfId="0" applyFont="1" applyFill="1" applyBorder="1" applyAlignment="1">
      <alignment vertical="center" wrapText="1"/>
    </xf>
    <xf numFmtId="0" fontId="0" fillId="3" borderId="65" xfId="0" applyFont="1" applyFill="1" applyBorder="1" applyAlignment="1">
      <alignment vertical="center" wrapText="1"/>
    </xf>
    <xf numFmtId="0" fontId="2" fillId="3" borderId="1" xfId="0" applyFont="1" applyFill="1" applyBorder="1" applyAlignment="1">
      <alignment horizontal="center" vertical="center" wrapText="1"/>
    </xf>
    <xf numFmtId="0" fontId="11" fillId="3" borderId="4" xfId="1" applyFont="1" applyFill="1" applyBorder="1" applyAlignment="1">
      <alignment horizontal="center" vertical="center" wrapText="1"/>
    </xf>
    <xf numFmtId="0" fontId="0" fillId="0" borderId="0" xfId="0" applyAlignment="1">
      <alignment horizontal="center" vertical="center" wrapText="1"/>
    </xf>
    <xf numFmtId="14" fontId="2" fillId="0" borderId="0" xfId="0" applyNumberFormat="1" applyFont="1" applyAlignment="1">
      <alignment horizontal="left" vertical="center" wrapText="1"/>
    </xf>
    <xf numFmtId="0" fontId="2" fillId="3" borderId="1" xfId="0" applyFont="1" applyFill="1" applyBorder="1" applyAlignment="1" applyProtection="1">
      <alignment horizontal="center" vertical="center" wrapText="1"/>
    </xf>
    <xf numFmtId="0" fontId="12" fillId="3" borderId="1" xfId="1" applyFont="1" applyFill="1" applyBorder="1" applyAlignment="1" applyProtection="1">
      <alignment horizontal="center" vertical="center" wrapText="1"/>
    </xf>
    <xf numFmtId="0" fontId="11" fillId="3" borderId="2" xfId="1" applyFont="1" applyFill="1" applyBorder="1" applyAlignment="1" applyProtection="1">
      <alignment horizontal="center" vertical="center" wrapText="1"/>
    </xf>
    <xf numFmtId="0" fontId="12" fillId="3" borderId="1" xfId="1" quotePrefix="1" applyFont="1" applyFill="1" applyBorder="1" applyAlignment="1" applyProtection="1">
      <alignment horizontal="center" vertical="center" wrapText="1"/>
    </xf>
    <xf numFmtId="0" fontId="0" fillId="0" borderId="0" xfId="0" applyAlignment="1" applyProtection="1">
      <alignment horizontal="left" vertical="center" wrapText="1"/>
    </xf>
    <xf numFmtId="0" fontId="2" fillId="0" borderId="21" xfId="0"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0" borderId="21" xfId="1" applyFont="1" applyFill="1" applyBorder="1" applyAlignment="1">
      <alignment horizontal="center" vertical="center" wrapText="1"/>
    </xf>
    <xf numFmtId="1" fontId="9" fillId="3" borderId="1" xfId="1" applyNumberFormat="1" applyFont="1" applyFill="1" applyBorder="1" applyAlignment="1">
      <alignment horizontal="center" vertical="center" wrapText="1"/>
    </xf>
    <xf numFmtId="0" fontId="1" fillId="4" borderId="1" xfId="1" applyFont="1" applyFill="1" applyBorder="1" applyAlignment="1" applyProtection="1">
      <alignment horizontal="center" vertical="center" wrapText="1"/>
      <protection locked="0"/>
    </xf>
    <xf numFmtId="1" fontId="2" fillId="0" borderId="2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 fillId="0" borderId="21" xfId="1" applyFont="1" applyFill="1" applyBorder="1" applyAlignment="1" applyProtection="1">
      <alignment horizontal="center" vertical="center" wrapText="1"/>
      <protection locked="0"/>
    </xf>
    <xf numFmtId="1" fontId="5" fillId="0" borderId="21" xfId="0" applyNumberFormat="1" applyFont="1" applyFill="1" applyBorder="1" applyAlignment="1">
      <alignment horizontal="center" vertical="center" wrapText="1"/>
    </xf>
    <xf numFmtId="1" fontId="1" fillId="4" borderId="1" xfId="1"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0" fontId="6" fillId="0" borderId="21" xfId="0" applyFont="1" applyFill="1" applyBorder="1" applyAlignment="1" applyProtection="1">
      <alignment horizontal="left" vertical="center" wrapText="1"/>
      <protection locked="0"/>
    </xf>
    <xf numFmtId="0" fontId="2" fillId="3" borderId="3" xfId="0" applyFont="1" applyFill="1" applyBorder="1" applyAlignment="1">
      <alignment horizontal="center" vertical="center" wrapText="1"/>
    </xf>
    <xf numFmtId="0" fontId="0" fillId="4" borderId="45" xfId="0" applyFill="1" applyBorder="1" applyAlignment="1" applyProtection="1">
      <alignment horizontal="center" vertical="center" wrapText="1"/>
      <protection locked="0"/>
    </xf>
    <xf numFmtId="164" fontId="2" fillId="3" borderId="25" xfId="1" applyNumberFormat="1" applyFont="1" applyFill="1" applyBorder="1" applyAlignment="1">
      <alignment horizontal="center" vertical="center" wrapText="1"/>
    </xf>
    <xf numFmtId="0" fontId="0" fillId="4" borderId="46"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xf>
    <xf numFmtId="0" fontId="0" fillId="4" borderId="44" xfId="0" applyFill="1" applyBorder="1" applyAlignment="1" applyProtection="1">
      <alignment horizontal="center" vertical="center" wrapText="1"/>
      <protection locked="0"/>
    </xf>
    <xf numFmtId="164" fontId="5" fillId="3" borderId="1" xfId="1" applyNumberFormat="1"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wrapText="1"/>
    </xf>
    <xf numFmtId="0" fontId="2" fillId="3" borderId="1" xfId="0" applyFont="1" applyFill="1" applyBorder="1" applyAlignment="1">
      <alignment vertical="center" wrapText="1"/>
    </xf>
    <xf numFmtId="164" fontId="9" fillId="3" borderId="1" xfId="1" applyNumberFormat="1" applyFont="1" applyFill="1" applyBorder="1" applyAlignment="1">
      <alignment horizontal="center" vertical="center" wrapText="1"/>
    </xf>
    <xf numFmtId="0" fontId="5" fillId="0" borderId="0" xfId="0" applyFont="1" applyFill="1" applyAlignment="1">
      <alignment vertical="center" wrapText="1"/>
    </xf>
    <xf numFmtId="16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4" fillId="3" borderId="3" xfId="0" applyFont="1" applyFill="1" applyBorder="1" applyAlignment="1">
      <alignment horizontal="center" vertical="center" wrapText="1"/>
    </xf>
    <xf numFmtId="0" fontId="4" fillId="0" borderId="0" xfId="0" applyFont="1" applyAlignment="1">
      <alignment vertical="center" wrapText="1"/>
    </xf>
    <xf numFmtId="0" fontId="0" fillId="3" borderId="65" xfId="0" applyFill="1" applyBorder="1" applyAlignment="1">
      <alignment vertical="center" wrapText="1"/>
    </xf>
    <xf numFmtId="164" fontId="9" fillId="3" borderId="25" xfId="1" applyNumberFormat="1" applyFont="1" applyFill="1" applyBorder="1" applyAlignment="1">
      <alignment horizontal="center" vertical="center" wrapText="1"/>
    </xf>
    <xf numFmtId="164" fontId="9" fillId="3" borderId="24" xfId="1" applyNumberFormat="1" applyFont="1" applyFill="1" applyBorder="1" applyAlignment="1">
      <alignment horizontal="center" vertical="center" wrapText="1"/>
    </xf>
    <xf numFmtId="0" fontId="5" fillId="3" borderId="66" xfId="1" applyFont="1" applyFill="1" applyBorder="1" applyAlignment="1">
      <alignment vertical="center" wrapText="1"/>
    </xf>
    <xf numFmtId="164" fontId="5" fillId="3" borderId="70" xfId="1" applyNumberFormat="1" applyFont="1" applyFill="1" applyBorder="1" applyAlignment="1">
      <alignment horizontal="center" vertical="center" wrapText="1"/>
    </xf>
    <xf numFmtId="0" fontId="5" fillId="0" borderId="0" xfId="0" applyFont="1" applyAlignment="1">
      <alignment vertical="center" wrapText="1"/>
    </xf>
    <xf numFmtId="0" fontId="2" fillId="0" borderId="73" xfId="0" applyFont="1" applyBorder="1" applyAlignment="1">
      <alignment horizontal="center" vertical="center" wrapText="1"/>
    </xf>
    <xf numFmtId="0" fontId="5" fillId="3" borderId="62"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11" fillId="3" borderId="2" xfId="1" applyFont="1" applyFill="1" applyBorder="1" applyAlignment="1">
      <alignment horizontal="center" vertical="center" wrapText="1"/>
    </xf>
    <xf numFmtId="0" fontId="0" fillId="4" borderId="32" xfId="0" applyFill="1" applyBorder="1" applyAlignment="1" applyProtection="1">
      <alignment horizontal="center" vertical="center" wrapText="1"/>
      <protection locked="0"/>
    </xf>
    <xf numFmtId="0" fontId="0" fillId="0" borderId="20" xfId="0" applyBorder="1" applyAlignment="1">
      <alignment horizontal="center" vertical="center" wrapText="1"/>
    </xf>
    <xf numFmtId="164" fontId="12" fillId="3" borderId="1" xfId="1"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64" fontId="11" fillId="3" borderId="1" xfId="1" applyNumberFormat="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19"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23" xfId="1" applyFont="1" applyFill="1" applyBorder="1" applyAlignment="1">
      <alignment horizontal="center" vertical="center" wrapText="1"/>
    </xf>
    <xf numFmtId="0" fontId="0" fillId="3" borderId="3" xfId="0" applyFill="1" applyBorder="1" applyAlignment="1">
      <alignment horizontal="center" vertical="center" wrapText="1"/>
    </xf>
    <xf numFmtId="0" fontId="0" fillId="4" borderId="33" xfId="0" applyFill="1" applyBorder="1" applyAlignment="1" applyProtection="1">
      <alignment horizontal="center" vertical="center" wrapText="1"/>
      <protection locked="0"/>
    </xf>
    <xf numFmtId="0" fontId="0" fillId="4" borderId="34" xfId="0" applyFill="1" applyBorder="1" applyAlignment="1" applyProtection="1">
      <alignment horizontal="center" vertical="center" wrapText="1"/>
      <protection locked="0"/>
    </xf>
    <xf numFmtId="0" fontId="0" fillId="4" borderId="35" xfId="0" applyFill="1" applyBorder="1" applyAlignment="1" applyProtection="1">
      <alignment horizontal="center" vertical="center" wrapText="1"/>
      <protection locked="0"/>
    </xf>
    <xf numFmtId="0" fontId="0" fillId="4" borderId="58" xfId="0" applyFill="1" applyBorder="1" applyAlignment="1" applyProtection="1">
      <alignment horizontal="center" vertical="center" wrapText="1"/>
      <protection locked="0"/>
    </xf>
    <xf numFmtId="0" fontId="0" fillId="4" borderId="36" xfId="0" applyFill="1" applyBorder="1" applyAlignment="1" applyProtection="1">
      <alignment horizontal="center" vertical="center" wrapText="1"/>
      <protection locked="0"/>
    </xf>
    <xf numFmtId="0" fontId="0" fillId="4" borderId="37" xfId="0" applyFill="1" applyBorder="1" applyAlignment="1" applyProtection="1">
      <alignment horizontal="center" vertical="center" wrapText="1"/>
      <protection locked="0"/>
    </xf>
    <xf numFmtId="0" fontId="0" fillId="4" borderId="38"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39" xfId="0" applyFill="1" applyBorder="1" applyAlignment="1" applyProtection="1">
      <alignment horizontal="center" vertical="center" wrapText="1"/>
      <protection locked="0"/>
    </xf>
    <xf numFmtId="0" fontId="0" fillId="4" borderId="40" xfId="0" applyFill="1" applyBorder="1" applyAlignment="1" applyProtection="1">
      <alignment horizontal="center" vertical="center" wrapText="1"/>
      <protection locked="0"/>
    </xf>
    <xf numFmtId="0" fontId="0" fillId="4" borderId="41" xfId="0" applyFill="1" applyBorder="1" applyAlignment="1" applyProtection="1">
      <alignment horizontal="center" vertical="center" wrapText="1"/>
      <protection locked="0"/>
    </xf>
    <xf numFmtId="0" fontId="0" fillId="4" borderId="59" xfId="0" applyFill="1" applyBorder="1" applyAlignment="1" applyProtection="1">
      <alignment horizontal="center" vertical="center" wrapText="1"/>
      <protection locked="0"/>
    </xf>
    <xf numFmtId="0" fontId="13" fillId="3" borderId="67" xfId="1" applyFont="1" applyFill="1" applyBorder="1" applyAlignment="1">
      <alignment horizontal="center" vertical="center" wrapText="1"/>
    </xf>
    <xf numFmtId="0" fontId="14" fillId="3" borderId="68" xfId="1" applyFont="1" applyFill="1" applyBorder="1" applyAlignment="1">
      <alignment horizontal="center" vertical="center" wrapText="1"/>
    </xf>
    <xf numFmtId="164" fontId="5" fillId="3" borderId="69" xfId="1" applyNumberFormat="1" applyFont="1" applyFill="1" applyBorder="1" applyAlignment="1">
      <alignment horizontal="center" vertical="center" wrapText="1"/>
    </xf>
    <xf numFmtId="164" fontId="5" fillId="3" borderId="71" xfId="1" applyNumberFormat="1"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0" fillId="0" borderId="0" xfId="0" applyBorder="1" applyAlignment="1">
      <alignment horizontal="center" vertical="center"/>
    </xf>
    <xf numFmtId="0" fontId="0" fillId="3" borderId="1" xfId="0" applyFont="1" applyFill="1" applyBorder="1" applyAlignment="1">
      <alignment horizontal="center" vertical="center" wrapText="1"/>
    </xf>
    <xf numFmtId="0" fontId="0" fillId="4" borderId="1" xfId="0"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3" borderId="67" xfId="1" applyFont="1" applyFill="1" applyBorder="1" applyAlignment="1">
      <alignment horizontal="center" vertical="center" wrapText="1"/>
    </xf>
    <xf numFmtId="0" fontId="13" fillId="3" borderId="68" xfId="1" applyFont="1" applyFill="1" applyBorder="1" applyAlignment="1">
      <alignment horizontal="center" vertical="center" wrapText="1"/>
    </xf>
    <xf numFmtId="0" fontId="0" fillId="0" borderId="73" xfId="0" applyBorder="1" applyAlignment="1">
      <alignment horizontal="center" vertical="center" wrapText="1"/>
    </xf>
    <xf numFmtId="0" fontId="4" fillId="0" borderId="0" xfId="0" applyFont="1" applyBorder="1" applyAlignment="1">
      <alignment horizontal="center" vertical="center" wrapText="1"/>
    </xf>
    <xf numFmtId="0" fontId="0" fillId="0" borderId="73" xfId="0" applyBorder="1" applyAlignment="1">
      <alignment horizontal="center" vertical="center"/>
    </xf>
    <xf numFmtId="0" fontId="0" fillId="4" borderId="55" xfId="0" applyFill="1" applyBorder="1" applyAlignment="1" applyProtection="1">
      <alignment horizontal="center" vertical="center" wrapText="1"/>
      <protection locked="0"/>
    </xf>
    <xf numFmtId="0" fontId="0" fillId="4" borderId="56" xfId="0" applyFill="1" applyBorder="1" applyAlignment="1" applyProtection="1">
      <alignment horizontal="center" vertical="center" wrapText="1"/>
      <protection locked="0"/>
    </xf>
    <xf numFmtId="0" fontId="0" fillId="4" borderId="57" xfId="0" applyFill="1" applyBorder="1" applyAlignment="1" applyProtection="1">
      <alignment horizontal="center" vertical="center" wrapText="1"/>
      <protection locked="0"/>
    </xf>
    <xf numFmtId="0" fontId="13" fillId="3" borderId="67" xfId="1" applyFont="1" applyFill="1" applyBorder="1" applyAlignment="1" applyProtection="1">
      <alignment horizontal="center" vertical="center" wrapText="1"/>
      <protection locked="0"/>
    </xf>
    <xf numFmtId="164" fontId="0" fillId="4" borderId="49" xfId="0" applyNumberFormat="1" applyFill="1" applyBorder="1" applyAlignment="1" applyProtection="1">
      <alignment horizontal="center" vertical="center" wrapText="1"/>
      <protection locked="0"/>
    </xf>
    <xf numFmtId="164" fontId="0" fillId="4" borderId="50" xfId="0" applyNumberFormat="1" applyFill="1" applyBorder="1" applyAlignment="1" applyProtection="1">
      <alignment horizontal="center" vertical="center" wrapText="1"/>
      <protection locked="0"/>
    </xf>
    <xf numFmtId="14" fontId="2" fillId="0" borderId="0" xfId="0" applyNumberFormat="1" applyFont="1" applyFill="1" applyAlignment="1">
      <alignment horizontal="left" wrapText="1"/>
    </xf>
    <xf numFmtId="0" fontId="0" fillId="0" borderId="0" xfId="0" applyFill="1" applyAlignment="1">
      <alignment horizontal="left" wrapText="1"/>
    </xf>
    <xf numFmtId="0" fontId="0" fillId="0" borderId="0" xfId="0" applyFill="1" applyAlignment="1">
      <alignment wrapText="1"/>
    </xf>
    <xf numFmtId="0" fontId="2" fillId="3" borderId="1" xfId="0" applyFont="1" applyFill="1" applyBorder="1" applyAlignment="1">
      <alignment horizontal="center" vertical="center" wrapText="1"/>
    </xf>
    <xf numFmtId="0" fontId="14" fillId="3" borderId="79" xfId="1" applyFont="1" applyFill="1" applyBorder="1" applyAlignment="1">
      <alignment horizontal="center" vertical="center" wrapText="1"/>
    </xf>
    <xf numFmtId="0" fontId="14" fillId="3" borderId="80" xfId="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4" borderId="0" xfId="0" applyFill="1" applyBorder="1" applyAlignment="1" applyProtection="1">
      <alignment horizontal="center" vertical="center" wrapText="1"/>
      <protection locked="0"/>
    </xf>
    <xf numFmtId="0" fontId="0" fillId="0" borderId="0" xfId="0" applyFill="1" applyAlignment="1">
      <alignment vertical="center" wrapText="1"/>
    </xf>
    <xf numFmtId="14" fontId="2" fillId="0" borderId="0" xfId="0" applyNumberFormat="1" applyFont="1" applyAlignment="1" applyProtection="1">
      <alignment horizontal="left" vertical="center" wrapText="1"/>
    </xf>
    <xf numFmtId="14" fontId="0" fillId="0" borderId="0" xfId="0" applyNumberFormat="1" applyFont="1" applyAlignment="1" applyProtection="1">
      <alignment horizontal="left" vertical="center" wrapText="1"/>
    </xf>
    <xf numFmtId="0" fontId="0" fillId="0" borderId="21" xfId="0" applyFill="1" applyBorder="1" applyAlignment="1">
      <alignment horizontal="center" vertical="center" wrapText="1"/>
    </xf>
    <xf numFmtId="0" fontId="0" fillId="0" borderId="54" xfId="0" applyBorder="1" applyAlignment="1">
      <alignment vertical="center" wrapText="1"/>
    </xf>
    <xf numFmtId="0" fontId="20" fillId="0" borderId="0" xfId="0" applyFont="1"/>
    <xf numFmtId="164" fontId="0"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5"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wrapText="1"/>
      <protection locked="0"/>
    </xf>
    <xf numFmtId="164" fontId="5" fillId="3"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Fill="1" applyAlignment="1">
      <alignment horizontal="left" vertical="top" wrapText="1"/>
    </xf>
    <xf numFmtId="0" fontId="0" fillId="0" borderId="0" xfId="0" applyAlignment="1">
      <alignment horizontal="left" wrapText="1"/>
    </xf>
    <xf numFmtId="14" fontId="2" fillId="0" borderId="0" xfId="0" applyNumberFormat="1" applyFont="1" applyAlignment="1">
      <alignment horizontal="left" vertical="center" wrapText="1"/>
    </xf>
    <xf numFmtId="0" fontId="2" fillId="3" borderId="1" xfId="0" applyFont="1"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pplyAlignment="1">
      <alignment wrapText="1"/>
    </xf>
    <xf numFmtId="0" fontId="5" fillId="3" borderId="1" xfId="1" applyFont="1" applyFill="1" applyBorder="1" applyAlignment="1">
      <alignment horizontal="center" vertical="center" wrapText="1"/>
    </xf>
    <xf numFmtId="164" fontId="0" fillId="3" borderId="80"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3" borderId="67" xfId="1" applyFont="1" applyFill="1" applyBorder="1" applyAlignment="1">
      <alignment horizontal="center" vertical="center" wrapText="1"/>
    </xf>
    <xf numFmtId="0" fontId="0" fillId="4" borderId="82" xfId="0" applyFill="1" applyBorder="1" applyAlignment="1" applyProtection="1">
      <alignment horizontal="center" vertical="center" wrapText="1"/>
      <protection locked="0"/>
    </xf>
    <xf numFmtId="0" fontId="0" fillId="0" borderId="24" xfId="0" applyBorder="1"/>
    <xf numFmtId="0" fontId="6" fillId="0" borderId="0" xfId="0" applyFont="1" applyAlignment="1">
      <alignment horizontal="left" wrapText="1"/>
    </xf>
    <xf numFmtId="0" fontId="6" fillId="0" borderId="21" xfId="0" applyFont="1" applyFill="1" applyBorder="1" applyAlignment="1" applyProtection="1">
      <alignment horizontal="left" wrapText="1"/>
      <protection locked="0"/>
    </xf>
    <xf numFmtId="0" fontId="0" fillId="4" borderId="83" xfId="0" applyFill="1" applyBorder="1" applyAlignment="1" applyProtection="1">
      <alignment horizontal="center" vertical="center" wrapText="1"/>
      <protection locked="0"/>
    </xf>
    <xf numFmtId="0" fontId="0" fillId="4" borderId="84" xfId="0" applyFill="1" applyBorder="1" applyAlignment="1" applyProtection="1">
      <alignment horizontal="center" vertical="center" wrapText="1"/>
      <protection locked="0"/>
    </xf>
    <xf numFmtId="0" fontId="0" fillId="0" borderId="23" xfId="0" applyBorder="1"/>
    <xf numFmtId="2" fontId="2" fillId="0" borderId="1" xfId="0" applyNumberFormat="1" applyFont="1" applyBorder="1" applyAlignment="1">
      <alignment horizontal="center" vertical="center" wrapText="1"/>
    </xf>
    <xf numFmtId="1" fontId="9" fillId="3" borderId="1" xfId="1" applyNumberFormat="1" applyFont="1" applyFill="1" applyBorder="1" applyAlignment="1">
      <alignment horizontal="center" vertical="center" wrapText="1"/>
    </xf>
    <xf numFmtId="9" fontId="25" fillId="3" borderId="1" xfId="3" applyFont="1" applyFill="1" applyBorder="1" applyAlignment="1">
      <alignment horizontal="center" vertical="center" wrapText="1"/>
    </xf>
    <xf numFmtId="0" fontId="0" fillId="4" borderId="81" xfId="0"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xf>
    <xf numFmtId="0" fontId="4" fillId="4" borderId="45" xfId="0" applyFont="1" applyFill="1" applyBorder="1" applyAlignment="1" applyProtection="1">
      <alignment horizontal="center" vertical="center" wrapText="1"/>
      <protection locked="0"/>
    </xf>
    <xf numFmtId="1" fontId="9" fillId="3" borderId="1" xfId="1" applyNumberFormat="1" applyFont="1" applyFill="1" applyBorder="1" applyAlignment="1">
      <alignment horizontal="center" vertical="center" wrapText="1"/>
    </xf>
    <xf numFmtId="0" fontId="0" fillId="0" borderId="0" xfId="0" applyAlignment="1">
      <alignment horizontal="left" wrapText="1"/>
    </xf>
    <xf numFmtId="0" fontId="6" fillId="0" borderId="0" xfId="0" applyFont="1" applyAlignment="1">
      <alignment horizontal="left" wrapText="1"/>
    </xf>
    <xf numFmtId="0" fontId="2" fillId="3" borderId="6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4" borderId="65" xfId="0" applyFill="1" applyBorder="1" applyAlignment="1" applyProtection="1">
      <alignment horizontal="left" vertical="center" wrapText="1"/>
      <protection locked="0"/>
    </xf>
    <xf numFmtId="164" fontId="9" fillId="3" borderId="80" xfId="1" applyNumberFormat="1" applyFont="1" applyFill="1" applyBorder="1" applyAlignment="1">
      <alignment horizontal="center" vertical="center" wrapText="1"/>
    </xf>
    <xf numFmtId="0" fontId="2" fillId="0" borderId="20" xfId="0" applyFont="1" applyBorder="1" applyAlignment="1">
      <alignment horizontal="center" vertical="center" wrapText="1"/>
    </xf>
    <xf numFmtId="0" fontId="0" fillId="0" borderId="0" xfId="0" applyBorder="1"/>
    <xf numFmtId="0" fontId="0" fillId="0" borderId="0" xfId="0" applyFill="1" applyBorder="1" applyAlignment="1">
      <alignment horizontal="left" vertical="center" wrapText="1"/>
    </xf>
    <xf numFmtId="0" fontId="0" fillId="3"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49" fontId="0" fillId="0" borderId="0" xfId="0" applyNumberFormat="1"/>
    <xf numFmtId="14" fontId="0" fillId="0" borderId="0" xfId="0" applyNumberFormat="1" applyAlignment="1">
      <alignment horizontal="center" vertical="center" wrapText="1"/>
    </xf>
    <xf numFmtId="14" fontId="0" fillId="0" borderId="0" xfId="0" applyNumberFormat="1" applyAlignment="1">
      <alignment vertical="center" wrapText="1"/>
    </xf>
    <xf numFmtId="14" fontId="0" fillId="0" borderId="0" xfId="0" applyNumberFormat="1" applyAlignment="1">
      <alignment wrapText="1"/>
    </xf>
    <xf numFmtId="164" fontId="0" fillId="0" borderId="0" xfId="0" applyNumberFormat="1"/>
    <xf numFmtId="164" fontId="0" fillId="0" borderId="0" xfId="0" applyNumberFormat="1" applyAlignment="1">
      <alignment horizontal="center" vertical="center" wrapText="1"/>
    </xf>
    <xf numFmtId="164" fontId="0" fillId="0" borderId="0" xfId="0" applyNumberFormat="1" applyAlignment="1">
      <alignment vertical="center" wrapText="1"/>
    </xf>
    <xf numFmtId="0" fontId="2" fillId="3" borderId="3"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1" fillId="0" borderId="0" xfId="0" applyFont="1" applyAlignment="1">
      <alignment horizontal="center" vertical="top" wrapText="1"/>
    </xf>
    <xf numFmtId="0" fontId="0" fillId="0" borderId="0" xfId="0" applyFill="1" applyAlignment="1">
      <alignment wrapText="1"/>
    </xf>
    <xf numFmtId="0" fontId="0" fillId="0" borderId="0" xfId="0" applyAlignment="1">
      <alignment vertical="top" wrapText="1"/>
    </xf>
    <xf numFmtId="0" fontId="25" fillId="0" borderId="0" xfId="0" applyFont="1"/>
    <xf numFmtId="0" fontId="0" fillId="0" borderId="0" xfId="0" applyAlignment="1">
      <alignment vertical="top"/>
    </xf>
    <xf numFmtId="0" fontId="25" fillId="0" borderId="0" xfId="0" applyFont="1" applyAlignment="1">
      <alignment vertical="center"/>
    </xf>
    <xf numFmtId="0" fontId="2" fillId="3" borderId="3" xfId="0" applyFont="1" applyFill="1" applyBorder="1" applyAlignment="1" applyProtection="1">
      <alignment horizontal="center" vertical="center" wrapText="1"/>
    </xf>
    <xf numFmtId="0" fontId="0" fillId="0" borderId="0" xfId="0" applyAlignment="1">
      <alignment horizontal="left" vertical="center" wrapText="1"/>
    </xf>
    <xf numFmtId="1" fontId="0" fillId="4" borderId="51" xfId="0" applyNumberFormat="1" applyFill="1" applyBorder="1" applyAlignment="1" applyProtection="1">
      <alignment horizontal="center" vertical="center" wrapText="1"/>
      <protection locked="0"/>
    </xf>
    <xf numFmtId="1" fontId="0" fillId="4" borderId="52" xfId="0" applyNumberFormat="1" applyFill="1" applyBorder="1" applyAlignment="1" applyProtection="1">
      <alignment horizontal="center" vertical="center" wrapText="1"/>
      <protection locked="0"/>
    </xf>
    <xf numFmtId="1" fontId="0" fillId="4" borderId="53" xfId="0" applyNumberFormat="1" applyFill="1" applyBorder="1" applyAlignment="1" applyProtection="1">
      <alignment horizontal="center" vertical="center" wrapText="1"/>
      <protection locked="0"/>
    </xf>
    <xf numFmtId="3" fontId="0" fillId="4" borderId="51" xfId="0" applyNumberFormat="1" applyFill="1" applyBorder="1" applyAlignment="1" applyProtection="1">
      <alignment horizontal="center" vertical="center" wrapText="1"/>
      <protection locked="0"/>
    </xf>
    <xf numFmtId="3" fontId="0" fillId="4" borderId="52" xfId="0" applyNumberFormat="1" applyFill="1" applyBorder="1" applyAlignment="1" applyProtection="1">
      <alignment horizontal="center" vertical="center" wrapText="1"/>
      <protection locked="0"/>
    </xf>
    <xf numFmtId="3" fontId="0" fillId="4" borderId="53" xfId="0" applyNumberFormat="1" applyFill="1" applyBorder="1" applyAlignment="1" applyProtection="1">
      <alignment horizontal="center" vertical="center" wrapText="1"/>
      <protection locked="0"/>
    </xf>
    <xf numFmtId="3" fontId="0" fillId="4" borderId="29" xfId="0" applyNumberFormat="1" applyFill="1" applyBorder="1" applyAlignment="1" applyProtection="1">
      <alignment horizontal="center" vertical="center" wrapText="1"/>
      <protection locked="0"/>
    </xf>
    <xf numFmtId="3" fontId="0" fillId="4" borderId="30" xfId="0" applyNumberFormat="1" applyFill="1" applyBorder="1" applyAlignment="1" applyProtection="1">
      <alignment horizontal="center" vertical="center" wrapText="1"/>
      <protection locked="0"/>
    </xf>
    <xf numFmtId="3" fontId="0" fillId="4" borderId="31" xfId="0" applyNumberFormat="1" applyFill="1" applyBorder="1" applyAlignment="1" applyProtection="1">
      <alignment horizontal="center" vertical="center" wrapText="1"/>
      <protection locked="0"/>
    </xf>
    <xf numFmtId="1" fontId="0" fillId="4" borderId="26" xfId="0" applyNumberFormat="1" applyFill="1" applyBorder="1" applyAlignment="1" applyProtection="1">
      <alignment horizontal="center" vertical="center" wrapText="1"/>
      <protection locked="0"/>
    </xf>
    <xf numFmtId="1" fontId="0" fillId="4" borderId="27" xfId="0" applyNumberFormat="1" applyFill="1" applyBorder="1" applyAlignment="1" applyProtection="1">
      <alignment horizontal="center" vertical="center" wrapText="1"/>
      <protection locked="0"/>
    </xf>
    <xf numFmtId="1" fontId="0" fillId="4" borderId="28" xfId="0" applyNumberFormat="1" applyFill="1" applyBorder="1" applyAlignment="1" applyProtection="1">
      <alignment horizontal="center" vertical="center" wrapText="1"/>
      <protection locked="0"/>
    </xf>
    <xf numFmtId="3" fontId="0" fillId="4" borderId="87" xfId="0" applyNumberFormat="1" applyFill="1" applyBorder="1" applyAlignment="1" applyProtection="1">
      <alignment horizontal="center" vertical="center" wrapText="1"/>
      <protection locked="0"/>
    </xf>
    <xf numFmtId="3" fontId="0" fillId="4" borderId="88" xfId="0" applyNumberFormat="1" applyFill="1" applyBorder="1" applyAlignment="1" applyProtection="1">
      <alignment horizontal="center" vertical="center" wrapText="1"/>
      <protection locked="0"/>
    </xf>
    <xf numFmtId="3" fontId="0" fillId="4" borderId="89" xfId="0" applyNumberFormat="1" applyFill="1" applyBorder="1" applyAlignment="1" applyProtection="1">
      <alignment horizontal="center" vertical="center" wrapText="1"/>
      <protection locked="0"/>
    </xf>
    <xf numFmtId="3" fontId="0" fillId="4" borderId="90" xfId="0" applyNumberFormat="1" applyFill="1" applyBorder="1" applyAlignment="1" applyProtection="1">
      <alignment horizontal="center" vertical="center" wrapText="1"/>
      <protection locked="0"/>
    </xf>
    <xf numFmtId="3" fontId="0" fillId="4" borderId="91" xfId="0" applyNumberFormat="1" applyFill="1" applyBorder="1" applyAlignment="1" applyProtection="1">
      <alignment horizontal="center" vertical="center" wrapText="1"/>
      <protection locked="0"/>
    </xf>
    <xf numFmtId="3" fontId="0" fillId="4" borderId="92" xfId="0" applyNumberFormat="1" applyFill="1" applyBorder="1" applyAlignment="1" applyProtection="1">
      <alignment horizontal="center" vertical="center" wrapText="1"/>
      <protection locked="0"/>
    </xf>
    <xf numFmtId="14" fontId="2" fillId="0" borderId="0" xfId="0" applyNumberFormat="1" applyFont="1" applyAlignment="1">
      <alignment horizontal="left"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left" vertical="center" wrapText="1"/>
    </xf>
    <xf numFmtId="164" fontId="2" fillId="3" borderId="1" xfId="0" applyNumberFormat="1" applyFont="1" applyFill="1" applyBorder="1" applyAlignment="1">
      <alignment horizontal="center" vertical="center" wrapText="1"/>
    </xf>
    <xf numFmtId="164" fontId="0" fillId="0" borderId="6" xfId="0" applyNumberFormat="1" applyBorder="1" applyAlignment="1">
      <alignment horizontal="center" vertical="center" wrapText="1"/>
    </xf>
    <xf numFmtId="164" fontId="7" fillId="3" borderId="5" xfId="1" applyNumberFormat="1" applyFont="1" applyFill="1" applyBorder="1" applyAlignment="1">
      <alignment horizontal="center" vertical="center" wrapText="1"/>
    </xf>
    <xf numFmtId="164" fontId="12" fillId="3" borderId="5" xfId="1" applyNumberFormat="1" applyFont="1" applyFill="1" applyBorder="1" applyAlignment="1">
      <alignment horizontal="center" vertical="center" wrapText="1"/>
    </xf>
    <xf numFmtId="3" fontId="0" fillId="4" borderId="96" xfId="0" applyNumberFormat="1" applyFill="1" applyBorder="1" applyAlignment="1" applyProtection="1">
      <alignment horizontal="center" vertical="center" wrapText="1"/>
      <protection locked="0"/>
    </xf>
    <xf numFmtId="3" fontId="0" fillId="4" borderId="97" xfId="0" applyNumberFormat="1" applyFill="1" applyBorder="1" applyAlignment="1" applyProtection="1">
      <alignment horizontal="center" vertical="center" wrapText="1"/>
      <protection locked="0"/>
    </xf>
    <xf numFmtId="3" fontId="0" fillId="4" borderId="98" xfId="0" applyNumberFormat="1" applyFill="1" applyBorder="1" applyAlignment="1" applyProtection="1">
      <alignment horizontal="center" vertical="center" wrapText="1"/>
      <protection locked="0"/>
    </xf>
    <xf numFmtId="0" fontId="2" fillId="0" borderId="1" xfId="0" applyNumberFormat="1" applyFont="1" applyBorder="1" applyAlignment="1">
      <alignment horizontal="center" vertical="center" wrapText="1"/>
    </xf>
    <xf numFmtId="0" fontId="27" fillId="0" borderId="0" xfId="0" applyFont="1"/>
    <xf numFmtId="3" fontId="0" fillId="4" borderId="99" xfId="0" applyNumberFormat="1" applyFill="1" applyBorder="1" applyAlignment="1" applyProtection="1">
      <alignment horizontal="center" vertical="center" wrapText="1"/>
      <protection locked="0"/>
    </xf>
    <xf numFmtId="3" fontId="0" fillId="4" borderId="100" xfId="0" applyNumberFormat="1" applyFill="1" applyBorder="1" applyAlignment="1" applyProtection="1">
      <alignment horizontal="center" vertical="center" wrapText="1"/>
      <protection locked="0"/>
    </xf>
    <xf numFmtId="3" fontId="0" fillId="4" borderId="101" xfId="0" applyNumberFormat="1" applyFill="1" applyBorder="1" applyAlignment="1" applyProtection="1">
      <alignment horizontal="center" vertical="center" wrapText="1"/>
      <protection locked="0"/>
    </xf>
    <xf numFmtId="0" fontId="17" fillId="0" borderId="0" xfId="0" applyFont="1" applyAlignment="1">
      <alignment horizontal="center" vertical="center" wrapText="1"/>
    </xf>
    <xf numFmtId="14" fontId="28" fillId="0" borderId="0" xfId="0" applyNumberFormat="1" applyFont="1" applyAlignment="1" applyProtection="1">
      <alignment horizontal="left" vertical="center" wrapText="1"/>
    </xf>
    <xf numFmtId="0" fontId="2" fillId="0" borderId="0" xfId="0" applyFont="1" applyAlignment="1">
      <alignment wrapText="1"/>
    </xf>
    <xf numFmtId="0" fontId="2"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Alignment="1">
      <alignment horizontal="left" wrapText="1"/>
    </xf>
    <xf numFmtId="4" fontId="0" fillId="4" borderId="93" xfId="0" applyNumberFormat="1" applyFill="1" applyBorder="1" applyAlignment="1" applyProtection="1">
      <alignment horizontal="center" vertical="center" wrapText="1"/>
      <protection locked="0"/>
    </xf>
    <xf numFmtId="4" fontId="0" fillId="4" borderId="95" xfId="0" applyNumberFormat="1" applyFill="1" applyBorder="1" applyAlignment="1" applyProtection="1">
      <alignment horizontal="center" vertical="center" wrapText="1"/>
      <protection locked="0"/>
    </xf>
    <xf numFmtId="4" fontId="0" fillId="4" borderId="94" xfId="0" applyNumberFormat="1" applyFill="1" applyBorder="1" applyAlignment="1" applyProtection="1">
      <alignment horizontal="center" vertical="center" wrapText="1"/>
      <protection locked="0"/>
    </xf>
    <xf numFmtId="4" fontId="0" fillId="4" borderId="52" xfId="0" applyNumberFormat="1" applyFill="1" applyBorder="1" applyAlignment="1" applyProtection="1">
      <alignment horizontal="center" vertical="center" wrapText="1"/>
      <protection locked="0"/>
    </xf>
    <xf numFmtId="0" fontId="29" fillId="0" borderId="0" xfId="0" applyFont="1" applyAlignment="1">
      <alignment vertical="center"/>
    </xf>
    <xf numFmtId="0" fontId="0" fillId="0" borderId="0" xfId="0" applyFill="1" applyAlignment="1">
      <alignment horizontal="left" vertical="top" wrapText="1"/>
    </xf>
    <xf numFmtId="0" fontId="22" fillId="0" borderId="0" xfId="0" applyFon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quotePrefix="1" applyAlignment="1">
      <alignment horizontal="left" vertical="top" wrapText="1"/>
    </xf>
    <xf numFmtId="0" fontId="20" fillId="0" borderId="0" xfId="0" applyFont="1" applyAlignment="1">
      <alignment horizontal="center" vertical="top" wrapText="1"/>
    </xf>
    <xf numFmtId="0" fontId="21" fillId="0" borderId="0" xfId="0" applyFont="1" applyAlignment="1">
      <alignment horizontal="center" vertical="top" wrapText="1"/>
    </xf>
    <xf numFmtId="0" fontId="23" fillId="0" borderId="0" xfId="0" applyFont="1" applyFill="1" applyBorder="1" applyAlignment="1">
      <alignment wrapText="1"/>
    </xf>
    <xf numFmtId="0" fontId="0" fillId="4" borderId="3" xfId="0" applyFill="1" applyBorder="1" applyAlignment="1" applyProtection="1">
      <alignment horizontal="left" vertical="center" wrapText="1"/>
      <protection locked="0"/>
    </xf>
    <xf numFmtId="0" fontId="0" fillId="4" borderId="4" xfId="0" applyFill="1" applyBorder="1" applyAlignment="1" applyProtection="1">
      <alignment horizontal="left" vertical="center" wrapText="1"/>
      <protection locked="0"/>
    </xf>
    <xf numFmtId="0" fontId="0" fillId="4" borderId="5"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14" fontId="0" fillId="4" borderId="3" xfId="0" applyNumberFormat="1" applyFill="1" applyBorder="1" applyAlignment="1" applyProtection="1">
      <alignment horizontal="left" vertical="center" wrapText="1"/>
      <protection locked="0"/>
    </xf>
    <xf numFmtId="14" fontId="0" fillId="4" borderId="4" xfId="0" applyNumberFormat="1" applyFill="1" applyBorder="1" applyAlignment="1" applyProtection="1">
      <alignment horizontal="left" vertical="center" wrapText="1"/>
      <protection locked="0"/>
    </xf>
    <xf numFmtId="14" fontId="0" fillId="4" borderId="5" xfId="0" applyNumberFormat="1" applyFill="1" applyBorder="1" applyAlignment="1" applyProtection="1">
      <alignment horizontal="left" vertical="center" wrapText="1"/>
      <protection locked="0"/>
    </xf>
    <xf numFmtId="49" fontId="4" fillId="3" borderId="3" xfId="0" applyNumberFormat="1" applyFon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left" vertical="center" wrapText="1"/>
      <protection locked="0"/>
    </xf>
    <xf numFmtId="49" fontId="4" fillId="3" borderId="5" xfId="0" applyNumberFormat="1" applyFont="1" applyFill="1" applyBorder="1" applyAlignment="1" applyProtection="1">
      <alignment horizontal="left" vertical="center" wrapText="1"/>
      <protection locked="0"/>
    </xf>
    <xf numFmtId="14" fontId="2" fillId="0" borderId="0" xfId="0" applyNumberFormat="1" applyFont="1" applyAlignment="1" applyProtection="1">
      <alignment horizontal="left"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49" fontId="0" fillId="4" borderId="3" xfId="0" applyNumberFormat="1" applyFill="1" applyBorder="1" applyAlignment="1" applyProtection="1">
      <alignment horizontal="left" vertical="center" wrapText="1"/>
      <protection locked="0"/>
    </xf>
    <xf numFmtId="49" fontId="0" fillId="4" borderId="4" xfId="0" applyNumberFormat="1" applyFill="1" applyBorder="1" applyAlignment="1" applyProtection="1">
      <alignment horizontal="left" vertical="center" wrapText="1"/>
      <protection locked="0"/>
    </xf>
    <xf numFmtId="49" fontId="0" fillId="4" borderId="5" xfId="0" applyNumberFormat="1" applyFill="1" applyBorder="1" applyAlignment="1" applyProtection="1">
      <alignment horizontal="left" vertical="center" wrapText="1"/>
      <protection locked="0"/>
    </xf>
    <xf numFmtId="0" fontId="2" fillId="3" borderId="2"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1" fillId="3" borderId="3" xfId="1" applyFont="1" applyFill="1" applyBorder="1" applyAlignment="1">
      <alignment horizontal="left" vertical="center" wrapText="1"/>
    </xf>
    <xf numFmtId="0" fontId="11" fillId="3" borderId="4" xfId="1" applyFont="1" applyFill="1" applyBorder="1" applyAlignment="1">
      <alignment horizontal="left" vertical="center" wrapText="1"/>
    </xf>
    <xf numFmtId="14" fontId="2" fillId="0" borderId="0" xfId="0" applyNumberFormat="1" applyFont="1" applyAlignment="1">
      <alignment horizontal="left"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14" fontId="0" fillId="0" borderId="0" xfId="0" applyNumberFormat="1" applyAlignment="1">
      <alignment horizontal="left" vertical="center" wrapText="1"/>
    </xf>
    <xf numFmtId="0" fontId="7"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4" fontId="0" fillId="4" borderId="102" xfId="0" applyNumberFormat="1" applyFill="1" applyBorder="1" applyAlignment="1" applyProtection="1">
      <alignment horizontal="center" vertical="center" wrapText="1"/>
      <protection locked="0"/>
    </xf>
    <xf numFmtId="4" fontId="0" fillId="4" borderId="4" xfId="0" applyNumberFormat="1" applyFill="1" applyBorder="1" applyAlignment="1" applyProtection="1">
      <alignment horizontal="center" vertical="center" wrapText="1"/>
      <protection locked="0"/>
    </xf>
    <xf numFmtId="4" fontId="0" fillId="4" borderId="5" xfId="0" applyNumberFormat="1" applyFill="1" applyBorder="1" applyAlignment="1" applyProtection="1">
      <alignment horizontal="center" vertical="center" wrapText="1"/>
      <protection locked="0"/>
    </xf>
    <xf numFmtId="0" fontId="5" fillId="3" borderId="7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80" xfId="0" applyFont="1" applyFill="1" applyBorder="1" applyAlignment="1">
      <alignment horizontal="center" vertical="center" wrapText="1"/>
    </xf>
    <xf numFmtId="14" fontId="0" fillId="0" borderId="0" xfId="0" applyNumberFormat="1" applyFont="1" applyAlignment="1">
      <alignment horizontal="left"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0" fontId="2" fillId="3" borderId="85" xfId="0" applyFont="1" applyFill="1" applyBorder="1" applyAlignment="1">
      <alignment horizontal="left" vertical="center" wrapText="1"/>
    </xf>
    <xf numFmtId="0" fontId="2" fillId="3" borderId="86" xfId="0" applyFont="1" applyFill="1" applyBorder="1" applyAlignment="1">
      <alignment horizontal="left" vertical="center" wrapText="1"/>
    </xf>
    <xf numFmtId="0" fontId="2" fillId="3" borderId="6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77" xfId="0" applyFont="1" applyFill="1" applyBorder="1" applyAlignment="1">
      <alignment horizontal="center" vertical="center" wrapText="1"/>
    </xf>
    <xf numFmtId="0" fontId="2" fillId="3" borderId="63"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18" xfId="0" applyFont="1" applyFill="1" applyBorder="1" applyAlignment="1" applyProtection="1">
      <alignment horizontal="left" vertical="top" wrapText="1"/>
      <protection locked="0"/>
    </xf>
    <xf numFmtId="0" fontId="0" fillId="4" borderId="19"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0" fillId="4" borderId="20" xfId="0" applyFont="1" applyFill="1" applyBorder="1" applyAlignment="1" applyProtection="1">
      <alignment horizontal="left" vertical="top" wrapText="1"/>
      <protection locked="0"/>
    </xf>
    <xf numFmtId="0" fontId="0" fillId="4" borderId="0" xfId="0" applyFont="1" applyFill="1" applyBorder="1" applyAlignment="1" applyProtection="1">
      <alignment horizontal="left" vertical="top" wrapText="1"/>
      <protection locked="0"/>
    </xf>
    <xf numFmtId="0" fontId="0" fillId="4" borderId="21" xfId="0" applyFont="1" applyFill="1" applyBorder="1" applyAlignment="1" applyProtection="1">
      <alignment horizontal="left" vertical="top" wrapText="1"/>
      <protection locked="0"/>
    </xf>
    <xf numFmtId="0" fontId="0" fillId="4" borderId="22" xfId="0" applyFont="1" applyFill="1" applyBorder="1" applyAlignment="1" applyProtection="1">
      <alignment horizontal="left" vertical="top" wrapText="1"/>
      <protection locked="0"/>
    </xf>
    <xf numFmtId="0" fontId="0" fillId="4" borderId="23" xfId="0" applyFont="1" applyFill="1" applyBorder="1" applyAlignment="1" applyProtection="1">
      <alignment horizontal="left" vertical="top" wrapText="1"/>
      <protection locked="0"/>
    </xf>
    <xf numFmtId="0" fontId="0" fillId="4" borderId="24" xfId="0" applyFont="1" applyFill="1" applyBorder="1" applyAlignment="1" applyProtection="1">
      <alignment horizontal="left" vertical="top" wrapText="1"/>
      <protection locked="0"/>
    </xf>
    <xf numFmtId="0" fontId="6" fillId="0" borderId="23" xfId="0" applyFont="1" applyBorder="1" applyAlignment="1">
      <alignment horizontal="left" vertical="center" wrapText="1"/>
    </xf>
    <xf numFmtId="14" fontId="0" fillId="0" borderId="0" xfId="0" applyNumberFormat="1" applyFont="1" applyFill="1" applyAlignment="1">
      <alignment horizontal="left" wrapText="1"/>
    </xf>
    <xf numFmtId="0" fontId="0" fillId="0" borderId="0" xfId="0" applyFont="1" applyFill="1" applyAlignment="1">
      <alignment wrapText="1"/>
    </xf>
    <xf numFmtId="14" fontId="0" fillId="0" borderId="0" xfId="0" applyNumberFormat="1" applyFont="1" applyFill="1" applyAlignment="1">
      <alignment horizontal="left" vertical="top" wrapText="1"/>
    </xf>
    <xf numFmtId="0" fontId="0" fillId="0" borderId="0" xfId="0" applyFill="1" applyAlignment="1">
      <alignment vertical="top" wrapText="1"/>
    </xf>
    <xf numFmtId="0" fontId="0" fillId="0" borderId="0" xfId="0" applyFont="1" applyFill="1" applyAlignment="1">
      <alignment vertical="top" wrapText="1"/>
    </xf>
    <xf numFmtId="0" fontId="0" fillId="0" borderId="0" xfId="0" applyFill="1" applyAlignment="1">
      <alignment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164" fontId="0" fillId="4" borderId="3" xfId="0" applyNumberFormat="1" applyFill="1" applyBorder="1" applyAlignment="1" applyProtection="1">
      <alignment horizontal="center" vertical="center" wrapText="1"/>
      <protection locked="0"/>
    </xf>
    <xf numFmtId="164" fontId="0" fillId="4" borderId="4" xfId="0" applyNumberFormat="1" applyFill="1" applyBorder="1" applyAlignment="1" applyProtection="1">
      <alignment horizontal="center" vertical="center" wrapText="1"/>
      <protection locked="0"/>
    </xf>
    <xf numFmtId="164" fontId="0" fillId="4" borderId="5" xfId="0" applyNumberFormat="1" applyFill="1" applyBorder="1" applyAlignment="1" applyProtection="1">
      <alignment horizontal="center" vertical="center" wrapText="1"/>
      <protection locked="0"/>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4" borderId="3"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0" fontId="0" fillId="0" borderId="0" xfId="0" applyFont="1" applyFill="1" applyAlignment="1">
      <alignment horizontal="left" wrapText="1"/>
    </xf>
    <xf numFmtId="0" fontId="0" fillId="0" borderId="0" xfId="0" applyAlignment="1">
      <alignment horizontal="left" vertical="center" wrapText="1"/>
    </xf>
    <xf numFmtId="0" fontId="0" fillId="0" borderId="7"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0" fillId="0" borderId="14" xfId="0" applyFill="1" applyBorder="1" applyAlignment="1">
      <alignment horizontal="left" vertical="center" wrapText="1"/>
    </xf>
    <xf numFmtId="0" fontId="0" fillId="0" borderId="7" xfId="0" applyFill="1" applyBorder="1" applyAlignment="1">
      <alignment horizontal="left" vertical="top" wrapText="1"/>
    </xf>
    <xf numFmtId="0" fontId="0" fillId="0" borderId="9"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4" xfId="0" applyFill="1" applyBorder="1" applyAlignment="1">
      <alignment horizontal="left" vertical="top" wrapText="1"/>
    </xf>
    <xf numFmtId="0" fontId="18" fillId="0" borderId="0" xfId="0" applyFont="1" applyAlignment="1">
      <alignment horizontal="left" wrapText="1"/>
    </xf>
    <xf numFmtId="14" fontId="0" fillId="0" borderId="0" xfId="0" applyNumberFormat="1" applyFont="1" applyAlignment="1">
      <alignment horizontal="left" wrapText="1"/>
    </xf>
    <xf numFmtId="0" fontId="1" fillId="4" borderId="0" xfId="1" applyNumberFormat="1" applyFont="1" applyFill="1" applyBorder="1" applyAlignment="1" applyProtection="1">
      <alignment horizontal="center" wrapText="1"/>
    </xf>
    <xf numFmtId="14" fontId="2" fillId="0" borderId="0" xfId="0" applyNumberFormat="1" applyFont="1" applyAlignment="1">
      <alignment horizontal="left" wrapText="1"/>
    </xf>
    <xf numFmtId="0" fontId="1" fillId="4" borderId="0" xfId="1" applyFont="1" applyFill="1" applyBorder="1" applyAlignment="1" applyProtection="1">
      <alignment horizontal="center" wrapText="1"/>
      <protection locked="0"/>
    </xf>
    <xf numFmtId="0" fontId="1" fillId="4" borderId="0" xfId="1" applyFont="1" applyFill="1" applyBorder="1" applyAlignment="1" applyProtection="1">
      <alignment horizontal="center" wrapText="1"/>
    </xf>
    <xf numFmtId="0" fontId="0" fillId="0" borderId="0" xfId="0" applyAlignment="1">
      <alignment horizontal="left" wrapText="1"/>
    </xf>
  </cellXfs>
  <cellStyles count="4">
    <cellStyle name="Insatisfaisant" xfId="2" builtinId="27"/>
    <cellStyle name="Neutre" xfId="1" builtinId="28"/>
    <cellStyle name="Normal" xfId="0" builtinId="0"/>
    <cellStyle name="Pourcentage" xfId="3" builtinId="5"/>
  </cellStyles>
  <dxfs count="22">
    <dxf>
      <fill>
        <patternFill>
          <bgColor rgb="FFFFFF00"/>
        </patternFill>
      </fill>
    </dxf>
    <dxf>
      <font>
        <color rgb="FF9C0006"/>
      </font>
      <fill>
        <patternFill>
          <bgColor rgb="FFFFC7CE"/>
        </patternFill>
      </fill>
    </dxf>
    <dxf>
      <font>
        <color theme="6" tint="-0.499984740745262"/>
      </font>
      <fill>
        <patternFill>
          <bgColor theme="6" tint="0.59996337778862885"/>
        </patternFill>
      </fill>
    </dxf>
    <dxf>
      <fill>
        <patternFill>
          <bgColor theme="0" tint="-4.9989318521683403E-2"/>
        </patternFill>
      </fill>
    </dxf>
    <dxf>
      <font>
        <color auto="1"/>
      </font>
      <fill>
        <patternFill>
          <bgColor theme="0" tint="-4.9989318521683403E-2"/>
        </patternFill>
      </fill>
    </dxf>
    <dxf>
      <font>
        <color rgb="FF9C0006"/>
      </font>
      <fill>
        <patternFill>
          <bgColor rgb="FFFFC7CE"/>
        </patternFill>
      </fill>
    </dxf>
    <dxf>
      <font>
        <u/>
      </font>
      <fill>
        <patternFill>
          <bgColor theme="6" tint="0.59996337778862885"/>
        </patternFill>
      </fill>
    </dxf>
    <dxf>
      <font>
        <u/>
      </font>
      <fill>
        <patternFill>
          <bgColor theme="6" tint="0.59996337778862885"/>
        </patternFill>
      </fill>
    </dxf>
    <dxf>
      <font>
        <color rgb="FF9C5700"/>
      </font>
      <fill>
        <patternFill>
          <bgColor rgb="FFFFEB9C"/>
        </patternFill>
      </fill>
    </dxf>
    <dxf>
      <font>
        <color rgb="FF9C0006"/>
      </font>
      <fill>
        <patternFill>
          <bgColor rgb="FFFFC7CE"/>
        </patternFill>
      </fill>
    </dxf>
    <dxf>
      <fill>
        <patternFill>
          <bgColor theme="6" tint="0.59996337778862885"/>
        </patternFill>
      </fill>
    </dxf>
    <dxf>
      <font>
        <color rgb="FF9C0006"/>
      </font>
      <fill>
        <patternFill>
          <bgColor rgb="FFFFC7CE"/>
        </patternFill>
      </fill>
    </dxf>
    <dxf>
      <font>
        <color theme="6" tint="-0.499984740745262"/>
      </font>
      <fill>
        <patternFill>
          <bgColor theme="6" tint="0.59996337778862885"/>
        </patternFill>
      </fill>
    </dxf>
    <dxf>
      <fill>
        <patternFill>
          <bgColor theme="0" tint="-4.9989318521683403E-2"/>
        </patternFill>
      </fill>
    </dxf>
    <dxf>
      <font>
        <color auto="1"/>
      </font>
      <fill>
        <patternFill>
          <bgColor theme="0" tint="-4.9989318521683403E-2"/>
        </patternFill>
      </fill>
    </dxf>
    <dxf>
      <font>
        <color rgb="FF9C0006"/>
      </font>
      <fill>
        <patternFill>
          <bgColor rgb="FFFFC7CE"/>
        </patternFill>
      </fill>
    </dxf>
    <dxf>
      <fill>
        <patternFill>
          <bgColor theme="6" tint="0.59996337778862885"/>
        </patternFill>
      </fill>
    </dxf>
    <dxf>
      <font>
        <color rgb="FFFF0000"/>
      </font>
      <fill>
        <patternFill>
          <bgColor theme="5" tint="0.79998168889431442"/>
        </patternFill>
      </fill>
    </dxf>
    <dxf>
      <font>
        <color rgb="FF006100"/>
      </font>
      <fill>
        <patternFill>
          <bgColor rgb="FFC6EFCE"/>
        </patternFill>
      </fill>
    </dxf>
    <dxf>
      <fill>
        <patternFill>
          <bgColor theme="7" tint="0.59996337778862885"/>
        </patternFill>
      </fill>
    </dxf>
    <dxf>
      <font>
        <color rgb="FF9C0006"/>
      </font>
      <fill>
        <patternFill>
          <bgColor rgb="FFFFC7CE"/>
        </patternFill>
      </fill>
    </dxf>
    <dxf>
      <fill>
        <patternFill>
          <bgColor theme="6" tint="0.59996337778862885"/>
        </patternFill>
      </fill>
    </dxf>
  </dxfs>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190500</xdr:colOff>
      <xdr:row>20</xdr:row>
      <xdr:rowOff>22412</xdr:rowOff>
    </xdr:from>
    <xdr:to>
      <xdr:col>9</xdr:col>
      <xdr:colOff>22410</xdr:colOff>
      <xdr:row>42</xdr:row>
      <xdr:rowOff>56030</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5236347" y="6440035"/>
          <a:ext cx="3687571" cy="4088278"/>
          <a:chOff x="0" y="5829300"/>
          <a:chExt cx="2419350" cy="3533525"/>
        </a:xfrm>
      </xdr:grpSpPr>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5829300"/>
            <a:ext cx="2419350" cy="3533525"/>
          </a:xfrm>
          <a:prstGeom prst="rect">
            <a:avLst/>
          </a:prstGeom>
        </xdr:spPr>
      </xdr:pic>
      <xdr:sp macro="" textlink="">
        <xdr:nvSpPr>
          <xdr:cNvPr id="5" name="Ellipse 4">
            <a:extLst>
              <a:ext uri="{FF2B5EF4-FFF2-40B4-BE49-F238E27FC236}">
                <a16:creationId xmlns:a16="http://schemas.microsoft.com/office/drawing/2014/main" id="{00000000-0008-0000-0000-000005000000}"/>
              </a:ext>
            </a:extLst>
          </xdr:cNvPr>
          <xdr:cNvSpPr/>
        </xdr:nvSpPr>
        <xdr:spPr>
          <a:xfrm>
            <a:off x="0" y="8724900"/>
            <a:ext cx="2409825" cy="600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p>
        </xdr:txBody>
      </xdr:sp>
    </xdr:grpSp>
    <xdr:clientData/>
  </xdr:twoCellAnchor>
  <xdr:twoCellAnchor editAs="oneCell">
    <xdr:from>
      <xdr:col>1</xdr:col>
      <xdr:colOff>0</xdr:colOff>
      <xdr:row>46</xdr:row>
      <xdr:rowOff>50801</xdr:rowOff>
    </xdr:from>
    <xdr:to>
      <xdr:col>7</xdr:col>
      <xdr:colOff>495113</xdr:colOff>
      <xdr:row>71</xdr:row>
      <xdr:rowOff>114301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2230101"/>
          <a:ext cx="6447304" cy="4667250"/>
        </a:xfrm>
        <a:prstGeom prst="rect">
          <a:avLst/>
        </a:prstGeom>
        <a:ln w="6350">
          <a:solidFill>
            <a:schemeClr val="tx1"/>
          </a:solidFill>
        </a:ln>
      </xdr:spPr>
    </xdr:pic>
    <xdr:clientData/>
  </xdr:twoCellAnchor>
  <xdr:twoCellAnchor editAs="oneCell">
    <xdr:from>
      <xdr:col>0</xdr:col>
      <xdr:colOff>190500</xdr:colOff>
      <xdr:row>0</xdr:row>
      <xdr:rowOff>44824</xdr:rowOff>
    </xdr:from>
    <xdr:to>
      <xdr:col>0</xdr:col>
      <xdr:colOff>750682</xdr:colOff>
      <xdr:row>1</xdr:row>
      <xdr:rowOff>344858</xdr:rowOff>
    </xdr:to>
    <xdr:pic>
      <xdr:nvPicPr>
        <xdr:cNvPr id="8" name="Image 7">
          <a:extLst>
            <a:ext uri="{FF2B5EF4-FFF2-40B4-BE49-F238E27FC236}">
              <a16:creationId xmlns:a16="http://schemas.microsoft.com/office/drawing/2014/main" id="{A1379886-C6AC-402C-A838-417314D8F9C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44824"/>
          <a:ext cx="565897" cy="10060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Q52%20+%20Etanch&#233;it&#233;\Ajout%20Tableur\Q52a_ExploitationAnnee%20+table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Exploitation"/>
      <sheetName val="B.Surface"/>
      <sheetName val="C1.Animaux"/>
      <sheetName val="C2.Animaux"/>
      <sheetName val="D.Bilan Engrais"/>
      <sheetName val="E.Eaux usées"/>
      <sheetName val="F.Fosse et fumière"/>
      <sheetName val="G.Attestations"/>
    </sheetNames>
    <sheetDataSet>
      <sheetData sheetId="0"/>
      <sheetData sheetId="1">
        <row r="5">
          <cell r="A5" t="str">
            <v>CAMAC n°</v>
          </cell>
          <cell r="B5"/>
          <cell r="F5" t="str">
            <v>A remplir par l'autorité cantonale</v>
          </cell>
        </row>
        <row r="6">
          <cell r="B6"/>
        </row>
        <row r="12">
          <cell r="B12"/>
        </row>
        <row r="13">
          <cell r="B13"/>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J46"/>
  <sheetViews>
    <sheetView showGridLines="0" tabSelected="1" topLeftCell="A4" zoomScale="85" zoomScaleNormal="85" zoomScalePageLayoutView="40" workbookViewId="0">
      <selection activeCell="H3" sqref="H3"/>
    </sheetView>
  </sheetViews>
  <sheetFormatPr baseColWidth="10" defaultRowHeight="15" x14ac:dyDescent="0.25"/>
  <cols>
    <col min="1" max="1" width="11.42578125" style="12"/>
    <col min="2" max="2" width="9.28515625" customWidth="1"/>
    <col min="3" max="3" width="17.28515625" style="12" customWidth="1"/>
    <col min="4" max="4" width="32.28515625" customWidth="1"/>
    <col min="7" max="7" width="5.42578125" customWidth="1"/>
    <col min="8" max="8" width="17.7109375" customWidth="1"/>
    <col min="9" max="9" width="8" customWidth="1"/>
    <col min="10" max="10" width="5.42578125" customWidth="1"/>
  </cols>
  <sheetData>
    <row r="1" spans="2:10" s="12" customFormat="1" ht="55.5" customHeight="1" x14ac:dyDescent="0.4">
      <c r="B1" s="246" t="s">
        <v>261</v>
      </c>
      <c r="C1" s="246"/>
      <c r="D1" s="249" t="s">
        <v>233</v>
      </c>
      <c r="E1" s="249"/>
      <c r="F1" s="249"/>
      <c r="G1" s="249"/>
      <c r="H1" s="249"/>
      <c r="I1" s="140" t="s">
        <v>232</v>
      </c>
    </row>
    <row r="2" spans="2:10" s="12" customFormat="1" ht="49.5" customHeight="1" x14ac:dyDescent="0.25">
      <c r="B2" s="246"/>
      <c r="C2" s="246"/>
      <c r="D2" s="250" t="s">
        <v>191</v>
      </c>
      <c r="E2" s="250"/>
      <c r="F2" s="250"/>
      <c r="G2" s="250"/>
      <c r="H2" s="250"/>
    </row>
    <row r="3" spans="2:10" s="12" customFormat="1" ht="31.5" customHeight="1" x14ac:dyDescent="0.25">
      <c r="B3" s="197" t="s">
        <v>262</v>
      </c>
      <c r="C3" s="195"/>
      <c r="E3" s="192"/>
      <c r="F3" s="192"/>
      <c r="G3" s="192"/>
      <c r="H3" s="192"/>
      <c r="I3" s="192"/>
    </row>
    <row r="4" spans="2:10" ht="21" x14ac:dyDescent="0.35">
      <c r="B4" s="2" t="s">
        <v>85</v>
      </c>
      <c r="C4" s="2"/>
    </row>
    <row r="5" spans="2:10" ht="66" customHeight="1" x14ac:dyDescent="0.25">
      <c r="B5" s="246" t="s">
        <v>278</v>
      </c>
      <c r="C5" s="246"/>
      <c r="D5" s="247"/>
      <c r="E5" s="247"/>
      <c r="F5" s="247"/>
      <c r="G5" s="247"/>
      <c r="H5" s="247"/>
      <c r="I5" s="247"/>
    </row>
    <row r="6" spans="2:10" ht="9" customHeight="1" x14ac:dyDescent="0.25"/>
    <row r="7" spans="2:10" ht="21" x14ac:dyDescent="0.35">
      <c r="B7" s="2" t="s">
        <v>86</v>
      </c>
      <c r="C7" s="2"/>
    </row>
    <row r="8" spans="2:10" ht="60.6" customHeight="1" x14ac:dyDescent="0.25">
      <c r="B8" s="248" t="s">
        <v>217</v>
      </c>
      <c r="C8" s="248"/>
      <c r="D8" s="247"/>
      <c r="E8" s="247"/>
      <c r="F8" s="247"/>
      <c r="G8" s="247"/>
      <c r="H8" s="247"/>
      <c r="I8" s="247"/>
    </row>
    <row r="9" spans="2:10" ht="17.100000000000001" customHeight="1" x14ac:dyDescent="0.25">
      <c r="D9" s="246" t="s">
        <v>87</v>
      </c>
      <c r="E9" s="246"/>
      <c r="F9" s="246"/>
      <c r="G9" s="246"/>
      <c r="H9" s="246"/>
      <c r="I9" s="246"/>
      <c r="J9" s="246"/>
    </row>
    <row r="10" spans="2:10" ht="27.6" customHeight="1" x14ac:dyDescent="0.25">
      <c r="D10" s="246" t="s">
        <v>235</v>
      </c>
      <c r="E10" s="246"/>
      <c r="F10" s="246"/>
      <c r="G10" s="246"/>
      <c r="H10" s="246"/>
      <c r="I10" s="246"/>
      <c r="J10" s="246"/>
    </row>
    <row r="11" spans="2:10" ht="9" customHeight="1" x14ac:dyDescent="0.25"/>
    <row r="12" spans="2:10" ht="21" x14ac:dyDescent="0.35">
      <c r="B12" s="2" t="s">
        <v>88</v>
      </c>
      <c r="C12" s="2"/>
    </row>
    <row r="13" spans="2:10" x14ac:dyDescent="0.25">
      <c r="B13" s="3"/>
      <c r="C13" s="12" t="s">
        <v>89</v>
      </c>
    </row>
    <row r="14" spans="2:10" x14ac:dyDescent="0.25">
      <c r="B14" s="5"/>
      <c r="C14" s="12" t="s">
        <v>90</v>
      </c>
    </row>
    <row r="15" spans="2:10" x14ac:dyDescent="0.25">
      <c r="B15" s="6"/>
      <c r="C15" t="s">
        <v>252</v>
      </c>
    </row>
    <row r="16" spans="2:10" x14ac:dyDescent="0.25">
      <c r="B16" s="4" t="s">
        <v>35</v>
      </c>
      <c r="C16" t="s">
        <v>251</v>
      </c>
    </row>
    <row r="17" spans="1:10" x14ac:dyDescent="0.25">
      <c r="B17" s="7" t="s">
        <v>92</v>
      </c>
      <c r="C17" t="s">
        <v>91</v>
      </c>
    </row>
    <row r="18" spans="1:10" x14ac:dyDescent="0.25">
      <c r="B18" s="8" t="s">
        <v>92</v>
      </c>
      <c r="C18" t="s">
        <v>93</v>
      </c>
    </row>
    <row r="19" spans="1:10" ht="29.25" customHeight="1" x14ac:dyDescent="0.25">
      <c r="B19" s="9"/>
      <c r="C19" s="196" t="s">
        <v>253</v>
      </c>
      <c r="D19" s="13"/>
      <c r="E19" s="13"/>
      <c r="F19" s="13"/>
      <c r="G19" s="13"/>
      <c r="H19" s="13"/>
      <c r="I19" s="13"/>
    </row>
    <row r="20" spans="1:10" s="12" customFormat="1" x14ac:dyDescent="0.25">
      <c r="B20" s="9"/>
      <c r="C20" s="9"/>
      <c r="D20" s="148"/>
      <c r="E20" s="238"/>
      <c r="F20" s="148"/>
      <c r="G20" s="148"/>
      <c r="H20" s="148"/>
      <c r="I20" s="148"/>
      <c r="J20" s="148"/>
    </row>
    <row r="21" spans="1:10" ht="8.65" customHeight="1" x14ac:dyDescent="0.25">
      <c r="B21" s="9"/>
      <c r="C21" s="9"/>
    </row>
    <row r="22" spans="1:10" ht="21" x14ac:dyDescent="0.25">
      <c r="B22" s="245" t="s">
        <v>117</v>
      </c>
      <c r="C22" s="245"/>
      <c r="D22" s="245"/>
      <c r="E22" s="245"/>
      <c r="F22" s="245"/>
      <c r="G22" s="245"/>
    </row>
    <row r="23" spans="1:10" x14ac:dyDescent="0.25">
      <c r="B23" s="9"/>
      <c r="C23" s="9"/>
    </row>
    <row r="24" spans="1:10" ht="15" customHeight="1" x14ac:dyDescent="0.25">
      <c r="A24" s="243"/>
      <c r="B24" s="246" t="s">
        <v>263</v>
      </c>
      <c r="C24" s="246"/>
      <c r="D24" s="246"/>
      <c r="E24" s="194"/>
      <c r="F24" s="194"/>
      <c r="G24" s="194"/>
      <c r="J24" s="194"/>
    </row>
    <row r="25" spans="1:10" x14ac:dyDescent="0.25">
      <c r="B25" s="246"/>
      <c r="C25" s="246"/>
      <c r="D25" s="246"/>
      <c r="E25" s="194"/>
      <c r="F25" s="194"/>
      <c r="G25" s="194"/>
      <c r="J25" s="194"/>
    </row>
    <row r="26" spans="1:10" x14ac:dyDescent="0.25">
      <c r="B26" s="246"/>
      <c r="C26" s="246"/>
      <c r="D26" s="246"/>
      <c r="E26" s="194"/>
      <c r="F26" s="194"/>
      <c r="G26" s="194"/>
      <c r="J26" s="194"/>
    </row>
    <row r="27" spans="1:10" x14ac:dyDescent="0.25">
      <c r="B27" s="246"/>
      <c r="C27" s="246"/>
      <c r="D27" s="246"/>
      <c r="E27" s="194"/>
      <c r="F27" s="194"/>
      <c r="G27" s="194"/>
      <c r="J27" s="194"/>
    </row>
    <row r="28" spans="1:10" x14ac:dyDescent="0.25">
      <c r="B28" s="246"/>
      <c r="C28" s="246"/>
      <c r="D28" s="246"/>
      <c r="E28" s="194"/>
      <c r="F28" s="194"/>
      <c r="G28" s="194"/>
      <c r="J28" s="194"/>
    </row>
    <row r="29" spans="1:10" x14ac:dyDescent="0.25">
      <c r="B29" s="246"/>
      <c r="C29" s="246"/>
      <c r="D29" s="246"/>
      <c r="E29" s="194"/>
      <c r="F29" s="194"/>
      <c r="G29" s="194"/>
      <c r="J29" s="194"/>
    </row>
    <row r="30" spans="1:10" x14ac:dyDescent="0.25">
      <c r="B30" s="246"/>
      <c r="C30" s="246"/>
      <c r="D30" s="246"/>
      <c r="E30" s="194"/>
      <c r="F30" s="194"/>
      <c r="G30" s="194"/>
      <c r="J30" s="194"/>
    </row>
    <row r="31" spans="1:10" x14ac:dyDescent="0.25">
      <c r="B31" s="246"/>
      <c r="C31" s="246"/>
      <c r="D31" s="246"/>
      <c r="E31" s="194"/>
      <c r="F31" s="194"/>
      <c r="G31" s="194"/>
      <c r="J31" s="194"/>
    </row>
    <row r="32" spans="1:10" x14ac:dyDescent="0.25">
      <c r="B32" s="246"/>
      <c r="C32" s="246"/>
      <c r="D32" s="246"/>
      <c r="E32" s="194"/>
      <c r="F32" s="194"/>
      <c r="G32" s="194"/>
      <c r="J32" s="194"/>
    </row>
    <row r="33" spans="2:10" x14ac:dyDescent="0.25">
      <c r="B33" s="246"/>
      <c r="C33" s="246"/>
      <c r="D33" s="246"/>
      <c r="E33" s="194"/>
      <c r="F33" s="194"/>
      <c r="G33" s="194"/>
      <c r="H33" s="194"/>
      <c r="I33" s="194"/>
      <c r="J33" s="194"/>
    </row>
    <row r="34" spans="2:10" x14ac:dyDescent="0.25">
      <c r="E34" s="194"/>
      <c r="F34" s="194"/>
      <c r="G34" s="194"/>
      <c r="H34" s="194"/>
      <c r="I34" s="194"/>
      <c r="J34" s="194"/>
    </row>
    <row r="35" spans="2:10" x14ac:dyDescent="0.25">
      <c r="E35" s="194"/>
      <c r="F35" s="194"/>
      <c r="G35" s="194"/>
      <c r="H35" s="194"/>
      <c r="I35" s="194"/>
      <c r="J35" s="194"/>
    </row>
    <row r="36" spans="2:10" x14ac:dyDescent="0.25">
      <c r="E36" s="194"/>
      <c r="F36" s="194"/>
      <c r="G36" s="194"/>
      <c r="H36" s="194"/>
      <c r="I36" s="194"/>
      <c r="J36" s="194"/>
    </row>
    <row r="37" spans="2:10" x14ac:dyDescent="0.25">
      <c r="E37" s="194"/>
      <c r="F37" s="194"/>
      <c r="G37" s="194"/>
      <c r="H37" s="194"/>
      <c r="I37" s="194"/>
      <c r="J37" s="194"/>
    </row>
    <row r="38" spans="2:10" x14ac:dyDescent="0.25">
      <c r="E38" s="194"/>
      <c r="F38" s="194"/>
      <c r="G38" s="194"/>
      <c r="H38" s="194"/>
      <c r="I38" s="194"/>
      <c r="J38" s="194"/>
    </row>
    <row r="39" spans="2:10" x14ac:dyDescent="0.25">
      <c r="E39" s="194"/>
      <c r="F39" s="194"/>
      <c r="G39" s="194"/>
      <c r="H39" s="194"/>
      <c r="I39" s="194"/>
      <c r="J39" s="194"/>
    </row>
    <row r="40" spans="2:10" x14ac:dyDescent="0.25">
      <c r="E40" s="194"/>
      <c r="F40" s="194"/>
      <c r="G40" s="194"/>
      <c r="H40" s="194"/>
      <c r="I40" s="194"/>
      <c r="J40" s="194"/>
    </row>
    <row r="41" spans="2:10" x14ac:dyDescent="0.25">
      <c r="E41" s="194"/>
      <c r="F41" s="194"/>
      <c r="G41" s="194"/>
      <c r="H41" s="194"/>
      <c r="I41" s="194"/>
      <c r="J41" s="194"/>
    </row>
    <row r="43" spans="2:10" ht="18.75" x14ac:dyDescent="0.3">
      <c r="B43" s="251" t="s">
        <v>192</v>
      </c>
      <c r="C43" s="251"/>
      <c r="D43" s="251"/>
      <c r="E43" s="251"/>
      <c r="F43" s="251"/>
      <c r="G43" s="251"/>
      <c r="H43" s="251"/>
      <c r="I43" s="251"/>
      <c r="J43" s="251"/>
    </row>
    <row r="44" spans="2:10" x14ac:dyDescent="0.25">
      <c r="B44" s="129"/>
      <c r="C44" s="193"/>
      <c r="D44" s="129"/>
      <c r="E44" s="129"/>
      <c r="F44" s="129"/>
      <c r="G44" s="129"/>
      <c r="H44" s="129"/>
      <c r="I44" s="129"/>
      <c r="J44" s="129"/>
    </row>
    <row r="45" spans="2:10" ht="121.5" customHeight="1" x14ac:dyDescent="0.25">
      <c r="B45" s="244" t="s">
        <v>197</v>
      </c>
      <c r="C45" s="244"/>
      <c r="D45" s="244"/>
      <c r="E45" s="244"/>
      <c r="F45" s="244"/>
      <c r="G45" s="244"/>
      <c r="H45" s="244"/>
      <c r="I45" s="244"/>
      <c r="J45" s="244"/>
    </row>
    <row r="46" spans="2:10" x14ac:dyDescent="0.25">
      <c r="B46" s="244" t="s">
        <v>190</v>
      </c>
      <c r="C46" s="244"/>
      <c r="D46" s="244"/>
      <c r="E46" s="244"/>
      <c r="F46" s="244"/>
      <c r="G46" s="244"/>
      <c r="H46" s="244"/>
      <c r="I46" s="244"/>
      <c r="J46" s="244"/>
    </row>
  </sheetData>
  <sheetProtection algorithmName="SHA-512" hashValue="sQyxUxxBXrJ8KRulu6ifaQwEytdUQxTeeZmk9BOwysqTa9tkY6CsGWadM8kuQ5Qkl5Urin2zb+hF07OYoTa/OQ==" saltValue="ND6x1GngSEOU4y6jzoL0Cg==" spinCount="100000" sheet="1" objects="1" scenarios="1"/>
  <mergeCells count="12">
    <mergeCell ref="D1:H1"/>
    <mergeCell ref="D2:H2"/>
    <mergeCell ref="B43:J43"/>
    <mergeCell ref="B45:J45"/>
    <mergeCell ref="B1:C2"/>
    <mergeCell ref="B46:J46"/>
    <mergeCell ref="B22:G22"/>
    <mergeCell ref="B5:I5"/>
    <mergeCell ref="B8:I8"/>
    <mergeCell ref="D9:J9"/>
    <mergeCell ref="D10:J10"/>
    <mergeCell ref="B24:D33"/>
  </mergeCells>
  <conditionalFormatting sqref="B17">
    <cfRule type="cellIs" dxfId="21" priority="3" operator="greaterThanOrEqual">
      <formula>0</formula>
    </cfRule>
    <cfRule type="cellIs" dxfId="20" priority="4" operator="lessThan">
      <formula>0</formula>
    </cfRule>
  </conditionalFormatting>
  <dataValidations disablePrompts="1" count="1">
    <dataValidation type="list" allowBlank="1" showInputMessage="1" showErrorMessage="1" sqref="B16:C16" xr:uid="{00000000-0002-0000-0000-000000000000}">
      <formula1>$I$6:$I$11</formula1>
    </dataValidation>
  </dataValidations>
  <pageMargins left="0.70866141732283472" right="0.70866141732283472" top="0.92041666666666666" bottom="0.74803149606299213" header="0.31496062992125984" footer="0.31496062992125984"/>
  <pageSetup paperSize="9" scale="73" orientation="portrait" r:id="rId1"/>
  <headerFooter>
    <oddFooter>&amp;Lv.01.01.2025</oddFooter>
  </headerFooter>
  <rowBreaks count="1" manualBreakCount="1">
    <brk id="41" max="16383"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J41"/>
  <sheetViews>
    <sheetView showGridLines="0" zoomScaleNormal="100" workbookViewId="0">
      <selection activeCell="B62" sqref="B62"/>
    </sheetView>
  </sheetViews>
  <sheetFormatPr baseColWidth="10" defaultColWidth="11.42578125" defaultRowHeight="15" x14ac:dyDescent="0.25"/>
  <cols>
    <col min="1" max="1" width="30.5703125" style="14" bestFit="1" customWidth="1"/>
    <col min="2" max="8" width="13.28515625" style="33" customWidth="1"/>
    <col min="9" max="9" width="11.28515625" style="19" customWidth="1"/>
    <col min="10" max="10" width="20.5703125" style="19" hidden="1" customWidth="1"/>
    <col min="11" max="11" width="11.28515625" style="19" customWidth="1"/>
    <col min="12" max="16384" width="11.42578125" style="19"/>
  </cols>
  <sheetData>
    <row r="1" spans="1:10" ht="15" customHeight="1" x14ac:dyDescent="0.25">
      <c r="A1" s="262" t="str">
        <f>CONCATENATE("Q52a Exploitation à l'année - A. Exploitation - ",A.Exploitation!A5," ",A.Exploitation!B5,"- ",A.Exploitation!B13," ",A.Exploitation!B12," - UHZ n° ",F5)</f>
        <v>Q52a Exploitation à l'année - A. Exploitation - CAMAC n° -   - UHZ n° A remplir par l'autorité cantonale</v>
      </c>
      <c r="B1" s="262"/>
      <c r="C1" s="262"/>
      <c r="D1" s="262"/>
      <c r="E1" s="262"/>
      <c r="F1" s="262"/>
      <c r="G1" s="262"/>
      <c r="H1" s="183">
        <f ca="1">IF(B6=0,TODAY(),B6)</f>
        <v>45639</v>
      </c>
    </row>
    <row r="2" spans="1:10" x14ac:dyDescent="0.25">
      <c r="A2" s="234"/>
      <c r="B2" s="136"/>
      <c r="C2" s="136"/>
      <c r="D2" s="136"/>
    </row>
    <row r="3" spans="1:10" x14ac:dyDescent="0.25">
      <c r="A3" s="137" t="s">
        <v>184</v>
      </c>
      <c r="B3" s="136"/>
      <c r="C3" s="136"/>
      <c r="D3" s="136"/>
    </row>
    <row r="4" spans="1:10" x14ac:dyDescent="0.25">
      <c r="A4" s="34"/>
      <c r="F4" s="233"/>
    </row>
    <row r="5" spans="1:10" x14ac:dyDescent="0.25">
      <c r="A5" s="17" t="s">
        <v>74</v>
      </c>
      <c r="B5" s="252"/>
      <c r="C5" s="253"/>
      <c r="D5" s="254"/>
      <c r="E5" s="168" t="s">
        <v>153</v>
      </c>
      <c r="F5" s="259" t="s">
        <v>226</v>
      </c>
      <c r="G5" s="260"/>
      <c r="H5" s="261"/>
    </row>
    <row r="6" spans="1:10" x14ac:dyDescent="0.25">
      <c r="A6" s="17" t="s">
        <v>73</v>
      </c>
      <c r="B6" s="256"/>
      <c r="C6" s="257"/>
      <c r="D6" s="257"/>
      <c r="E6" s="257"/>
      <c r="F6" s="257"/>
      <c r="G6" s="257"/>
      <c r="H6" s="258"/>
    </row>
    <row r="7" spans="1:10" x14ac:dyDescent="0.25">
      <c r="A7" s="17" t="s">
        <v>46</v>
      </c>
      <c r="B7" s="255"/>
      <c r="C7" s="255"/>
      <c r="D7" s="255"/>
      <c r="E7" s="255"/>
      <c r="F7" s="255"/>
      <c r="G7" s="255"/>
      <c r="H7" s="255"/>
      <c r="J7" s="19" t="s">
        <v>238</v>
      </c>
    </row>
    <row r="8" spans="1:10" x14ac:dyDescent="0.25">
      <c r="A8" s="17" t="s">
        <v>47</v>
      </c>
      <c r="B8" s="252"/>
      <c r="C8" s="253"/>
      <c r="D8" s="254"/>
      <c r="E8" s="35" t="s">
        <v>236</v>
      </c>
      <c r="F8" s="252"/>
      <c r="G8" s="253"/>
      <c r="H8" s="254"/>
      <c r="J8" s="19" t="s">
        <v>237</v>
      </c>
    </row>
    <row r="9" spans="1:10" ht="15" customHeight="1" x14ac:dyDescent="0.25">
      <c r="A9" s="17" t="s">
        <v>83</v>
      </c>
      <c r="B9" s="35" t="s">
        <v>82</v>
      </c>
      <c r="C9" s="252"/>
      <c r="D9" s="254"/>
      <c r="E9" s="35" t="s">
        <v>120</v>
      </c>
      <c r="F9" s="143" t="s">
        <v>121</v>
      </c>
      <c r="G9" s="35" t="s">
        <v>125</v>
      </c>
      <c r="H9" s="144" t="s">
        <v>122</v>
      </c>
      <c r="J9" s="19" t="s">
        <v>239</v>
      </c>
    </row>
    <row r="11" spans="1:10" x14ac:dyDescent="0.25">
      <c r="A11" s="158"/>
      <c r="B11" s="264" t="s">
        <v>103</v>
      </c>
      <c r="C11" s="264"/>
      <c r="D11" s="265"/>
      <c r="E11"/>
      <c r="F11" s="263" t="s">
        <v>119</v>
      </c>
      <c r="G11" s="264"/>
      <c r="H11" s="265"/>
    </row>
    <row r="12" spans="1:10" x14ac:dyDescent="0.25">
      <c r="A12" s="17" t="s">
        <v>48</v>
      </c>
      <c r="B12" s="252"/>
      <c r="C12" s="253"/>
      <c r="D12" s="254"/>
      <c r="E12"/>
      <c r="F12" s="252"/>
      <c r="G12" s="253"/>
      <c r="H12" s="254"/>
    </row>
    <row r="13" spans="1:10" x14ac:dyDescent="0.25">
      <c r="A13" s="17" t="s">
        <v>49</v>
      </c>
      <c r="B13" s="252"/>
      <c r="C13" s="253"/>
      <c r="D13" s="254"/>
      <c r="E13"/>
      <c r="F13" s="252"/>
      <c r="G13" s="253"/>
      <c r="H13" s="254"/>
    </row>
    <row r="14" spans="1:10" x14ac:dyDescent="0.25">
      <c r="A14" s="17" t="s">
        <v>50</v>
      </c>
      <c r="B14" s="252"/>
      <c r="C14" s="253"/>
      <c r="D14" s="254"/>
      <c r="E14"/>
      <c r="F14" s="252"/>
      <c r="G14" s="253"/>
      <c r="H14" s="254"/>
    </row>
    <row r="15" spans="1:10" x14ac:dyDescent="0.25">
      <c r="A15" s="17" t="s">
        <v>51</v>
      </c>
      <c r="B15" s="252"/>
      <c r="C15" s="253"/>
      <c r="D15" s="254"/>
      <c r="E15"/>
      <c r="F15" s="252"/>
      <c r="G15" s="253"/>
      <c r="H15" s="254"/>
    </row>
    <row r="16" spans="1:10" x14ac:dyDescent="0.25">
      <c r="A16" s="17" t="s">
        <v>52</v>
      </c>
      <c r="B16" s="252"/>
      <c r="C16" s="253"/>
      <c r="D16" s="254"/>
      <c r="E16"/>
      <c r="F16" s="252"/>
      <c r="G16" s="253"/>
      <c r="H16" s="254"/>
    </row>
    <row r="17" spans="1:10" x14ac:dyDescent="0.25">
      <c r="A17" s="17" t="s">
        <v>54</v>
      </c>
      <c r="B17" s="266"/>
      <c r="C17" s="267"/>
      <c r="D17" s="268"/>
      <c r="E17" s="182"/>
      <c r="F17" s="266"/>
      <c r="G17" s="267"/>
      <c r="H17" s="268"/>
    </row>
    <row r="18" spans="1:10" x14ac:dyDescent="0.25">
      <c r="A18" s="17" t="s">
        <v>53</v>
      </c>
      <c r="B18" s="252"/>
      <c r="C18" s="253"/>
      <c r="D18" s="254"/>
      <c r="E18"/>
      <c r="F18" s="252"/>
      <c r="G18" s="253"/>
      <c r="H18" s="254"/>
    </row>
    <row r="19" spans="1:10" x14ac:dyDescent="0.25">
      <c r="A19" s="17" t="s">
        <v>198</v>
      </c>
      <c r="B19" s="252"/>
      <c r="C19" s="253"/>
      <c r="D19" s="254"/>
      <c r="E19"/>
      <c r="F19" s="252"/>
      <c r="G19" s="253"/>
      <c r="H19" s="254"/>
    </row>
    <row r="20" spans="1:10" x14ac:dyDescent="0.25">
      <c r="E20" s="81"/>
      <c r="J20" s="36" t="s">
        <v>126</v>
      </c>
    </row>
    <row r="21" spans="1:10" x14ac:dyDescent="0.25">
      <c r="B21" s="18" t="s">
        <v>127</v>
      </c>
      <c r="C21" s="18" t="s">
        <v>128</v>
      </c>
      <c r="D21" s="18" t="s">
        <v>129</v>
      </c>
      <c r="E21" s="18" t="s">
        <v>130</v>
      </c>
      <c r="F21" s="18" t="s">
        <v>131</v>
      </c>
      <c r="G21" s="18" t="s">
        <v>132</v>
      </c>
      <c r="H21" s="37" t="s">
        <v>0</v>
      </c>
    </row>
    <row r="22" spans="1:10" ht="17.25" x14ac:dyDescent="0.25">
      <c r="A22" s="17" t="s">
        <v>157</v>
      </c>
      <c r="B22" s="209"/>
      <c r="C22" s="210"/>
      <c r="D22" s="210"/>
      <c r="E22" s="210"/>
      <c r="F22" s="210"/>
      <c r="G22" s="211"/>
      <c r="H22" s="36">
        <f>SUM(B22:G22)</f>
        <v>0</v>
      </c>
    </row>
    <row r="23" spans="1:10" x14ac:dyDescent="0.25">
      <c r="A23" s="17" t="s">
        <v>218</v>
      </c>
      <c r="B23" s="203"/>
      <c r="C23" s="204"/>
      <c r="D23" s="204"/>
      <c r="E23" s="204"/>
      <c r="F23" s="204"/>
      <c r="G23" s="205"/>
      <c r="H23" s="36" t="s">
        <v>56</v>
      </c>
    </row>
    <row r="24" spans="1:10" x14ac:dyDescent="0.25">
      <c r="A24" s="17" t="s">
        <v>158</v>
      </c>
      <c r="B24" s="206"/>
      <c r="C24" s="207"/>
      <c r="D24" s="207"/>
      <c r="E24" s="207"/>
      <c r="F24" s="207"/>
      <c r="G24" s="208"/>
      <c r="H24" s="38" t="s">
        <v>56</v>
      </c>
    </row>
    <row r="25" spans="1:10" customFormat="1" x14ac:dyDescent="0.25"/>
    <row r="26" spans="1:10" x14ac:dyDescent="0.25">
      <c r="A26" s="146"/>
      <c r="B26" s="18" t="s">
        <v>127</v>
      </c>
      <c r="C26" s="18" t="s">
        <v>128</v>
      </c>
      <c r="D26" s="18" t="s">
        <v>129</v>
      </c>
      <c r="E26" s="18" t="s">
        <v>130</v>
      </c>
      <c r="F26" s="18" t="s">
        <v>131</v>
      </c>
      <c r="G26" s="18" t="s">
        <v>132</v>
      </c>
      <c r="H26" s="37" t="s">
        <v>0</v>
      </c>
    </row>
    <row r="27" spans="1:10" ht="32.25" x14ac:dyDescent="0.25">
      <c r="A27" s="17" t="s">
        <v>123</v>
      </c>
      <c r="B27" s="200"/>
      <c r="C27" s="201"/>
      <c r="D27" s="201"/>
      <c r="E27" s="201"/>
      <c r="F27" s="201"/>
      <c r="G27" s="202"/>
      <c r="H27" s="36">
        <f>SUM(B27:G27)</f>
        <v>0</v>
      </c>
    </row>
    <row r="28" spans="1:10" x14ac:dyDescent="0.25">
      <c r="A28" s="17" t="s">
        <v>270</v>
      </c>
      <c r="B28" s="203"/>
      <c r="C28" s="204"/>
      <c r="D28" s="204"/>
      <c r="E28" s="204"/>
      <c r="F28" s="204"/>
      <c r="G28" s="205"/>
      <c r="H28" s="36" t="s">
        <v>56</v>
      </c>
    </row>
    <row r="29" spans="1:10" x14ac:dyDescent="0.25">
      <c r="A29" s="17" t="s">
        <v>271</v>
      </c>
      <c r="B29" s="203"/>
      <c r="C29" s="204"/>
      <c r="D29" s="204"/>
      <c r="E29" s="204"/>
      <c r="F29" s="204"/>
      <c r="G29" s="205"/>
      <c r="H29" s="38" t="s">
        <v>56</v>
      </c>
    </row>
    <row r="30" spans="1:10" ht="32.25" x14ac:dyDescent="0.25">
      <c r="A30" s="17" t="s">
        <v>124</v>
      </c>
      <c r="B30" s="215"/>
      <c r="C30" s="216"/>
      <c r="D30" s="216"/>
      <c r="E30" s="216"/>
      <c r="F30" s="216"/>
      <c r="G30" s="217"/>
      <c r="H30" s="36">
        <f t="shared" ref="H30" si="0">SUM(B30:G30)</f>
        <v>0</v>
      </c>
    </row>
    <row r="31" spans="1:10" x14ac:dyDescent="0.25">
      <c r="A31" s="17" t="s">
        <v>270</v>
      </c>
      <c r="B31" s="212"/>
      <c r="C31" s="213"/>
      <c r="D31" s="213"/>
      <c r="E31" s="213"/>
      <c r="F31" s="213"/>
      <c r="G31" s="214"/>
      <c r="H31" s="36" t="s">
        <v>56</v>
      </c>
    </row>
    <row r="32" spans="1:10" x14ac:dyDescent="0.25">
      <c r="A32" s="17" t="s">
        <v>271</v>
      </c>
      <c r="B32" s="206"/>
      <c r="C32" s="207"/>
      <c r="D32" s="207"/>
      <c r="E32" s="207"/>
      <c r="F32" s="207"/>
      <c r="G32" s="208"/>
      <c r="H32" s="38" t="s">
        <v>56</v>
      </c>
    </row>
    <row r="33" spans="1:10" x14ac:dyDescent="0.25">
      <c r="A33" s="39"/>
    </row>
    <row r="34" spans="1:10" x14ac:dyDescent="0.25">
      <c r="A34" s="199"/>
      <c r="B34" s="198" t="s">
        <v>127</v>
      </c>
      <c r="C34" s="198" t="s">
        <v>128</v>
      </c>
      <c r="D34" s="198" t="s">
        <v>129</v>
      </c>
      <c r="E34" s="198" t="s">
        <v>130</v>
      </c>
      <c r="F34" s="198" t="s">
        <v>131</v>
      </c>
      <c r="G34" s="198" t="s">
        <v>132</v>
      </c>
      <c r="H34" s="37" t="s">
        <v>0</v>
      </c>
    </row>
    <row r="35" spans="1:10" ht="32.25" x14ac:dyDescent="0.25">
      <c r="A35" s="17" t="s">
        <v>264</v>
      </c>
      <c r="B35" s="200"/>
      <c r="C35" s="201"/>
      <c r="D35" s="201"/>
      <c r="E35" s="201"/>
      <c r="F35" s="201"/>
      <c r="G35" s="202"/>
      <c r="H35" s="36">
        <f>SUM(B35:G35)</f>
        <v>0</v>
      </c>
    </row>
    <row r="36" spans="1:10" x14ac:dyDescent="0.25">
      <c r="A36" s="17" t="s">
        <v>265</v>
      </c>
      <c r="B36" s="203"/>
      <c r="C36" s="204"/>
      <c r="D36" s="204"/>
      <c r="E36" s="204"/>
      <c r="F36" s="204"/>
      <c r="G36" s="205"/>
      <c r="H36" s="36" t="s">
        <v>56</v>
      </c>
    </row>
    <row r="37" spans="1:10" x14ac:dyDescent="0.25">
      <c r="A37" s="17" t="s">
        <v>266</v>
      </c>
      <c r="B37" s="206"/>
      <c r="C37" s="207"/>
      <c r="D37" s="207"/>
      <c r="E37" s="207"/>
      <c r="F37" s="207"/>
      <c r="G37" s="208"/>
      <c r="H37" s="38" t="s">
        <v>56</v>
      </c>
    </row>
    <row r="38" spans="1:10" x14ac:dyDescent="0.25">
      <c r="A38" s="39"/>
    </row>
    <row r="39" spans="1:10" ht="30" x14ac:dyDescent="0.25">
      <c r="A39" s="151"/>
      <c r="B39" s="150" t="s">
        <v>205</v>
      </c>
      <c r="C39" s="150" t="s">
        <v>206</v>
      </c>
      <c r="D39" s="150" t="s">
        <v>207</v>
      </c>
      <c r="E39" s="152"/>
      <c r="F39" s="152"/>
      <c r="G39" s="152"/>
      <c r="H39" s="152"/>
      <c r="J39" s="36" t="s">
        <v>35</v>
      </c>
    </row>
    <row r="40" spans="1:10" x14ac:dyDescent="0.25">
      <c r="A40" s="62" t="s">
        <v>204</v>
      </c>
      <c r="B40" s="157" t="s">
        <v>35</v>
      </c>
      <c r="C40" s="104" t="s">
        <v>35</v>
      </c>
      <c r="D40" s="103" t="s">
        <v>35</v>
      </c>
      <c r="E40" s="147"/>
      <c r="F40" s="147"/>
      <c r="G40" s="147"/>
      <c r="H40" s="147"/>
      <c r="J40" s="36" t="s">
        <v>40</v>
      </c>
    </row>
    <row r="41" spans="1:10" x14ac:dyDescent="0.25">
      <c r="A41" s="244"/>
      <c r="B41" s="244"/>
      <c r="C41" s="244"/>
      <c r="D41" s="244"/>
      <c r="E41" s="244"/>
      <c r="F41" s="244"/>
      <c r="G41" s="244"/>
      <c r="H41" s="244"/>
      <c r="J41" s="36" t="s">
        <v>41</v>
      </c>
    </row>
  </sheetData>
  <sheetProtection algorithmName="SHA-512" hashValue="C1oE48KMtDoWVnKvIkI3lxE9gAlqej4zcjs7vyAksjOUyMydJ+xoQCCfPvHKKejc45vjMX2/BrEOMSgDGTHBfQ==" saltValue="d/Eg0pVC7S9EkXzKGKTEvQ==" spinCount="100000" sheet="1" objects="1" scenarios="1"/>
  <mergeCells count="27">
    <mergeCell ref="A41:H41"/>
    <mergeCell ref="B16:D16"/>
    <mergeCell ref="B19:D19"/>
    <mergeCell ref="F19:H19"/>
    <mergeCell ref="F11:H11"/>
    <mergeCell ref="B11:D11"/>
    <mergeCell ref="B17:D17"/>
    <mergeCell ref="B18:D18"/>
    <mergeCell ref="F12:H12"/>
    <mergeCell ref="F16:H16"/>
    <mergeCell ref="F17:H17"/>
    <mergeCell ref="F18:H18"/>
    <mergeCell ref="F13:H13"/>
    <mergeCell ref="B12:D12"/>
    <mergeCell ref="B7:H7"/>
    <mergeCell ref="B6:H6"/>
    <mergeCell ref="F5:H5"/>
    <mergeCell ref="B5:D5"/>
    <mergeCell ref="A1:G1"/>
    <mergeCell ref="B8:D8"/>
    <mergeCell ref="B13:D13"/>
    <mergeCell ref="B14:D14"/>
    <mergeCell ref="B15:D15"/>
    <mergeCell ref="F14:H14"/>
    <mergeCell ref="F15:H15"/>
    <mergeCell ref="F8:H8"/>
    <mergeCell ref="C9:D9"/>
  </mergeCells>
  <conditionalFormatting sqref="B20">
    <cfRule type="cellIs" dxfId="19" priority="2" operator="equal">
      <formula>#REF!</formula>
    </cfRule>
  </conditionalFormatting>
  <dataValidations disablePrompts="1" count="2">
    <dataValidation type="list" allowBlank="1" showInputMessage="1" showErrorMessage="1" sqref="B40:D40" xr:uid="{00000000-0002-0000-0100-000000000000}">
      <formula1>$J$39:$J$41</formula1>
    </dataValidation>
    <dataValidation type="list" allowBlank="1" showInputMessage="1" showErrorMessage="1" sqref="F8:H8" xr:uid="{00000000-0002-0000-0100-000001000000}">
      <formula1>$J$7:$J$9</formula1>
    </dataValidation>
  </dataValidations>
  <pageMargins left="0.70866141732283472" right="0.70866141732283472" top="0.92041666666666666" bottom="0.74803149606299213" header="0.31496062992125984" footer="0.31496062992125984"/>
  <pageSetup paperSize="9" scale="70" orientation="portrait" r:id="rId1"/>
  <headerFooter>
    <oddFooter>&amp;Lv.01.01.2025</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M23"/>
  <sheetViews>
    <sheetView showGridLines="0" topLeftCell="A21" zoomScaleNormal="100" workbookViewId="0">
      <selection activeCell="C21" sqref="C21"/>
    </sheetView>
  </sheetViews>
  <sheetFormatPr baseColWidth="10" defaultColWidth="11.42578125" defaultRowHeight="15" x14ac:dyDescent="0.25"/>
  <cols>
    <col min="1" max="1" width="31.7109375" style="19" customWidth="1"/>
    <col min="2" max="8" width="20.140625" style="19" customWidth="1"/>
    <col min="9" max="16384" width="11.42578125" style="19"/>
  </cols>
  <sheetData>
    <row r="1" spans="1:13" ht="15" customHeight="1" x14ac:dyDescent="0.25">
      <c r="A1" s="273" t="str">
        <f>CONCATENATE("Q52a Exploitation à l'année - B. Surface - ",[1]A.Exploitation!A5," ",[1]A.Exploitation!B5,"- ",[1]A.Exploitation!B13," ",[1]A.Exploitation!B12," - UHZ n° ",[1]A.Exploitation!F5)</f>
        <v>Q52a Exploitation à l'année - B. Surface - CAMAC n° -   - UHZ n° A remplir par l'autorité cantonale</v>
      </c>
      <c r="B1" s="273"/>
      <c r="C1" s="273"/>
      <c r="D1" s="273"/>
      <c r="E1" s="273"/>
      <c r="F1" s="273"/>
      <c r="G1" s="273"/>
      <c r="H1" s="183">
        <f ca="1">IF([1]A.Exploitation!B6=0,TODAY(),[1]A.Exploitation!B6)</f>
        <v>45639</v>
      </c>
    </row>
    <row r="2" spans="1:13" x14ac:dyDescent="0.25">
      <c r="A2" s="234"/>
      <c r="B2" s="218"/>
      <c r="C2" s="218"/>
      <c r="D2" s="218"/>
      <c r="E2" s="218"/>
      <c r="F2" s="218"/>
      <c r="G2" s="218"/>
    </row>
    <row r="3" spans="1:13" ht="15" customHeight="1" x14ac:dyDescent="0.25">
      <c r="A3" s="276" t="s">
        <v>183</v>
      </c>
      <c r="B3" s="276"/>
      <c r="C3" s="276"/>
      <c r="D3" s="276"/>
      <c r="E3" s="276"/>
      <c r="F3" s="276"/>
      <c r="G3" s="276"/>
      <c r="H3" s="276"/>
    </row>
    <row r="5" spans="1:13" x14ac:dyDescent="0.25">
      <c r="A5" s="81"/>
      <c r="B5" s="219" t="s">
        <v>154</v>
      </c>
      <c r="C5" s="219" t="s">
        <v>155</v>
      </c>
      <c r="D5" s="12"/>
      <c r="E5" s="12"/>
      <c r="F5" s="12"/>
      <c r="G5" s="12"/>
      <c r="H5" s="82" t="s">
        <v>0</v>
      </c>
    </row>
    <row r="6" spans="1:13" x14ac:dyDescent="0.25">
      <c r="A6" s="220" t="s">
        <v>156</v>
      </c>
      <c r="B6" s="239"/>
      <c r="C6" s="240"/>
      <c r="D6" s="12"/>
      <c r="E6" s="12"/>
      <c r="F6" s="12"/>
      <c r="G6" s="12"/>
      <c r="H6" s="85">
        <f>SUM(B6:C6)</f>
        <v>0</v>
      </c>
    </row>
    <row r="7" spans="1:13" x14ac:dyDescent="0.25">
      <c r="B7" s="33"/>
      <c r="C7" s="33"/>
      <c r="D7" s="33"/>
      <c r="E7" s="33"/>
      <c r="F7" s="33"/>
      <c r="G7" s="33"/>
      <c r="H7" s="33"/>
    </row>
    <row r="8" spans="1:13" ht="48.75" customHeight="1" x14ac:dyDescent="0.25">
      <c r="A8" s="81"/>
      <c r="B8" s="219" t="s">
        <v>133</v>
      </c>
      <c r="C8" s="219" t="s">
        <v>1</v>
      </c>
      <c r="D8" s="278" t="s">
        <v>199</v>
      </c>
      <c r="E8" s="279"/>
      <c r="F8" s="280"/>
      <c r="G8" s="12"/>
      <c r="H8" s="86" t="s">
        <v>134</v>
      </c>
    </row>
    <row r="9" spans="1:13" ht="30" x14ac:dyDescent="0.25">
      <c r="A9" s="220" t="s">
        <v>8</v>
      </c>
      <c r="B9" s="239"/>
      <c r="C9" s="241"/>
      <c r="D9" s="281"/>
      <c r="E9" s="282"/>
      <c r="F9" s="283"/>
      <c r="G9" s="12"/>
      <c r="H9" s="85">
        <f>SUM(B9:C9)/3+D9</f>
        <v>0</v>
      </c>
    </row>
    <row r="10" spans="1:13" customFormat="1" x14ac:dyDescent="0.25">
      <c r="A10" s="12"/>
      <c r="B10" s="12"/>
      <c r="C10" s="12"/>
      <c r="D10" s="12"/>
      <c r="E10" s="12"/>
      <c r="F10" s="12"/>
      <c r="G10" s="12"/>
      <c r="H10" s="186"/>
    </row>
    <row r="11" spans="1:13" ht="9" customHeight="1" x14ac:dyDescent="0.25">
      <c r="B11" s="33"/>
      <c r="C11" s="33"/>
      <c r="D11" s="33"/>
      <c r="E11" s="33"/>
      <c r="F11" s="33"/>
      <c r="G11" s="33"/>
      <c r="H11" s="187"/>
    </row>
    <row r="12" spans="1:13" ht="14.65" customHeight="1" x14ac:dyDescent="0.25">
      <c r="A12" s="219" t="s">
        <v>272</v>
      </c>
      <c r="B12" s="277" t="s">
        <v>273</v>
      </c>
      <c r="C12" s="274"/>
      <c r="D12" s="275"/>
      <c r="E12" s="274" t="s">
        <v>277</v>
      </c>
      <c r="F12" s="274"/>
      <c r="G12" s="275"/>
      <c r="H12" s="187"/>
    </row>
    <row r="13" spans="1:13" x14ac:dyDescent="0.25">
      <c r="A13" s="62" t="s">
        <v>274</v>
      </c>
      <c r="B13" s="225"/>
      <c r="C13" s="226"/>
      <c r="D13" s="227"/>
      <c r="E13" s="230"/>
      <c r="F13" s="226"/>
      <c r="G13" s="227"/>
      <c r="H13" s="187"/>
    </row>
    <row r="14" spans="1:13" x14ac:dyDescent="0.25">
      <c r="A14" s="62" t="s">
        <v>48</v>
      </c>
      <c r="B14" s="203"/>
      <c r="C14" s="204"/>
      <c r="D14" s="205"/>
      <c r="E14" s="231"/>
      <c r="F14" s="204"/>
      <c r="G14" s="205"/>
      <c r="H14" s="187"/>
    </row>
    <row r="15" spans="1:13" customFormat="1" x14ac:dyDescent="0.25">
      <c r="A15" s="62" t="s">
        <v>49</v>
      </c>
      <c r="B15" s="203"/>
      <c r="C15" s="204"/>
      <c r="D15" s="205"/>
      <c r="E15" s="231"/>
      <c r="F15" s="204"/>
      <c r="G15" s="205"/>
      <c r="H15" s="187"/>
    </row>
    <row r="16" spans="1:13" s="75" customFormat="1" ht="15" customHeight="1" x14ac:dyDescent="0.25">
      <c r="A16" s="133" t="s">
        <v>275</v>
      </c>
      <c r="B16" s="206"/>
      <c r="C16" s="207"/>
      <c r="D16" s="208"/>
      <c r="E16" s="232"/>
      <c r="F16" s="207"/>
      <c r="G16" s="208"/>
      <c r="H16" s="223" t="s">
        <v>15</v>
      </c>
      <c r="I16" s="19"/>
      <c r="J16" s="19"/>
      <c r="K16" s="19"/>
      <c r="L16" s="19"/>
      <c r="M16" s="19"/>
    </row>
    <row r="17" spans="1:13" x14ac:dyDescent="0.25">
      <c r="A17" s="133" t="s">
        <v>276</v>
      </c>
      <c r="B17" s="221" t="str">
        <f>IF(B16=0,"",B16/105)</f>
        <v/>
      </c>
      <c r="C17" s="221" t="str">
        <f t="shared" ref="C17:D17" si="0">IF(C16=0,"",C16/105)</f>
        <v/>
      </c>
      <c r="D17" s="221" t="str">
        <f t="shared" si="0"/>
        <v/>
      </c>
      <c r="E17" s="221" t="str">
        <f>IF(E16=0,"",-E16/105)</f>
        <v/>
      </c>
      <c r="F17" s="221" t="str">
        <f>IF(F16=0,"",-F16/105)</f>
        <v/>
      </c>
      <c r="G17" s="221" t="str">
        <f>IF(G16=0,"",-G16/105)</f>
        <v/>
      </c>
      <c r="H17" s="224">
        <f>SUM(B17:G17)</f>
        <v>0</v>
      </c>
    </row>
    <row r="18" spans="1:13" ht="20.65" customHeight="1" x14ac:dyDescent="0.25"/>
    <row r="19" spans="1:13" ht="14.65" customHeight="1" x14ac:dyDescent="0.25">
      <c r="A19" s="271" t="s">
        <v>72</v>
      </c>
      <c r="B19" s="272"/>
      <c r="C19" s="272"/>
      <c r="D19" s="272"/>
      <c r="E19" s="32"/>
      <c r="F19" s="32"/>
      <c r="G19" s="32"/>
      <c r="H19" s="87">
        <f>ROUND(H6-H9+H17,1)</f>
        <v>0</v>
      </c>
      <c r="I19" s="69"/>
    </row>
    <row r="20" spans="1:13" s="75" customFormat="1" x14ac:dyDescent="0.25">
      <c r="A20" s="19"/>
      <c r="B20" s="19"/>
      <c r="C20" s="19"/>
      <c r="D20" s="19"/>
      <c r="E20" s="236"/>
      <c r="F20" s="19"/>
      <c r="G20" s="19"/>
      <c r="H20" s="188"/>
      <c r="I20" s="19"/>
      <c r="J20" s="19"/>
      <c r="K20" s="19"/>
      <c r="L20" s="19"/>
      <c r="M20" s="19"/>
    </row>
    <row r="21" spans="1:13" x14ac:dyDescent="0.25">
      <c r="A21" s="269" t="s">
        <v>45</v>
      </c>
      <c r="B21" s="219" t="s">
        <v>2</v>
      </c>
      <c r="C21" s="219" t="s">
        <v>3</v>
      </c>
      <c r="D21" s="219" t="s">
        <v>285</v>
      </c>
      <c r="E21" s="219" t="s">
        <v>286</v>
      </c>
      <c r="F21" s="219" t="s">
        <v>287</v>
      </c>
      <c r="G21" s="219" t="s">
        <v>288</v>
      </c>
      <c r="H21" s="187"/>
    </row>
    <row r="22" spans="1:13" x14ac:dyDescent="0.25">
      <c r="A22" s="270"/>
      <c r="B22" s="242"/>
      <c r="C22" s="242"/>
      <c r="D22" s="242"/>
      <c r="E22" s="242"/>
      <c r="F22" s="242"/>
      <c r="G22" s="242"/>
      <c r="H22" s="222">
        <f>ROUND(SUM(B22:G22),1)</f>
        <v>0</v>
      </c>
    </row>
    <row r="23" spans="1:13" x14ac:dyDescent="0.25">
      <c r="A23" s="271" t="s">
        <v>9</v>
      </c>
      <c r="B23" s="272"/>
      <c r="C23" s="272"/>
      <c r="D23" s="272"/>
      <c r="E23" s="32"/>
      <c r="F23" s="32"/>
      <c r="G23" s="32"/>
      <c r="H23" s="87">
        <f>B22*2.5+C22*2.1+D22*1.8+E22*1.4+F22*1.2+G22*1.1+H17</f>
        <v>0</v>
      </c>
    </row>
  </sheetData>
  <sheetProtection algorithmName="SHA-512" hashValue="EypOnhnm31hPA7gUk+Xz+tpiDLxXRn1CPk6r3PHLFmufZ2zz3vd9iqlmL00ivWwyfO15+VE1m+J6KYMHMmC7sQ==" saltValue="7iYURsY0MXTPjMXbTemjWQ==" spinCount="100000" sheet="1" objects="1" scenarios="1"/>
  <mergeCells count="9">
    <mergeCell ref="A21:A22"/>
    <mergeCell ref="A23:D23"/>
    <mergeCell ref="A1:G1"/>
    <mergeCell ref="E12:G12"/>
    <mergeCell ref="A3:H3"/>
    <mergeCell ref="B12:D12"/>
    <mergeCell ref="D8:F8"/>
    <mergeCell ref="A19:D19"/>
    <mergeCell ref="D9:F9"/>
  </mergeCells>
  <conditionalFormatting sqref="H22">
    <cfRule type="cellIs" dxfId="18" priority="1" operator="between">
      <formula>$H$19-0.5</formula>
      <formula>$H$19+0.5</formula>
    </cfRule>
    <cfRule type="cellIs" dxfId="17" priority="2" operator="notBetween">
      <formula>$H$19-0.5</formula>
      <formula>$H$19+0.5</formula>
    </cfRule>
  </conditionalFormatting>
  <pageMargins left="0.70866141732283472" right="0.70866141732283472" top="0.92041666666666666" bottom="0.74803149606299213" header="0.31496062992125984" footer="0.31496062992125984"/>
  <pageSetup paperSize="9" scale="75" orientation="landscape" r:id="rId1"/>
  <headerFooter>
    <oddFooter>&amp;Lv.01.01.2025</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8">
    <pageSetUpPr fitToPage="1"/>
  </sheetPr>
  <dimension ref="A1:T34"/>
  <sheetViews>
    <sheetView showGridLines="0" topLeftCell="A21" zoomScale="85" zoomScaleNormal="85" workbookViewId="0">
      <selection activeCell="A42" sqref="A42"/>
    </sheetView>
  </sheetViews>
  <sheetFormatPr baseColWidth="10" defaultColWidth="11.42578125" defaultRowHeight="15" x14ac:dyDescent="0.25"/>
  <cols>
    <col min="1" max="1" width="25.42578125" style="19" customWidth="1"/>
    <col min="2" max="2" width="6.28515625" style="19" bestFit="1" customWidth="1"/>
    <col min="3" max="4" width="15.7109375" style="19" customWidth="1"/>
    <col min="5" max="5" width="19.28515625" style="19" customWidth="1"/>
    <col min="6" max="6" width="15.7109375" style="19" customWidth="1"/>
    <col min="7" max="7" width="18" style="19" customWidth="1"/>
    <col min="8" max="8" width="18.42578125" style="19" customWidth="1"/>
    <col min="9" max="10" width="18.7109375" style="19" customWidth="1"/>
    <col min="11" max="11" width="15.7109375" style="19" customWidth="1"/>
    <col min="12" max="12" width="6.28515625" style="33" bestFit="1" customWidth="1"/>
    <col min="13" max="13" width="9" style="19" bestFit="1" customWidth="1"/>
    <col min="14" max="14" width="10.5703125" style="19" bestFit="1" customWidth="1"/>
    <col min="15" max="19" width="11.42578125" style="19"/>
    <col min="20" max="20" width="12.28515625" style="19" bestFit="1" customWidth="1"/>
    <col min="21" max="16384" width="11.42578125" style="19"/>
  </cols>
  <sheetData>
    <row r="1" spans="1:20" ht="15" customHeight="1" x14ac:dyDescent="0.25">
      <c r="A1" s="273" t="str">
        <f>CONCATENATE("Q52a Exploitation à l'année - C. Animaux - ",A.Exploitation!A5," ",A.Exploitation!B5,"- ",A.Exploitation!B13," ",A.Exploitation!B12," - UHZ n° ",A.Exploitation!F5)</f>
        <v>Q52a Exploitation à l'année - C. Animaux - CAMAC n° -   - UHZ n° A remplir par l'autorité cantonale</v>
      </c>
      <c r="B1" s="273"/>
      <c r="C1" s="273"/>
      <c r="D1" s="273"/>
      <c r="E1" s="273"/>
      <c r="F1" s="273"/>
      <c r="G1" s="273"/>
      <c r="H1" s="273"/>
      <c r="I1" s="273"/>
      <c r="J1" s="273"/>
      <c r="K1" s="273"/>
      <c r="L1" s="19"/>
      <c r="N1" s="183">
        <f ca="1">IF(A.Exploitation!B6=0,TODAY(),A.Exploitation!B6)</f>
        <v>45639</v>
      </c>
    </row>
    <row r="2" spans="1:20" x14ac:dyDescent="0.25">
      <c r="A2" s="234"/>
      <c r="B2" s="149"/>
      <c r="C2" s="149"/>
      <c r="D2" s="149"/>
      <c r="L2" s="19"/>
    </row>
    <row r="3" spans="1:20" ht="42.6" customHeight="1" x14ac:dyDescent="0.25">
      <c r="A3" s="288" t="s">
        <v>200</v>
      </c>
      <c r="B3" s="288"/>
      <c r="C3" s="288"/>
      <c r="D3" s="288"/>
      <c r="E3" s="288"/>
      <c r="F3" s="288"/>
      <c r="G3" s="288"/>
      <c r="H3" s="288"/>
      <c r="I3" s="288"/>
      <c r="L3" s="19"/>
    </row>
    <row r="4" spans="1:20" ht="15.75" thickBot="1" x14ac:dyDescent="0.3">
      <c r="A4" s="149"/>
      <c r="B4" s="149"/>
      <c r="C4" s="149"/>
      <c r="D4" s="149"/>
      <c r="L4" s="19"/>
    </row>
    <row r="5" spans="1:20" ht="15" customHeight="1" thickBot="1" x14ac:dyDescent="0.3">
      <c r="C5" s="289" t="s">
        <v>13</v>
      </c>
      <c r="D5" s="290"/>
      <c r="E5" s="290"/>
      <c r="F5" s="290"/>
      <c r="G5" s="290"/>
      <c r="H5" s="290"/>
      <c r="I5" s="290"/>
      <c r="J5" s="290"/>
      <c r="K5" s="291"/>
      <c r="L5" s="66"/>
      <c r="M5" s="67"/>
      <c r="N5" s="67"/>
    </row>
    <row r="6" spans="1:20" ht="15" customHeight="1" x14ac:dyDescent="0.25">
      <c r="A6" s="292" t="s">
        <v>10</v>
      </c>
      <c r="B6" s="294" t="s">
        <v>29</v>
      </c>
      <c r="C6" s="296" t="s">
        <v>135</v>
      </c>
      <c r="D6" s="297"/>
      <c r="E6" s="298"/>
      <c r="F6" s="296" t="s">
        <v>136</v>
      </c>
      <c r="G6" s="297"/>
      <c r="H6" s="297"/>
      <c r="I6" s="297"/>
      <c r="J6" s="297"/>
      <c r="K6" s="298"/>
      <c r="L6" s="284" t="s">
        <v>15</v>
      </c>
      <c r="M6" s="284" t="s">
        <v>75</v>
      </c>
      <c r="N6" s="286" t="s">
        <v>77</v>
      </c>
    </row>
    <row r="7" spans="1:20" ht="45" x14ac:dyDescent="0.25">
      <c r="A7" s="293"/>
      <c r="B7" s="295"/>
      <c r="C7" s="174" t="s">
        <v>143</v>
      </c>
      <c r="D7" s="174" t="s">
        <v>144</v>
      </c>
      <c r="E7" s="174" t="s">
        <v>145</v>
      </c>
      <c r="F7" s="174" t="s">
        <v>146</v>
      </c>
      <c r="G7" s="174" t="s">
        <v>149</v>
      </c>
      <c r="H7" s="174" t="s">
        <v>147</v>
      </c>
      <c r="I7" s="174" t="s">
        <v>148</v>
      </c>
      <c r="J7" s="174" t="s">
        <v>166</v>
      </c>
      <c r="K7" s="174" t="s">
        <v>150</v>
      </c>
      <c r="L7" s="285"/>
      <c r="M7" s="285"/>
      <c r="N7" s="287"/>
    </row>
    <row r="8" spans="1:20" s="69" customFormat="1" ht="14.65" customHeight="1" x14ac:dyDescent="0.25">
      <c r="A8" s="29" t="s">
        <v>283</v>
      </c>
      <c r="B8" s="155"/>
      <c r="C8" s="167">
        <v>0</v>
      </c>
      <c r="D8" s="155">
        <v>8</v>
      </c>
      <c r="E8" s="155">
        <v>10</v>
      </c>
      <c r="F8" s="155">
        <v>18</v>
      </c>
      <c r="G8" s="155">
        <v>14</v>
      </c>
      <c r="H8" s="155">
        <v>11</v>
      </c>
      <c r="I8" s="155">
        <v>9</v>
      </c>
      <c r="J8" s="95">
        <v>6</v>
      </c>
      <c r="K8" s="95">
        <v>0</v>
      </c>
      <c r="L8" s="88"/>
      <c r="M8" s="89"/>
      <c r="N8" s="131"/>
    </row>
    <row r="9" spans="1:20" s="69" customFormat="1" ht="14.65" customHeight="1" x14ac:dyDescent="0.25">
      <c r="A9" s="29" t="s">
        <v>208</v>
      </c>
      <c r="B9" s="155"/>
      <c r="C9" s="167">
        <v>24</v>
      </c>
      <c r="D9" s="155">
        <v>10</v>
      </c>
      <c r="E9" s="155">
        <v>6</v>
      </c>
      <c r="F9" s="155">
        <v>0</v>
      </c>
      <c r="G9" s="155">
        <v>4</v>
      </c>
      <c r="H9" s="155">
        <v>8</v>
      </c>
      <c r="I9" s="155">
        <v>11</v>
      </c>
      <c r="J9" s="95">
        <v>18</v>
      </c>
      <c r="K9" s="95">
        <v>24</v>
      </c>
      <c r="L9" s="90"/>
      <c r="M9" s="91"/>
      <c r="N9" s="132"/>
      <c r="T9" s="60"/>
    </row>
    <row r="10" spans="1:20" x14ac:dyDescent="0.25">
      <c r="A10" s="70" t="s">
        <v>11</v>
      </c>
      <c r="B10" s="22">
        <v>1</v>
      </c>
      <c r="C10" s="161"/>
      <c r="D10" s="94"/>
      <c r="E10" s="95"/>
      <c r="F10" s="93"/>
      <c r="G10" s="94"/>
      <c r="H10" s="94"/>
      <c r="I10" s="94"/>
      <c r="J10" s="96"/>
      <c r="K10" s="95"/>
      <c r="L10" s="71">
        <f t="shared" ref="L10:L16" si="0">B10*SUM(C10:K10)</f>
        <v>0</v>
      </c>
      <c r="M10" s="72">
        <f t="shared" ref="M10" si="1">B10*(C10*C$8+D10*D$8+E10*E$8+F10*F$8+G10*G$8+H10*H$8+I10*I$8+J10*J$8+K10*K$8)</f>
        <v>0</v>
      </c>
      <c r="N10" s="154">
        <f>B10*(C10*C$9+D10*D$9+E10*E$9+F10*F$9+G10*G$9+H10*H$9+I10*I$9+J$9*J10+K10*K$9)</f>
        <v>0</v>
      </c>
      <c r="T10" s="60"/>
    </row>
    <row r="11" spans="1:20" x14ac:dyDescent="0.25">
      <c r="A11" s="70" t="s">
        <v>12</v>
      </c>
      <c r="B11" s="22">
        <v>1</v>
      </c>
      <c r="C11" s="56"/>
      <c r="D11" s="98"/>
      <c r="E11" s="99"/>
      <c r="F11" s="97"/>
      <c r="G11" s="98"/>
      <c r="H11" s="98"/>
      <c r="I11" s="98"/>
      <c r="J11" s="23"/>
      <c r="K11" s="99"/>
      <c r="L11" s="63">
        <f t="shared" si="0"/>
        <v>0</v>
      </c>
      <c r="M11" s="72">
        <f>B11*(C11*C$8+D11*D$8+E11*E$8+F11*F$8+G11*G$8+H11*H$8+I11*I$8+J11*J$8+K11*K$8)</f>
        <v>0</v>
      </c>
      <c r="N11" s="154">
        <f t="shared" ref="N11:N16" si="2">B11*(C11*C$9+D11*D$9+E11*E$9+F11*F$9+G11*G$9+H11*H$9+I11*I$9+J$9*J11+K11*K$9)</f>
        <v>0</v>
      </c>
      <c r="T11" s="60"/>
    </row>
    <row r="12" spans="1:20" x14ac:dyDescent="0.25">
      <c r="A12" s="70" t="s">
        <v>162</v>
      </c>
      <c r="B12" s="92">
        <v>0.6</v>
      </c>
      <c r="C12" s="97"/>
      <c r="D12" s="98"/>
      <c r="E12" s="99"/>
      <c r="F12" s="97"/>
      <c r="G12" s="98"/>
      <c r="H12" s="98"/>
      <c r="I12" s="98"/>
      <c r="J12" s="23"/>
      <c r="K12" s="99"/>
      <c r="L12" s="63">
        <f t="shared" si="0"/>
        <v>0</v>
      </c>
      <c r="M12" s="72">
        <f t="shared" ref="M12:M16" si="3">B12*(C12*C$8+D12*D$8+E12*E$8+F12*F$8+G12*G$8+H12*H$8+I12*I$8+J12*J$8+K12*K$8)</f>
        <v>0</v>
      </c>
      <c r="N12" s="154">
        <f t="shared" si="2"/>
        <v>0</v>
      </c>
      <c r="T12" s="60"/>
    </row>
    <row r="13" spans="1:20" x14ac:dyDescent="0.25">
      <c r="A13" s="70" t="s">
        <v>159</v>
      </c>
      <c r="B13" s="92">
        <v>0.4</v>
      </c>
      <c r="C13" s="97"/>
      <c r="D13" s="98"/>
      <c r="E13" s="99"/>
      <c r="F13" s="97"/>
      <c r="G13" s="98"/>
      <c r="H13" s="98"/>
      <c r="I13" s="98"/>
      <c r="J13" s="23"/>
      <c r="K13" s="99"/>
      <c r="L13" s="63">
        <f t="shared" si="0"/>
        <v>0</v>
      </c>
      <c r="M13" s="72">
        <f t="shared" si="3"/>
        <v>0</v>
      </c>
      <c r="N13" s="154">
        <f t="shared" si="2"/>
        <v>0</v>
      </c>
      <c r="T13" s="60"/>
    </row>
    <row r="14" spans="1:20" x14ac:dyDescent="0.25">
      <c r="A14" s="70" t="s">
        <v>160</v>
      </c>
      <c r="B14" s="92">
        <v>0.33</v>
      </c>
      <c r="C14" s="97"/>
      <c r="D14" s="98"/>
      <c r="E14" s="99"/>
      <c r="F14" s="97"/>
      <c r="G14" s="98"/>
      <c r="H14" s="98"/>
      <c r="I14" s="98"/>
      <c r="J14" s="23"/>
      <c r="K14" s="99"/>
      <c r="L14" s="63">
        <f t="shared" si="0"/>
        <v>0</v>
      </c>
      <c r="M14" s="72">
        <f t="shared" si="3"/>
        <v>0</v>
      </c>
      <c r="N14" s="154">
        <f t="shared" si="2"/>
        <v>0</v>
      </c>
      <c r="T14" s="60"/>
    </row>
    <row r="15" spans="1:20" x14ac:dyDescent="0.25">
      <c r="A15" s="70" t="s">
        <v>161</v>
      </c>
      <c r="B15" s="92">
        <v>0.13</v>
      </c>
      <c r="C15" s="97"/>
      <c r="D15" s="98"/>
      <c r="E15" s="99"/>
      <c r="F15" s="97"/>
      <c r="G15" s="98"/>
      <c r="H15" s="98"/>
      <c r="I15" s="98"/>
      <c r="J15" s="23"/>
      <c r="K15" s="99"/>
      <c r="L15" s="63">
        <f t="shared" si="0"/>
        <v>0</v>
      </c>
      <c r="M15" s="72">
        <f t="shared" si="3"/>
        <v>0</v>
      </c>
      <c r="N15" s="154">
        <f t="shared" si="2"/>
        <v>0</v>
      </c>
      <c r="T15" s="60"/>
    </row>
    <row r="16" spans="1:20" x14ac:dyDescent="0.25">
      <c r="A16" s="175" t="s">
        <v>222</v>
      </c>
      <c r="B16" s="100"/>
      <c r="C16" s="101"/>
      <c r="D16" s="102"/>
      <c r="E16" s="103"/>
      <c r="F16" s="101"/>
      <c r="G16" s="102"/>
      <c r="H16" s="102"/>
      <c r="I16" s="102"/>
      <c r="J16" s="104"/>
      <c r="K16" s="103"/>
      <c r="L16" s="63">
        <f t="shared" si="0"/>
        <v>0</v>
      </c>
      <c r="M16" s="72">
        <f t="shared" si="3"/>
        <v>0</v>
      </c>
      <c r="N16" s="154">
        <f t="shared" si="2"/>
        <v>0</v>
      </c>
      <c r="T16" s="60"/>
    </row>
    <row r="17" spans="1:20" s="75" customFormat="1" ht="15.75" thickBot="1" x14ac:dyDescent="0.3">
      <c r="A17" s="73" t="s">
        <v>16</v>
      </c>
      <c r="B17" s="105"/>
      <c r="C17" s="156">
        <f t="shared" ref="C17:K17" si="4">C10*$B10+C11*$B11+C12*$B12+C13*$B13+C14*$B14+C15*$B15+C16*$B16</f>
        <v>0</v>
      </c>
      <c r="D17" s="106">
        <f t="shared" si="4"/>
        <v>0</v>
      </c>
      <c r="E17" s="106">
        <f t="shared" si="4"/>
        <v>0</v>
      </c>
      <c r="F17" s="106">
        <f t="shared" si="4"/>
        <v>0</v>
      </c>
      <c r="G17" s="106">
        <f t="shared" si="4"/>
        <v>0</v>
      </c>
      <c r="H17" s="106">
        <f t="shared" si="4"/>
        <v>0</v>
      </c>
      <c r="I17" s="106">
        <f t="shared" si="4"/>
        <v>0</v>
      </c>
      <c r="J17" s="106">
        <f t="shared" si="4"/>
        <v>0</v>
      </c>
      <c r="K17" s="106">
        <f t="shared" si="4"/>
        <v>0</v>
      </c>
      <c r="L17" s="74">
        <f>SUM(L10:L16)</f>
        <v>0</v>
      </c>
      <c r="M17" s="107">
        <f>$C17*C8+$D17*D8+$E17*E8+$F17*F8+$G17*G8+$H17*H8+$I17*I8+$J17*J8+$K17*K8</f>
        <v>0</v>
      </c>
      <c r="N17" s="108">
        <f>$C17*C9+$D17*D9+$E17*E9+$F17*F9+$G17*G9+$H17*H9+$I17*I9+$J17*J9+$K17*K9</f>
        <v>0</v>
      </c>
      <c r="T17" s="60"/>
    </row>
    <row r="18" spans="1:20" ht="32.25" x14ac:dyDescent="0.25">
      <c r="A18" s="27" t="s">
        <v>17</v>
      </c>
      <c r="B18" s="173" t="s">
        <v>14</v>
      </c>
      <c r="C18" s="173" t="s">
        <v>142</v>
      </c>
      <c r="D18" s="28"/>
      <c r="E18" s="76"/>
      <c r="F18" s="76"/>
      <c r="G18" s="76"/>
      <c r="H18" s="76"/>
      <c r="I18" s="76"/>
      <c r="J18" s="76"/>
      <c r="K18" s="76"/>
      <c r="L18" s="77" t="s">
        <v>15</v>
      </c>
      <c r="M18" s="109" t="s">
        <v>75</v>
      </c>
      <c r="N18" s="110" t="s">
        <v>77</v>
      </c>
      <c r="T18" s="60"/>
    </row>
    <row r="19" spans="1:20" s="69" customFormat="1" ht="14.65" customHeight="1" x14ac:dyDescent="0.25">
      <c r="A19" s="29" t="s">
        <v>283</v>
      </c>
      <c r="B19" s="68"/>
      <c r="C19" s="155">
        <v>15</v>
      </c>
      <c r="D19" s="111"/>
      <c r="E19" s="111"/>
      <c r="F19" s="111"/>
      <c r="G19" s="111"/>
      <c r="H19" s="111"/>
      <c r="I19" s="111"/>
      <c r="J19" s="111"/>
      <c r="K19" s="111"/>
      <c r="L19" s="88"/>
      <c r="M19" s="89"/>
      <c r="N19" s="131"/>
      <c r="T19" s="60"/>
    </row>
    <row r="20" spans="1:20" s="69" customFormat="1" ht="14.65" customHeight="1" x14ac:dyDescent="0.25">
      <c r="A20" s="29" t="s">
        <v>208</v>
      </c>
      <c r="B20" s="68"/>
      <c r="C20" s="155">
        <v>0</v>
      </c>
      <c r="D20" s="237"/>
      <c r="E20" s="237"/>
      <c r="F20" s="111"/>
      <c r="G20" s="111"/>
      <c r="H20" s="111"/>
      <c r="I20" s="111"/>
      <c r="J20" s="111"/>
      <c r="K20" s="111"/>
      <c r="L20" s="90"/>
      <c r="M20" s="91"/>
      <c r="N20" s="132"/>
      <c r="T20" s="60"/>
    </row>
    <row r="21" spans="1:20" ht="15" customHeight="1" x14ac:dyDescent="0.25">
      <c r="A21" s="30" t="s">
        <v>18</v>
      </c>
      <c r="B21" s="112">
        <v>0.7</v>
      </c>
      <c r="C21" s="121"/>
      <c r="D21" s="234"/>
      <c r="E21" s="111"/>
      <c r="F21" s="111"/>
      <c r="G21" s="111"/>
      <c r="H21" s="111"/>
      <c r="I21" s="111"/>
      <c r="J21" s="111"/>
      <c r="K21" s="111"/>
      <c r="L21" s="63">
        <f>B21*SUM(C21:K21)</f>
        <v>0</v>
      </c>
      <c r="M21" s="72">
        <f>$B21*($C21*$C$19+$D21*$D$19)</f>
        <v>0</v>
      </c>
      <c r="N21" s="176">
        <f>$B21*($C21*$C$20+$D21*$D$20)</f>
        <v>0</v>
      </c>
      <c r="T21" s="60"/>
    </row>
    <row r="22" spans="1:20" x14ac:dyDescent="0.25">
      <c r="A22" s="30" t="s">
        <v>19</v>
      </c>
      <c r="B22" s="112">
        <v>0.5</v>
      </c>
      <c r="C22" s="97"/>
      <c r="D22" s="84"/>
      <c r="E22" s="66"/>
      <c r="F22" s="66"/>
      <c r="G22" s="66"/>
      <c r="H22" s="66"/>
      <c r="I22" s="66"/>
      <c r="J22" s="66"/>
      <c r="K22" s="66"/>
      <c r="L22" s="63">
        <f>B22*SUM(C22:K22)</f>
        <v>0</v>
      </c>
      <c r="M22" s="72">
        <f t="shared" ref="M22" si="5">$B22*($C22*$C$19+$D22*$D$19)</f>
        <v>0</v>
      </c>
      <c r="N22" s="176">
        <f t="shared" ref="N22" si="6">$B22*($C22*$C$20+$D22*$D$20)</f>
        <v>0</v>
      </c>
      <c r="T22" s="60"/>
    </row>
    <row r="23" spans="1:20" x14ac:dyDescent="0.25">
      <c r="A23" s="175" t="s">
        <v>222</v>
      </c>
      <c r="B23" s="113"/>
      <c r="C23" s="101"/>
      <c r="D23" s="114"/>
      <c r="E23" s="115"/>
      <c r="F23" s="115"/>
      <c r="G23" s="115"/>
      <c r="H23" s="115"/>
      <c r="I23" s="115"/>
      <c r="J23" s="115"/>
      <c r="K23" s="115"/>
      <c r="L23" s="63">
        <f>B23*SUM(C23:K23)</f>
        <v>0</v>
      </c>
      <c r="M23" s="72">
        <f>$B23*($C23*$C$19+$D23*$D$19)</f>
        <v>0</v>
      </c>
      <c r="N23" s="176">
        <f>$B23*($C23*$C$20+$D23*$D$20)</f>
        <v>0</v>
      </c>
    </row>
    <row r="24" spans="1:20" s="75" customFormat="1" ht="15.75" thickBot="1" x14ac:dyDescent="0.3">
      <c r="A24" s="73" t="s">
        <v>16</v>
      </c>
      <c r="B24" s="116"/>
      <c r="C24" s="106">
        <f>C21*$B21+C22*$B22+C23*$B$23</f>
        <v>0</v>
      </c>
      <c r="D24" s="106">
        <f>D21*$B21+D22*$B22+D23*$B$23</f>
        <v>0</v>
      </c>
      <c r="E24" s="117"/>
      <c r="F24" s="117"/>
      <c r="G24" s="117"/>
      <c r="H24" s="117"/>
      <c r="I24" s="117"/>
      <c r="J24" s="117"/>
      <c r="K24" s="106"/>
      <c r="L24" s="74">
        <f>SUM(L21:L23)</f>
        <v>0</v>
      </c>
      <c r="M24" s="107">
        <f>C24*C19+D24*D19</f>
        <v>0</v>
      </c>
      <c r="N24" s="108">
        <f>D24*D20+C24*C20</f>
        <v>0</v>
      </c>
    </row>
    <row r="25" spans="1:20" ht="45" x14ac:dyDescent="0.25">
      <c r="A25" s="27" t="s">
        <v>20</v>
      </c>
      <c r="B25" s="173" t="s">
        <v>14</v>
      </c>
      <c r="C25" s="173" t="s">
        <v>138</v>
      </c>
      <c r="D25" s="173" t="s">
        <v>139</v>
      </c>
      <c r="E25" s="173" t="s">
        <v>140</v>
      </c>
      <c r="F25" s="173" t="s">
        <v>141</v>
      </c>
      <c r="G25" s="76"/>
      <c r="H25" s="76"/>
      <c r="I25" s="76"/>
      <c r="J25" s="76"/>
      <c r="K25" s="118"/>
      <c r="L25" s="77" t="s">
        <v>15</v>
      </c>
      <c r="M25" s="109" t="s">
        <v>75</v>
      </c>
      <c r="N25" s="110" t="s">
        <v>77</v>
      </c>
    </row>
    <row r="26" spans="1:20" s="69" customFormat="1" ht="14.65" customHeight="1" x14ac:dyDescent="0.25">
      <c r="A26" s="29" t="s">
        <v>283</v>
      </c>
      <c r="B26" s="68"/>
      <c r="C26" s="155">
        <v>0</v>
      </c>
      <c r="D26" s="155">
        <v>4.0999999999999996</v>
      </c>
      <c r="E26" s="155">
        <v>4.0999999999999996</v>
      </c>
      <c r="F26" s="155">
        <v>7</v>
      </c>
      <c r="G26" s="111"/>
      <c r="H26" s="111"/>
      <c r="I26" s="111"/>
      <c r="J26" s="111"/>
      <c r="K26" s="119"/>
      <c r="L26" s="88"/>
      <c r="M26" s="89"/>
      <c r="N26" s="131"/>
    </row>
    <row r="27" spans="1:20" s="69" customFormat="1" ht="14.65" customHeight="1" x14ac:dyDescent="0.25">
      <c r="A27" s="29" t="s">
        <v>208</v>
      </c>
      <c r="B27" s="68"/>
      <c r="C27" s="155">
        <v>11.8</v>
      </c>
      <c r="D27" s="155">
        <v>5.9</v>
      </c>
      <c r="E27" s="155">
        <v>5.9</v>
      </c>
      <c r="F27" s="155">
        <v>0</v>
      </c>
      <c r="G27" s="111"/>
      <c r="H27" s="111"/>
      <c r="I27" s="111"/>
      <c r="J27" s="111"/>
      <c r="K27" s="119"/>
      <c r="L27" s="90"/>
      <c r="M27" s="91"/>
      <c r="N27" s="132"/>
    </row>
    <row r="28" spans="1:20" x14ac:dyDescent="0.25">
      <c r="A28" s="70" t="s">
        <v>223</v>
      </c>
      <c r="B28" s="22">
        <v>0.17</v>
      </c>
      <c r="C28" s="93"/>
      <c r="D28" s="94"/>
      <c r="E28" s="94"/>
      <c r="F28" s="95"/>
      <c r="G28" s="66"/>
      <c r="H28" s="66"/>
      <c r="I28" s="66"/>
      <c r="J28" s="66"/>
      <c r="K28" s="66"/>
      <c r="L28" s="63">
        <f t="shared" ref="L28:L33" si="7">B28*SUM(C28:K28)</f>
        <v>0</v>
      </c>
      <c r="M28" s="72">
        <f>B28*(C28*C$26+D28*D$26+E28*E$26+F28*F$26+G28*G$26+H28*H$26+I28*I$26+J28*J$26+K28*K$26)</f>
        <v>0</v>
      </c>
      <c r="N28" s="176">
        <f>B28*(C28*C$27+D28*D$27+E28*E$27+F28*F$27+G28*G$27+H28*H$27+I28*I$27+J28*J$27+K28*K$27)</f>
        <v>0</v>
      </c>
    </row>
    <row r="29" spans="1:20" x14ac:dyDescent="0.25">
      <c r="A29" s="70" t="s">
        <v>21</v>
      </c>
      <c r="B29" s="22">
        <v>0.06</v>
      </c>
      <c r="C29" s="97"/>
      <c r="D29" s="98"/>
      <c r="E29" s="98"/>
      <c r="F29" s="99"/>
      <c r="G29" s="66"/>
      <c r="H29" s="66"/>
      <c r="I29" s="66"/>
      <c r="J29" s="66"/>
      <c r="K29" s="66"/>
      <c r="L29" s="63">
        <f t="shared" si="7"/>
        <v>0</v>
      </c>
      <c r="M29" s="72">
        <f t="shared" ref="M29:M31" si="8">B29*(C29*C$26+D29*D$26+E29*E$26+F29*F$26+G29*G$26+H29*H$26+I29*I$26+J29*J$26+K29*K$26)</f>
        <v>0</v>
      </c>
      <c r="N29" s="176">
        <f t="shared" ref="N29:N31" si="9">B29*(C29*C$27+D29*D$27+E29*E$27+F29*F$27+G29*G$27+H29*H$27+I29*I$27+J29*J$27+K29*K$27)</f>
        <v>0</v>
      </c>
    </row>
    <row r="30" spans="1:20" ht="30" x14ac:dyDescent="0.25">
      <c r="A30" s="70" t="s">
        <v>137</v>
      </c>
      <c r="B30" s="22">
        <v>0.45</v>
      </c>
      <c r="C30" s="97"/>
      <c r="D30" s="98"/>
      <c r="E30" s="98"/>
      <c r="F30" s="99"/>
      <c r="G30" s="66"/>
      <c r="H30" s="66"/>
      <c r="I30" s="66"/>
      <c r="J30" s="66"/>
      <c r="K30" s="66"/>
      <c r="L30" s="63">
        <f t="shared" si="7"/>
        <v>0</v>
      </c>
      <c r="M30" s="72">
        <f t="shared" si="8"/>
        <v>0</v>
      </c>
      <c r="N30" s="176">
        <f t="shared" si="9"/>
        <v>0</v>
      </c>
    </row>
    <row r="31" spans="1:20" x14ac:dyDescent="0.25">
      <c r="A31" s="70" t="s">
        <v>22</v>
      </c>
      <c r="B31" s="22">
        <v>0.26</v>
      </c>
      <c r="C31" s="97"/>
      <c r="D31" s="98"/>
      <c r="E31" s="98"/>
      <c r="F31" s="99"/>
      <c r="G31" s="66"/>
      <c r="H31" s="66"/>
      <c r="I31" s="66"/>
      <c r="J31" s="66"/>
      <c r="K31" s="66"/>
      <c r="L31" s="63">
        <f t="shared" si="7"/>
        <v>0</v>
      </c>
      <c r="M31" s="72">
        <f t="shared" si="8"/>
        <v>0</v>
      </c>
      <c r="N31" s="176">
        <f t="shared" si="9"/>
        <v>0</v>
      </c>
    </row>
    <row r="32" spans="1:20" x14ac:dyDescent="0.25">
      <c r="A32" s="70" t="s">
        <v>23</v>
      </c>
      <c r="B32" s="22">
        <v>0.25</v>
      </c>
      <c r="C32" s="97"/>
      <c r="D32" s="98"/>
      <c r="E32" s="98"/>
      <c r="F32" s="99"/>
      <c r="G32" s="177"/>
      <c r="H32" s="80"/>
      <c r="I32" s="80"/>
      <c r="J32" s="80"/>
      <c r="K32" s="66"/>
      <c r="L32" s="63">
        <f t="shared" si="7"/>
        <v>0</v>
      </c>
      <c r="M32" s="72">
        <f>B32*(C32*C$26+D32*D$26+E32*E$26+F32*F$26+G32*G$26+H32*H$26+I32*I$26+J32*J$26+K32*K$26)</f>
        <v>0</v>
      </c>
      <c r="N32" s="176">
        <f>B32*(C32*C$27+D32*D$27+E32*E$27+F32*F$27+G32*G$27+H32*H$27+I32*I$27+J32*J$27+K32*K$27)</f>
        <v>0</v>
      </c>
    </row>
    <row r="33" spans="1:14" x14ac:dyDescent="0.25">
      <c r="A33" s="175" t="s">
        <v>222</v>
      </c>
      <c r="B33" s="113"/>
      <c r="C33" s="97"/>
      <c r="D33" s="98"/>
      <c r="E33" s="98"/>
      <c r="F33" s="99"/>
      <c r="G33" s="78"/>
      <c r="H33" s="79"/>
      <c r="I33" s="79"/>
      <c r="J33" s="80"/>
      <c r="K33" s="66"/>
      <c r="L33" s="63">
        <f t="shared" si="7"/>
        <v>0</v>
      </c>
      <c r="M33" s="72">
        <f>B33*(C33*C$26+D33*D$26+E33*E$26+F33*F$26+G33*G$26+H33*H$26+I33*I$26+J33*J$26+K33*K$26)</f>
        <v>0</v>
      </c>
      <c r="N33" s="176">
        <f>B33*(C33*C$27+D33*D$27+E33*E$27+F33*F$27+G33*G$27+H33*H$27+I33*I$27+J33*J$27+K33*K$27)</f>
        <v>0</v>
      </c>
    </row>
    <row r="34" spans="1:14" s="75" customFormat="1" ht="15.75" thickBot="1" x14ac:dyDescent="0.3">
      <c r="A34" s="73" t="s">
        <v>16</v>
      </c>
      <c r="B34" s="116"/>
      <c r="C34" s="106">
        <f>C28*$B28+C29*$B29+C30*$B30+C31*$B31+C32*$B32+C33*$B33</f>
        <v>0</v>
      </c>
      <c r="D34" s="106">
        <f>D28*$B28+D29*$B29+D30*$B30+D31*$B31+D32*$B32+D33*$B33</f>
        <v>0</v>
      </c>
      <c r="E34" s="106">
        <f>E28*$B28+E29*$B29+E30*$B30+E31*$B31+E32*$B32+E33*$B33</f>
        <v>0</v>
      </c>
      <c r="F34" s="106">
        <f>F28*$B28+F29*$B29+F30*$B30+F31*$B31+F32*$B32+F33*$B33</f>
        <v>0</v>
      </c>
      <c r="G34" s="117"/>
      <c r="H34" s="117"/>
      <c r="I34" s="117"/>
      <c r="J34" s="117"/>
      <c r="K34" s="117"/>
      <c r="L34" s="74">
        <f>SUM(L28:L33)</f>
        <v>0</v>
      </c>
      <c r="M34" s="107">
        <f>$C34*C26+$D34*D26+$E34*E26+$F34*F26</f>
        <v>0</v>
      </c>
      <c r="N34" s="108">
        <f>$C34*C27+$D34*D27+$E34*E27+$F34*F27</f>
        <v>0</v>
      </c>
    </row>
  </sheetData>
  <sheetProtection algorithmName="SHA-512" hashValue="H2ywyx3T7o6Ih5zt3yXR2e3rusqr3xCb29i4LnoDrpd4yf5mKukprZehVYSFe+njA3xbOynyHOOEVYdNzctBRw==" saltValue="EQpyS9XyhdbjVBdkF0lyyw==" spinCount="100000" sheet="1" objects="1" scenarios="1"/>
  <mergeCells count="10">
    <mergeCell ref="A1:K1"/>
    <mergeCell ref="L6:L7"/>
    <mergeCell ref="M6:M7"/>
    <mergeCell ref="N6:N7"/>
    <mergeCell ref="A3:I3"/>
    <mergeCell ref="C5:K5"/>
    <mergeCell ref="A6:A7"/>
    <mergeCell ref="B6:B7"/>
    <mergeCell ref="C6:E6"/>
    <mergeCell ref="F6:K6"/>
  </mergeCells>
  <pageMargins left="0.70866141732283472" right="0.70866141732283472" top="0.92041666666666666" bottom="0.74803149606299213" header="0.31496062992125984" footer="0.31496062992125984"/>
  <pageSetup paperSize="9" scale="61" orientation="landscape" r:id="rId1"/>
  <headerFooter>
    <oddFooter>&amp;Lv.01.01.2025</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pageSetUpPr fitToPage="1"/>
  </sheetPr>
  <dimension ref="A1:H37"/>
  <sheetViews>
    <sheetView showGridLines="0" zoomScaleNormal="100" workbookViewId="0">
      <selection activeCell="A2" sqref="A2"/>
    </sheetView>
  </sheetViews>
  <sheetFormatPr baseColWidth="10" defaultColWidth="11.42578125" defaultRowHeight="15" x14ac:dyDescent="0.25"/>
  <cols>
    <col min="1" max="1" width="30.28515625" style="19" customWidth="1"/>
    <col min="2" max="2" width="6.7109375" style="19" bestFit="1" customWidth="1"/>
    <col min="3" max="4" width="15.7109375" style="19" customWidth="1"/>
    <col min="5" max="5" width="19.28515625" style="19" customWidth="1"/>
    <col min="6" max="6" width="6.28515625" style="33" bestFit="1" customWidth="1"/>
    <col min="7" max="7" width="9" style="19" bestFit="1" customWidth="1"/>
    <col min="8" max="8" width="10.5703125" style="19" bestFit="1" customWidth="1"/>
    <col min="9" max="16384" width="11.42578125" style="19"/>
  </cols>
  <sheetData>
    <row r="1" spans="1:8" ht="15" customHeight="1" x14ac:dyDescent="0.25">
      <c r="A1" s="273" t="str">
        <f>CONCATENATE("Q52a Exploitation à l'année - C. Animaux - ",A.Exploitation!A5," ",A.Exploitation!B5,"- ",A.Exploitation!B13," ",A.Exploitation!B12," - UHZ n° ",A.Exploitation!F5)</f>
        <v>Q52a Exploitation à l'année - C. Animaux - CAMAC n° -   - UHZ n° A remplir par l'autorité cantonale</v>
      </c>
      <c r="B1" s="273"/>
      <c r="C1" s="273"/>
      <c r="D1" s="273"/>
      <c r="E1" s="273"/>
      <c r="F1" s="273"/>
      <c r="G1" s="273"/>
      <c r="H1" s="184">
        <f ca="1">IF(A.Exploitation!B6=0,TODAY(),A.Exploitation!B6)</f>
        <v>45639</v>
      </c>
    </row>
    <row r="2" spans="1:8" x14ac:dyDescent="0.25">
      <c r="A2" s="234"/>
      <c r="B2" s="34"/>
      <c r="C2" s="34"/>
      <c r="D2" s="34"/>
      <c r="F2" s="19"/>
    </row>
    <row r="3" spans="1:8" ht="42.6" customHeight="1" x14ac:dyDescent="0.25">
      <c r="A3" s="288" t="s">
        <v>231</v>
      </c>
      <c r="B3" s="288"/>
      <c r="C3" s="288"/>
      <c r="D3" s="288"/>
      <c r="E3" s="288"/>
      <c r="F3" s="288"/>
      <c r="G3" s="288"/>
      <c r="H3" s="288"/>
    </row>
    <row r="4" spans="1:8" ht="15.75" thickBot="1" x14ac:dyDescent="0.3">
      <c r="A4" s="34"/>
      <c r="B4" s="34"/>
      <c r="C4" s="34"/>
      <c r="D4" s="34"/>
      <c r="F4" s="19"/>
    </row>
    <row r="5" spans="1:8" ht="15" customHeight="1" thickBot="1" x14ac:dyDescent="0.3">
      <c r="C5" s="289" t="s">
        <v>13</v>
      </c>
      <c r="D5" s="290"/>
      <c r="E5" s="291"/>
      <c r="F5" s="66"/>
      <c r="G5" s="67"/>
      <c r="H5" s="67"/>
    </row>
    <row r="6" spans="1:8" ht="30" x14ac:dyDescent="0.25">
      <c r="A6" s="27" t="s">
        <v>24</v>
      </c>
      <c r="B6" s="173" t="s">
        <v>14</v>
      </c>
      <c r="C6" s="173" t="s">
        <v>111</v>
      </c>
      <c r="D6" s="173" t="s">
        <v>112</v>
      </c>
      <c r="E6" s="173" t="s">
        <v>110</v>
      </c>
      <c r="F6" s="77" t="s">
        <v>15</v>
      </c>
      <c r="G6" s="109" t="s">
        <v>75</v>
      </c>
      <c r="H6" s="110" t="s">
        <v>76</v>
      </c>
    </row>
    <row r="7" spans="1:8" s="69" customFormat="1" ht="14.65" customHeight="1" x14ac:dyDescent="0.25">
      <c r="A7" s="29" t="s">
        <v>283</v>
      </c>
      <c r="B7" s="68"/>
      <c r="C7" s="155">
        <v>3.5</v>
      </c>
      <c r="D7" s="155">
        <v>2</v>
      </c>
      <c r="E7" s="155">
        <v>2</v>
      </c>
      <c r="F7" s="88"/>
      <c r="G7" s="89"/>
      <c r="H7" s="131"/>
    </row>
    <row r="8" spans="1:8" s="69" customFormat="1" ht="14.65" customHeight="1" x14ac:dyDescent="0.25">
      <c r="A8" s="29" t="s">
        <v>208</v>
      </c>
      <c r="B8" s="68"/>
      <c r="C8" s="155">
        <v>0</v>
      </c>
      <c r="D8" s="155">
        <v>0</v>
      </c>
      <c r="E8" s="155">
        <v>0</v>
      </c>
      <c r="F8" s="90"/>
      <c r="G8" s="91"/>
      <c r="H8" s="132"/>
    </row>
    <row r="9" spans="1:8" x14ac:dyDescent="0.25">
      <c r="A9" s="70" t="s">
        <v>163</v>
      </c>
      <c r="B9" s="22">
        <v>0.01</v>
      </c>
      <c r="C9" s="93"/>
      <c r="D9" s="94"/>
      <c r="E9" s="95"/>
      <c r="F9" s="63">
        <f>B9*SUM(C9:E9)</f>
        <v>0</v>
      </c>
      <c r="G9" s="72">
        <f>$B9*($C9*$C$7+$D9*$D$7+$E9*$E$7)</f>
        <v>0</v>
      </c>
      <c r="H9" s="176">
        <f>$B9*($C9*$C$8+$D9*$D$8+$E9*$E$8)</f>
        <v>0</v>
      </c>
    </row>
    <row r="10" spans="1:8" x14ac:dyDescent="0.25">
      <c r="A10" s="70" t="s">
        <v>25</v>
      </c>
      <c r="B10" s="22">
        <v>4.0000000000000001E-3</v>
      </c>
      <c r="C10" s="97"/>
      <c r="D10" s="98"/>
      <c r="E10" s="99"/>
      <c r="F10" s="63">
        <f>B10*SUM(C10:E10)</f>
        <v>0</v>
      </c>
      <c r="G10" s="72">
        <f>$B10*($C10*$C$7+$D10*$D$7+$E10*$E$7)</f>
        <v>0</v>
      </c>
      <c r="H10" s="176">
        <f t="shared" ref="H10:H13" si="0">$B10*($C10*$C$8+$D10*$D$8+$E10*$E$8)</f>
        <v>0</v>
      </c>
    </row>
    <row r="11" spans="1:8" x14ac:dyDescent="0.25">
      <c r="A11" s="70" t="s">
        <v>164</v>
      </c>
      <c r="B11" s="22">
        <v>4.0000000000000001E-3</v>
      </c>
      <c r="C11" s="97"/>
      <c r="D11" s="98"/>
      <c r="E11" s="99"/>
      <c r="F11" s="63">
        <f>B11*SUM(C11:E11)</f>
        <v>0</v>
      </c>
      <c r="G11" s="72">
        <f>$B11*($C11*$C$7+$D11*$D$7+$E11*$E$7)</f>
        <v>0</v>
      </c>
      <c r="H11" s="176">
        <f t="shared" si="0"/>
        <v>0</v>
      </c>
    </row>
    <row r="12" spans="1:8" x14ac:dyDescent="0.25">
      <c r="A12" s="70" t="s">
        <v>26</v>
      </c>
      <c r="B12" s="22">
        <v>1.4999999999999999E-2</v>
      </c>
      <c r="C12" s="97"/>
      <c r="D12" s="98"/>
      <c r="E12" s="99"/>
      <c r="F12" s="63">
        <f>B12*SUM(C12:E12)</f>
        <v>0</v>
      </c>
      <c r="G12" s="72">
        <f t="shared" ref="G12:G13" si="1">$B12*($C12*$C$7+$D12*$D$7+$E12*$E$7)</f>
        <v>0</v>
      </c>
      <c r="H12" s="176">
        <f t="shared" si="0"/>
        <v>0</v>
      </c>
    </row>
    <row r="13" spans="1:8" x14ac:dyDescent="0.25">
      <c r="A13" s="175" t="s">
        <v>222</v>
      </c>
      <c r="B13" s="26"/>
      <c r="C13" s="101"/>
      <c r="D13" s="102"/>
      <c r="E13" s="103"/>
      <c r="F13" s="63">
        <f>B13*SUM(C13:E13)</f>
        <v>0</v>
      </c>
      <c r="G13" s="72">
        <f t="shared" si="1"/>
        <v>0</v>
      </c>
      <c r="H13" s="176">
        <f t="shared" si="0"/>
        <v>0</v>
      </c>
    </row>
    <row r="14" spans="1:8" s="75" customFormat="1" ht="15.75" thickBot="1" x14ac:dyDescent="0.3">
      <c r="A14" s="73" t="s">
        <v>16</v>
      </c>
      <c r="B14" s="105"/>
      <c r="C14" s="106">
        <f>C9*$B9+C10*$B10+C11*$B11+C12*$B12+C13*$B13</f>
        <v>0</v>
      </c>
      <c r="D14" s="106">
        <f>D9*$B9+D10*$B10+D11*$B11+D12*$B12+D13*$B13</f>
        <v>0</v>
      </c>
      <c r="E14" s="106">
        <f>E9*$B9+E10*$B10+E11*$B11+E12*$B12+E13*$B13</f>
        <v>0</v>
      </c>
      <c r="F14" s="74">
        <f>SUM(F9:F13)</f>
        <v>0</v>
      </c>
      <c r="G14" s="107">
        <f>$C14*C7+$D14*D7+$E14*E7</f>
        <v>0</v>
      </c>
      <c r="H14" s="108">
        <f>$C14*C8+$D14*D8+$E14*E8</f>
        <v>0</v>
      </c>
    </row>
    <row r="15" spans="1:8" ht="32.25" x14ac:dyDescent="0.25">
      <c r="A15" s="27" t="s">
        <v>219</v>
      </c>
      <c r="B15" s="173" t="s">
        <v>14</v>
      </c>
      <c r="C15" s="173" t="s">
        <v>28</v>
      </c>
      <c r="D15" s="120"/>
      <c r="E15" s="120"/>
      <c r="F15" s="77" t="s">
        <v>15</v>
      </c>
      <c r="G15" s="109" t="s">
        <v>75</v>
      </c>
      <c r="H15" s="110" t="s">
        <v>77</v>
      </c>
    </row>
    <row r="16" spans="1:8" s="69" customFormat="1" x14ac:dyDescent="0.25">
      <c r="A16" s="29" t="s">
        <v>283</v>
      </c>
      <c r="B16" s="68"/>
      <c r="C16" s="155">
        <v>8.5</v>
      </c>
      <c r="D16" s="111"/>
      <c r="E16" s="111"/>
      <c r="F16" s="88"/>
      <c r="G16" s="89"/>
      <c r="H16" s="131"/>
    </row>
    <row r="17" spans="1:8" s="69" customFormat="1" ht="17.25" x14ac:dyDescent="0.25">
      <c r="A17" s="29" t="s">
        <v>208</v>
      </c>
      <c r="B17" s="68"/>
      <c r="C17" s="155">
        <v>0</v>
      </c>
      <c r="D17" s="111"/>
      <c r="E17" s="111"/>
      <c r="F17" s="90"/>
      <c r="G17" s="91"/>
      <c r="H17" s="132"/>
    </row>
    <row r="18" spans="1:8" x14ac:dyDescent="0.25">
      <c r="A18" s="70" t="s">
        <v>42</v>
      </c>
      <c r="B18" s="22">
        <v>0.2</v>
      </c>
      <c r="C18" s="121"/>
      <c r="D18" s="111"/>
      <c r="E18" s="111"/>
      <c r="F18" s="63">
        <f>B18*SUM(C18:E18)</f>
        <v>0</v>
      </c>
      <c r="G18" s="72">
        <f>B18*(C18*C$16+D18*D$16+E18*E$16)</f>
        <v>0</v>
      </c>
      <c r="H18" s="176">
        <f>B18*(C18*C$17+D18*D$17+E18*E$17)</f>
        <v>0</v>
      </c>
    </row>
    <row r="19" spans="1:8" x14ac:dyDescent="0.25">
      <c r="A19" s="70" t="s">
        <v>289</v>
      </c>
      <c r="B19" s="22">
        <v>0.25</v>
      </c>
      <c r="C19" s="122"/>
      <c r="D19" s="66"/>
      <c r="E19" s="66"/>
      <c r="F19" s="63">
        <f>B19*SUM(C19:E19)</f>
        <v>0</v>
      </c>
      <c r="G19" s="72">
        <f t="shared" ref="G19" si="2">B19*(C19*C$16+D19*D$16+E19*E$16)</f>
        <v>0</v>
      </c>
      <c r="H19" s="176">
        <f t="shared" ref="H19" si="3">B19*(C19*C$17+D19*D$17+E19*E$17)</f>
        <v>0</v>
      </c>
    </row>
    <row r="20" spans="1:8" ht="14.65" customHeight="1" x14ac:dyDescent="0.25">
      <c r="A20" s="70" t="s">
        <v>290</v>
      </c>
      <c r="B20" s="22">
        <v>0.06</v>
      </c>
      <c r="C20" s="122"/>
      <c r="D20" s="66"/>
      <c r="E20" s="80"/>
      <c r="F20" s="63">
        <f t="shared" ref="F20:F22" si="4">B20*SUM(C20:E20)</f>
        <v>0</v>
      </c>
      <c r="G20" s="72">
        <f t="shared" ref="G20:G22" si="5">B20*(C20*C$16+D20*D$16+E20*E$16)</f>
        <v>0</v>
      </c>
      <c r="H20" s="176">
        <f t="shared" ref="H20:H22" si="6">B20*(C20*C$17+D20*D$17+E20*E$17)</f>
        <v>0</v>
      </c>
    </row>
    <row r="21" spans="1:8" x14ac:dyDescent="0.25">
      <c r="A21" s="70" t="s">
        <v>291</v>
      </c>
      <c r="B21" s="22">
        <v>0.03</v>
      </c>
      <c r="C21" s="122"/>
      <c r="D21" s="66"/>
      <c r="E21" s="66"/>
      <c r="F21" s="63">
        <f t="shared" si="4"/>
        <v>0</v>
      </c>
      <c r="G21" s="72">
        <f t="shared" si="5"/>
        <v>0</v>
      </c>
      <c r="H21" s="176">
        <f t="shared" si="6"/>
        <v>0</v>
      </c>
    </row>
    <row r="22" spans="1:8" x14ac:dyDescent="0.25">
      <c r="A22" s="70" t="s">
        <v>165</v>
      </c>
      <c r="B22" s="22">
        <v>0.17</v>
      </c>
      <c r="C22" s="122"/>
      <c r="D22" s="66"/>
      <c r="E22" s="66"/>
      <c r="F22" s="63">
        <f t="shared" si="4"/>
        <v>0</v>
      </c>
      <c r="G22" s="72">
        <f t="shared" si="5"/>
        <v>0</v>
      </c>
      <c r="H22" s="176">
        <f t="shared" si="6"/>
        <v>0</v>
      </c>
    </row>
    <row r="23" spans="1:8" x14ac:dyDescent="0.25">
      <c r="A23" s="175" t="s">
        <v>222</v>
      </c>
      <c r="B23" s="83"/>
      <c r="C23" s="123"/>
      <c r="D23" s="66"/>
      <c r="E23" s="66"/>
      <c r="F23" s="63">
        <f>B23*SUM(C23:E23)</f>
        <v>0</v>
      </c>
      <c r="G23" s="72">
        <f>B23*(C23*C$16+D23*D$16+E23*E$16)</f>
        <v>0</v>
      </c>
      <c r="H23" s="176">
        <f>B23*(C23*C$17+D23*D$17+E23*E$17)</f>
        <v>0</v>
      </c>
    </row>
    <row r="24" spans="1:8" s="75" customFormat="1" ht="15.75" thickBot="1" x14ac:dyDescent="0.3">
      <c r="A24" s="73" t="s">
        <v>16</v>
      </c>
      <c r="B24" s="124"/>
      <c r="C24" s="106">
        <f>C18*$B18+C19*$B19+C22*$B22+C23*$B23+B20*C20+B21*C21</f>
        <v>0</v>
      </c>
      <c r="D24" s="106"/>
      <c r="E24" s="106"/>
      <c r="F24" s="59">
        <f>SUM(F18:F23)</f>
        <v>0</v>
      </c>
      <c r="G24" s="107">
        <f>$C24*C16</f>
        <v>0</v>
      </c>
      <c r="H24" s="108">
        <f>$C24*C17</f>
        <v>0</v>
      </c>
    </row>
    <row r="25" spans="1:8" ht="30" x14ac:dyDescent="0.25">
      <c r="A25" s="27" t="s">
        <v>209</v>
      </c>
      <c r="B25" s="173" t="s">
        <v>14</v>
      </c>
      <c r="C25" s="173" t="s">
        <v>56</v>
      </c>
      <c r="D25" s="178"/>
      <c r="E25" s="178"/>
      <c r="F25" s="77" t="s">
        <v>15</v>
      </c>
      <c r="G25" s="109" t="s">
        <v>75</v>
      </c>
      <c r="H25" s="110" t="s">
        <v>76</v>
      </c>
    </row>
    <row r="26" spans="1:8" x14ac:dyDescent="0.25">
      <c r="A26" s="29" t="s">
        <v>283</v>
      </c>
      <c r="B26" s="68"/>
      <c r="C26" s="155">
        <f>12/0.8</f>
        <v>15</v>
      </c>
      <c r="D26" s="178"/>
      <c r="E26" s="178"/>
      <c r="F26" s="88"/>
      <c r="G26" s="89"/>
      <c r="H26" s="131"/>
    </row>
    <row r="27" spans="1:8" ht="17.25" x14ac:dyDescent="0.25">
      <c r="A27" s="29" t="s">
        <v>208</v>
      </c>
      <c r="B27" s="68"/>
      <c r="C27" s="155">
        <v>0</v>
      </c>
      <c r="D27" s="178"/>
      <c r="E27" s="178"/>
      <c r="F27" s="90"/>
      <c r="G27" s="91"/>
      <c r="H27" s="132"/>
    </row>
    <row r="28" spans="1:8" x14ac:dyDescent="0.25">
      <c r="A28" s="70" t="s">
        <v>210</v>
      </c>
      <c r="B28" s="22">
        <v>0.8</v>
      </c>
      <c r="C28" s="121"/>
      <c r="D28" s="178"/>
      <c r="E28" s="178"/>
      <c r="F28" s="63">
        <f t="shared" ref="F28:F34" si="7">B28*SUM(C28:E28)</f>
        <v>0</v>
      </c>
      <c r="G28" s="72">
        <f>$B28*($C28*$C$26+$D28*$D$26+$E28*$E$26)</f>
        <v>0</v>
      </c>
      <c r="H28" s="176">
        <f>$B28*($C28*$C$27+$D28*$D$27+$E28*$E$27)</f>
        <v>0</v>
      </c>
    </row>
    <row r="29" spans="1:8" x14ac:dyDescent="0.25">
      <c r="A29" s="70" t="s">
        <v>211</v>
      </c>
      <c r="B29" s="22">
        <v>0.4</v>
      </c>
      <c r="C29" s="122"/>
      <c r="D29" s="178"/>
      <c r="E29" s="178"/>
      <c r="F29" s="63">
        <f t="shared" si="7"/>
        <v>0</v>
      </c>
      <c r="G29" s="72">
        <f t="shared" ref="G29:G35" si="8">$B29*($C29*$C$26+$D29*$D$26+$E29*$E$26)</f>
        <v>0</v>
      </c>
      <c r="H29" s="176">
        <f t="shared" ref="H29:H35" si="9">$B29*($C29*$C$27+$D29*$D$27+$E29*$E$27)</f>
        <v>0</v>
      </c>
    </row>
    <row r="30" spans="1:8" x14ac:dyDescent="0.25">
      <c r="A30" s="70" t="s">
        <v>214</v>
      </c>
      <c r="B30" s="92">
        <v>0.17</v>
      </c>
      <c r="C30" s="122"/>
      <c r="D30" s="178"/>
      <c r="E30" s="178"/>
      <c r="F30" s="63">
        <f t="shared" si="7"/>
        <v>0</v>
      </c>
      <c r="G30" s="72">
        <f t="shared" si="8"/>
        <v>0</v>
      </c>
      <c r="H30" s="176">
        <f t="shared" si="9"/>
        <v>0</v>
      </c>
    </row>
    <row r="31" spans="1:8" x14ac:dyDescent="0.25">
      <c r="A31" s="70" t="s">
        <v>215</v>
      </c>
      <c r="B31" s="92">
        <v>0.11</v>
      </c>
      <c r="C31" s="122"/>
      <c r="D31" s="178"/>
      <c r="E31" s="178"/>
      <c r="F31" s="63">
        <f t="shared" si="7"/>
        <v>0</v>
      </c>
      <c r="G31" s="72">
        <f t="shared" si="8"/>
        <v>0</v>
      </c>
      <c r="H31" s="176">
        <f t="shared" si="9"/>
        <v>0</v>
      </c>
    </row>
    <row r="32" spans="1:8" x14ac:dyDescent="0.25">
      <c r="A32" s="70" t="s">
        <v>220</v>
      </c>
      <c r="B32" s="92">
        <v>0.11</v>
      </c>
      <c r="C32" s="122"/>
      <c r="D32" s="178"/>
      <c r="E32" s="178"/>
      <c r="F32" s="63">
        <f t="shared" si="7"/>
        <v>0</v>
      </c>
      <c r="G32" s="72">
        <f t="shared" si="8"/>
        <v>0</v>
      </c>
      <c r="H32" s="176">
        <f t="shared" si="9"/>
        <v>0</v>
      </c>
    </row>
    <row r="33" spans="1:8" x14ac:dyDescent="0.25">
      <c r="A33" s="70" t="s">
        <v>221</v>
      </c>
      <c r="B33" s="92">
        <v>7.0000000000000007E-2</v>
      </c>
      <c r="C33" s="122"/>
      <c r="D33" s="178"/>
      <c r="E33" s="178"/>
      <c r="F33" s="63">
        <f t="shared" si="7"/>
        <v>0</v>
      </c>
      <c r="G33" s="72">
        <f t="shared" si="8"/>
        <v>0</v>
      </c>
      <c r="H33" s="176">
        <f t="shared" si="9"/>
        <v>0</v>
      </c>
    </row>
    <row r="34" spans="1:8" x14ac:dyDescent="0.25">
      <c r="A34" s="70" t="s">
        <v>212</v>
      </c>
      <c r="B34" s="92">
        <v>0.1</v>
      </c>
      <c r="C34" s="122"/>
      <c r="D34" s="178"/>
      <c r="E34" s="178"/>
      <c r="F34" s="63">
        <f t="shared" si="7"/>
        <v>0</v>
      </c>
      <c r="G34" s="72">
        <f t="shared" si="8"/>
        <v>0</v>
      </c>
      <c r="H34" s="176">
        <f t="shared" si="9"/>
        <v>0</v>
      </c>
    </row>
    <row r="35" spans="1:8" x14ac:dyDescent="0.25">
      <c r="A35" s="70" t="s">
        <v>213</v>
      </c>
      <c r="B35" s="92">
        <v>0.2</v>
      </c>
      <c r="C35" s="122"/>
      <c r="D35" s="178"/>
      <c r="E35" s="178"/>
      <c r="F35" s="63">
        <f>B35*SUM(D35:E35)</f>
        <v>0</v>
      </c>
      <c r="G35" s="72">
        <f t="shared" si="8"/>
        <v>0</v>
      </c>
      <c r="H35" s="176">
        <f t="shared" si="9"/>
        <v>0</v>
      </c>
    </row>
    <row r="36" spans="1:8" x14ac:dyDescent="0.25">
      <c r="A36" s="175" t="s">
        <v>222</v>
      </c>
      <c r="B36" s="26"/>
      <c r="C36" s="162"/>
      <c r="D36" s="178"/>
      <c r="E36" s="163"/>
      <c r="F36" s="63">
        <f>B36*SUM(D36:E36)</f>
        <v>0</v>
      </c>
      <c r="G36" s="72">
        <f>$B36*($C36*$C$26+$D36*$D$26+$E36*$E$26)</f>
        <v>0</v>
      </c>
      <c r="H36" s="176">
        <f>$B36*($C36*$C$27+$D36*$D$27+$E36*$E$27)</f>
        <v>0</v>
      </c>
    </row>
    <row r="37" spans="1:8" ht="15.75" thickBot="1" x14ac:dyDescent="0.3">
      <c r="A37" s="73" t="s">
        <v>16</v>
      </c>
      <c r="B37" s="105"/>
      <c r="C37" s="106">
        <f>C28*$B28+C29*$B29+C30*$B30+C31*$B31++C32*$B32+C33*$B33+C34*$B34+C35*$B35+C36*$B36</f>
        <v>0</v>
      </c>
      <c r="D37" s="106"/>
      <c r="E37" s="106"/>
      <c r="F37" s="74">
        <f>SUM(F28:F36)</f>
        <v>0</v>
      </c>
      <c r="G37" s="107">
        <f>$C37*C26+$D37*D26+$E37*E26</f>
        <v>0</v>
      </c>
      <c r="H37" s="108">
        <f>$C37*C27+$D37*D27+$E37*E27</f>
        <v>0</v>
      </c>
    </row>
  </sheetData>
  <sheetProtection algorithmName="SHA-512" hashValue="iqDK5esCUEHv6oMTOeHmxX15gRwIBM6/of6Usv7j3QNc0lrfso4cJ8nSdnR0lNw8CnY3NHeAJKq9dYTLgvzeZg==" saltValue="VME6qz5+DePIgsVb9PFmdA==" spinCount="100000" sheet="1" objects="1" scenarios="1"/>
  <mergeCells count="3">
    <mergeCell ref="C5:E5"/>
    <mergeCell ref="A3:H3"/>
    <mergeCell ref="A1:G1"/>
  </mergeCells>
  <pageMargins left="0.70866141732283472" right="0.70866141732283472" top="0.92041666666666666" bottom="0.74803149606299213" header="0.31496062992125984" footer="0.31496062992125984"/>
  <pageSetup paperSize="9" scale="76" orientation="landscape" r:id="rId1"/>
  <headerFooter>
    <oddFooter>&amp;Lv.01.01.2025</oddFooter>
  </headerFooter>
  <ignoredErrors>
    <ignoredError sqref="F23" formulaRange="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1:J41"/>
  <sheetViews>
    <sheetView showGridLines="0" topLeftCell="A27" zoomScaleNormal="100" workbookViewId="0">
      <selection activeCell="A47" sqref="A47"/>
    </sheetView>
  </sheetViews>
  <sheetFormatPr baseColWidth="10" defaultColWidth="11.42578125" defaultRowHeight="15" x14ac:dyDescent="0.25"/>
  <cols>
    <col min="1" max="1" width="38.28515625" style="19" bestFit="1" customWidth="1"/>
    <col min="2" max="2" width="11.42578125" style="19"/>
    <col min="3" max="3" width="12.7109375" style="19" bestFit="1" customWidth="1"/>
    <col min="4" max="4" width="13.28515625" style="19" bestFit="1" customWidth="1"/>
    <col min="5" max="5" width="15.5703125" style="19" customWidth="1"/>
    <col min="6" max="16384" width="11.42578125" style="19"/>
  </cols>
  <sheetData>
    <row r="1" spans="1:10" x14ac:dyDescent="0.25">
      <c r="A1" s="273" t="str">
        <f>CONCATENATE("Q52a Exploitation à l'année - D. bilan des engrais - ",A.Exploitation!A5," ",A.Exploitation!B5,"- ",A.Exploitation!B13," ",A.Exploitation!B12," - UHZ n° ",A.Exploitation!F5)</f>
        <v>Q52a Exploitation à l'année - D. bilan des engrais - CAMAC n° -   - UHZ n° A remplir par l'autorité cantonale</v>
      </c>
      <c r="B1" s="273"/>
      <c r="C1" s="273"/>
      <c r="D1" s="273"/>
      <c r="E1" s="184">
        <f ca="1">IF(A.Exploitation!B6=0,TODAY(),A.Exploitation!B6)</f>
        <v>45639</v>
      </c>
    </row>
    <row r="2" spans="1:10" x14ac:dyDescent="0.25">
      <c r="A2" s="234"/>
      <c r="B2" s="128"/>
      <c r="C2" s="128"/>
      <c r="D2" s="128"/>
      <c r="E2" s="129"/>
    </row>
    <row r="3" spans="1:10" ht="31.15" customHeight="1" x14ac:dyDescent="0.25">
      <c r="A3" s="318" t="s">
        <v>167</v>
      </c>
      <c r="B3" s="319"/>
      <c r="C3" s="319"/>
      <c r="D3" s="319"/>
      <c r="E3" s="319"/>
      <c r="F3" s="64"/>
      <c r="G3" s="64"/>
      <c r="H3" s="64"/>
      <c r="I3" s="64"/>
      <c r="J3" s="64"/>
    </row>
    <row r="4" spans="1:10" ht="31.15" customHeight="1" x14ac:dyDescent="0.25">
      <c r="A4" s="320" t="s">
        <v>168</v>
      </c>
      <c r="B4" s="321"/>
      <c r="C4" s="321"/>
      <c r="D4" s="321"/>
      <c r="E4" s="321"/>
      <c r="F4" s="64"/>
      <c r="G4" s="64"/>
      <c r="H4" s="64"/>
      <c r="I4" s="64"/>
      <c r="J4" s="64"/>
    </row>
    <row r="5" spans="1:10" ht="18.600000000000001" customHeight="1" x14ac:dyDescent="0.25">
      <c r="A5" s="322" t="s">
        <v>169</v>
      </c>
      <c r="B5" s="322"/>
      <c r="C5" s="322"/>
      <c r="D5" s="322"/>
      <c r="E5" s="323"/>
    </row>
    <row r="7" spans="1:10" ht="17.25" x14ac:dyDescent="0.25">
      <c r="B7" s="31" t="s">
        <v>15</v>
      </c>
      <c r="C7" s="31" t="s">
        <v>114</v>
      </c>
      <c r="D7" s="31" t="s">
        <v>171</v>
      </c>
    </row>
    <row r="8" spans="1:10" x14ac:dyDescent="0.25">
      <c r="A8" s="62" t="s">
        <v>115</v>
      </c>
      <c r="B8" s="63">
        <f>SUM('C1.Animaux'!L17,'C1.Animaux'!L24,'C1.Animaux'!L34)+SUM('C2.Animaux'!F14,'C2.Animaux'!F24,'C2.Animaux'!F37)</f>
        <v>0</v>
      </c>
      <c r="C8" s="63">
        <f>SUM('C1.Animaux'!M17,'C1.Animaux'!M24,'C1.Animaux'!M34)+SUM('C2.Animaux'!G14,'C2.Animaux'!G24,'C2.Animaux'!G37)</f>
        <v>0</v>
      </c>
      <c r="D8" s="63">
        <f>SUM('C1.Animaux'!N17,'C1.Animaux'!N24,'C1.Animaux'!N34)+SUM('C2.Animaux'!H14,'C2.Animaux'!H24,'C2.Animaux'!H37)</f>
        <v>0</v>
      </c>
      <c r="E8" s="64"/>
    </row>
    <row r="9" spans="1:10" x14ac:dyDescent="0.25">
      <c r="A9" s="62" t="s">
        <v>116</v>
      </c>
      <c r="B9" s="63" t="s">
        <v>56</v>
      </c>
      <c r="C9" s="63">
        <f>C8/12</f>
        <v>0</v>
      </c>
      <c r="D9" s="63">
        <f>D8/12</f>
        <v>0</v>
      </c>
      <c r="E9" s="64"/>
    </row>
    <row r="10" spans="1:10" x14ac:dyDescent="0.25">
      <c r="B10" s="33"/>
      <c r="C10" s="33"/>
      <c r="D10" s="33"/>
      <c r="E10" s="64"/>
    </row>
    <row r="11" spans="1:10" ht="30" x14ac:dyDescent="0.25">
      <c r="B11" s="31" t="s">
        <v>15</v>
      </c>
      <c r="C11" s="31" t="s">
        <v>27</v>
      </c>
      <c r="D11" s="24" t="s">
        <v>59</v>
      </c>
    </row>
    <row r="12" spans="1:10" ht="30" x14ac:dyDescent="0.25">
      <c r="A12" s="62" t="s">
        <v>240</v>
      </c>
      <c r="B12" s="125"/>
      <c r="C12" s="126"/>
      <c r="D12" s="63">
        <f>IF(B12=0,0,B12*C12/12)</f>
        <v>0</v>
      </c>
    </row>
    <row r="13" spans="1:10" ht="15" customHeight="1" x14ac:dyDescent="0.25">
      <c r="A13" s="62" t="s">
        <v>55</v>
      </c>
      <c r="B13" s="63" t="s">
        <v>56</v>
      </c>
      <c r="C13" s="63" t="s">
        <v>56</v>
      </c>
      <c r="D13" s="63">
        <f>B8-D12</f>
        <v>0</v>
      </c>
    </row>
    <row r="14" spans="1:10" x14ac:dyDescent="0.25">
      <c r="A14" s="62" t="s">
        <v>9</v>
      </c>
      <c r="B14" s="63" t="s">
        <v>56</v>
      </c>
      <c r="C14" s="63" t="s">
        <v>56</v>
      </c>
      <c r="D14" s="63">
        <f>B.Surface!H23</f>
        <v>0</v>
      </c>
    </row>
    <row r="15" spans="1:10" x14ac:dyDescent="0.25">
      <c r="B15" s="33"/>
      <c r="C15" s="33"/>
      <c r="D15" s="33"/>
      <c r="E15" s="64"/>
    </row>
    <row r="16" spans="1:10" x14ac:dyDescent="0.25">
      <c r="A16" s="324" t="s">
        <v>241</v>
      </c>
      <c r="B16" s="325"/>
      <c r="C16" s="325"/>
      <c r="D16" s="326"/>
    </row>
    <row r="17" spans="1:5" ht="29.1" customHeight="1" x14ac:dyDescent="0.25">
      <c r="A17" s="327"/>
      <c r="B17" s="328"/>
      <c r="C17" s="328"/>
      <c r="D17" s="329"/>
    </row>
    <row r="18" spans="1:5" x14ac:dyDescent="0.25">
      <c r="B18" s="33"/>
      <c r="C18" s="33"/>
      <c r="D18" s="33"/>
    </row>
    <row r="19" spans="1:5" x14ac:dyDescent="0.25">
      <c r="A19" s="62" t="s">
        <v>170</v>
      </c>
      <c r="B19" s="65">
        <f>(D14-'D.Bilan Engrais'!D13)</f>
        <v>0</v>
      </c>
      <c r="C19" s="33"/>
      <c r="D19" s="33"/>
    </row>
    <row r="20" spans="1:5" x14ac:dyDescent="0.25">
      <c r="E20" s="236"/>
    </row>
    <row r="21" spans="1:5" ht="18.75" customHeight="1" x14ac:dyDescent="0.25"/>
    <row r="22" spans="1:5" x14ac:dyDescent="0.25">
      <c r="A22" s="299" t="s">
        <v>193</v>
      </c>
      <c r="B22" s="300"/>
      <c r="C22" s="300"/>
      <c r="D22" s="300"/>
      <c r="E22" s="301"/>
    </row>
    <row r="23" spans="1:5" x14ac:dyDescent="0.25">
      <c r="A23" s="302"/>
      <c r="B23" s="303"/>
      <c r="C23" s="303"/>
      <c r="D23" s="303"/>
      <c r="E23" s="304"/>
    </row>
    <row r="24" spans="1:5" x14ac:dyDescent="0.25">
      <c r="A24" s="302"/>
      <c r="B24" s="303"/>
      <c r="C24" s="303"/>
      <c r="D24" s="303"/>
      <c r="E24" s="304"/>
    </row>
    <row r="25" spans="1:5" x14ac:dyDescent="0.25">
      <c r="A25" s="305"/>
      <c r="B25" s="306"/>
      <c r="C25" s="306"/>
      <c r="D25" s="306"/>
      <c r="E25" s="307"/>
    </row>
    <row r="27" spans="1:5" x14ac:dyDescent="0.25">
      <c r="A27" s="317" t="s">
        <v>118</v>
      </c>
      <c r="B27" s="317"/>
      <c r="C27" s="317"/>
      <c r="D27" s="317"/>
      <c r="E27" s="317"/>
    </row>
    <row r="28" spans="1:5" x14ac:dyDescent="0.25">
      <c r="A28" s="308"/>
      <c r="B28" s="309"/>
      <c r="C28" s="309"/>
      <c r="D28" s="309"/>
      <c r="E28" s="310"/>
    </row>
    <row r="29" spans="1:5" x14ac:dyDescent="0.25">
      <c r="A29" s="311"/>
      <c r="B29" s="312"/>
      <c r="C29" s="312"/>
      <c r="D29" s="312"/>
      <c r="E29" s="313"/>
    </row>
    <row r="30" spans="1:5" x14ac:dyDescent="0.25">
      <c r="A30" s="311"/>
      <c r="B30" s="312"/>
      <c r="C30" s="312"/>
      <c r="D30" s="312"/>
      <c r="E30" s="313"/>
    </row>
    <row r="31" spans="1:5" x14ac:dyDescent="0.25">
      <c r="A31" s="311"/>
      <c r="B31" s="312"/>
      <c r="C31" s="312"/>
      <c r="D31" s="312"/>
      <c r="E31" s="313"/>
    </row>
    <row r="32" spans="1:5" x14ac:dyDescent="0.25">
      <c r="A32" s="311"/>
      <c r="B32" s="312"/>
      <c r="C32" s="312"/>
      <c r="D32" s="312"/>
      <c r="E32" s="313"/>
    </row>
    <row r="33" spans="1:5" x14ac:dyDescent="0.25">
      <c r="A33" s="311"/>
      <c r="B33" s="312"/>
      <c r="C33" s="312"/>
      <c r="D33" s="312"/>
      <c r="E33" s="313"/>
    </row>
    <row r="34" spans="1:5" x14ac:dyDescent="0.25">
      <c r="A34" s="311"/>
      <c r="B34" s="312"/>
      <c r="C34" s="312"/>
      <c r="D34" s="312"/>
      <c r="E34" s="313"/>
    </row>
    <row r="35" spans="1:5" x14ac:dyDescent="0.25">
      <c r="A35" s="311"/>
      <c r="B35" s="312"/>
      <c r="C35" s="312"/>
      <c r="D35" s="312"/>
      <c r="E35" s="313"/>
    </row>
    <row r="36" spans="1:5" x14ac:dyDescent="0.25">
      <c r="A36" s="311"/>
      <c r="B36" s="312"/>
      <c r="C36" s="312"/>
      <c r="D36" s="312"/>
      <c r="E36" s="313"/>
    </row>
    <row r="37" spans="1:5" x14ac:dyDescent="0.25">
      <c r="A37" s="311"/>
      <c r="B37" s="312"/>
      <c r="C37" s="312"/>
      <c r="D37" s="312"/>
      <c r="E37" s="313"/>
    </row>
    <row r="38" spans="1:5" x14ac:dyDescent="0.25">
      <c r="A38" s="311"/>
      <c r="B38" s="312"/>
      <c r="C38" s="312"/>
      <c r="D38" s="312"/>
      <c r="E38" s="313"/>
    </row>
    <row r="39" spans="1:5" x14ac:dyDescent="0.25">
      <c r="A39" s="311"/>
      <c r="B39" s="312"/>
      <c r="C39" s="312"/>
      <c r="D39" s="312"/>
      <c r="E39" s="313"/>
    </row>
    <row r="40" spans="1:5" x14ac:dyDescent="0.25">
      <c r="A40" s="311"/>
      <c r="B40" s="312"/>
      <c r="C40" s="312"/>
      <c r="D40" s="312"/>
      <c r="E40" s="313"/>
    </row>
    <row r="41" spans="1:5" x14ac:dyDescent="0.25">
      <c r="A41" s="314"/>
      <c r="B41" s="315"/>
      <c r="C41" s="315"/>
      <c r="D41" s="315"/>
      <c r="E41" s="316"/>
    </row>
  </sheetData>
  <sheetProtection algorithmName="SHA-512" hashValue="viHaKDquaHPu0gYyIw6K3x6mGuU3Xux7jAF08PZ05y3JkdWUoht86okpm7YHhpylXK4UMTAgOOBJQD7CZscnYQ==" saltValue="eUpsJjJfvYBJSwAdFth7HA==" spinCount="100000" sheet="1" objects="1" scenarios="1"/>
  <mergeCells count="9">
    <mergeCell ref="A22:E25"/>
    <mergeCell ref="A28:E41"/>
    <mergeCell ref="A1:D1"/>
    <mergeCell ref="A27:E27"/>
    <mergeCell ref="A3:E3"/>
    <mergeCell ref="A4:E4"/>
    <mergeCell ref="A5:E5"/>
    <mergeCell ref="A16:D16"/>
    <mergeCell ref="A17:D17"/>
  </mergeCells>
  <conditionalFormatting sqref="B19">
    <cfRule type="cellIs" dxfId="16" priority="1" operator="greaterThanOrEqual">
      <formula>0</formula>
    </cfRule>
    <cfRule type="cellIs" dxfId="15" priority="2" operator="lessThan">
      <formula>0</formula>
    </cfRule>
  </conditionalFormatting>
  <pageMargins left="0.70866141732283472" right="0.70866141732283472" top="0.92041666666666666" bottom="0.74803149606299213" header="0.31496062992125984" footer="0.31496062992125984"/>
  <pageSetup paperSize="9" scale="95" orientation="portrait" r:id="rId1"/>
  <headerFooter>
    <oddFooter>&amp;Lv.01.01.2025</oddFoot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1:H44"/>
  <sheetViews>
    <sheetView showGridLines="0" topLeftCell="A21" zoomScaleNormal="100" workbookViewId="0">
      <selection activeCell="C21" sqref="C21"/>
    </sheetView>
  </sheetViews>
  <sheetFormatPr baseColWidth="10" defaultColWidth="11.42578125" defaultRowHeight="15" x14ac:dyDescent="0.25"/>
  <cols>
    <col min="1" max="1" width="54.7109375" style="19" customWidth="1"/>
    <col min="2" max="5" width="12.7109375" style="19" customWidth="1"/>
    <col min="6" max="6" width="11.42578125" style="19"/>
    <col min="7" max="7" width="10.28515625" style="19" customWidth="1"/>
    <col min="8" max="8" width="64.7109375" style="19" hidden="1" customWidth="1"/>
    <col min="9" max="16384" width="11.42578125" style="19"/>
  </cols>
  <sheetData>
    <row r="1" spans="1:8" x14ac:dyDescent="0.25">
      <c r="A1" s="273" t="str">
        <f>CONCATENATE("Q52a Exploitation à l'année - E. Eaux usées - ",A.Exploitation!A5," ",A.Exploitation!B5,"- ",A.Exploitation!B13," ",A.Exploitation!B12," - UHZ n° ",A.Exploitation!F5)</f>
        <v>Q52a Exploitation à l'année - E. Eaux usées - CAMAC n° -   - UHZ n° A remplir par l'autorité cantonale</v>
      </c>
      <c r="B1" s="273"/>
      <c r="C1" s="273"/>
      <c r="D1" s="273"/>
      <c r="E1" s="184">
        <f ca="1">IF(A.Exploitation!B6=0,TODAY(),A.Exploitation!B6)</f>
        <v>45639</v>
      </c>
    </row>
    <row r="2" spans="1:8" x14ac:dyDescent="0.25">
      <c r="A2" s="234"/>
      <c r="B2" s="34"/>
      <c r="C2" s="34"/>
      <c r="D2" s="34"/>
    </row>
    <row r="3" spans="1:8" x14ac:dyDescent="0.25">
      <c r="A3" s="318" t="s">
        <v>182</v>
      </c>
      <c r="B3" s="340"/>
      <c r="C3" s="340"/>
      <c r="D3" s="340"/>
      <c r="E3" s="319"/>
      <c r="H3" s="22"/>
    </row>
    <row r="4" spans="1:8" s="135" customFormat="1" x14ac:dyDescent="0.25">
      <c r="A4" s="127"/>
      <c r="B4" s="128"/>
      <c r="C4" s="128"/>
      <c r="D4" s="128"/>
      <c r="E4" s="129"/>
      <c r="H4" s="22" t="s">
        <v>35</v>
      </c>
    </row>
    <row r="5" spans="1:8" ht="32.25" x14ac:dyDescent="0.25">
      <c r="A5" s="133" t="s">
        <v>178</v>
      </c>
      <c r="B5" s="22"/>
      <c r="C5" s="53" t="s">
        <v>15</v>
      </c>
      <c r="D5" s="130" t="s">
        <v>196</v>
      </c>
      <c r="E5" s="31" t="s">
        <v>43</v>
      </c>
      <c r="H5" s="22" t="s">
        <v>40</v>
      </c>
    </row>
    <row r="6" spans="1:8" ht="30" x14ac:dyDescent="0.25">
      <c r="A6" s="21" t="s">
        <v>37</v>
      </c>
      <c r="B6" s="54" t="s">
        <v>40</v>
      </c>
      <c r="C6" s="46">
        <f>IF(B6=H5,'C1.Animaux'!L17+'C1.Animaux'!L24,"")</f>
        <v>0</v>
      </c>
      <c r="D6" s="22">
        <v>0.2</v>
      </c>
      <c r="E6" s="55">
        <f>IF(B6="oui",C6*D6,"")</f>
        <v>0</v>
      </c>
      <c r="H6" s="22" t="s">
        <v>41</v>
      </c>
    </row>
    <row r="7" spans="1:8" x14ac:dyDescent="0.25">
      <c r="A7" s="21" t="s">
        <v>39</v>
      </c>
      <c r="B7" s="56" t="s">
        <v>35</v>
      </c>
      <c r="C7" s="46" t="str">
        <f>IF(B7=$H$5,'C1.Animaux'!L17+'C1.Animaux'!L24,"")</f>
        <v/>
      </c>
      <c r="D7" s="22">
        <v>0.5</v>
      </c>
      <c r="E7" s="24" t="str">
        <f t="shared" ref="E7" si="0">IF(B7="oui",C7*D7,"")</f>
        <v/>
      </c>
      <c r="H7" s="22"/>
    </row>
    <row r="8" spans="1:8" x14ac:dyDescent="0.25">
      <c r="A8" s="21" t="s">
        <v>36</v>
      </c>
      <c r="B8" s="22"/>
      <c r="C8" s="46" t="str">
        <f>IF('C1.Animaux'!L34&gt;0,'C1.Animaux'!L34,"")</f>
        <v/>
      </c>
      <c r="D8" s="22">
        <v>0.2</v>
      </c>
      <c r="E8" s="24" t="str">
        <f>IF(C8="","",C8*D8)</f>
        <v/>
      </c>
      <c r="H8" s="22"/>
    </row>
    <row r="9" spans="1:8" ht="30" x14ac:dyDescent="0.25">
      <c r="A9" s="21" t="s">
        <v>175</v>
      </c>
      <c r="B9" s="22"/>
      <c r="C9" s="46" t="str">
        <f>IF(('C2.Animaux'!F9+'C2.Animaux'!F12)&gt;0,('C2.Animaux'!F9+'C2.Animaux'!F12),"")</f>
        <v/>
      </c>
      <c r="D9" s="22">
        <v>0.02</v>
      </c>
      <c r="E9" s="24" t="str">
        <f>IF(C9="","",C9*D9)</f>
        <v/>
      </c>
      <c r="H9" s="22" t="s">
        <v>35</v>
      </c>
    </row>
    <row r="10" spans="1:8" ht="30" x14ac:dyDescent="0.25">
      <c r="A10" s="21" t="s">
        <v>174</v>
      </c>
      <c r="B10" s="22"/>
      <c r="C10" s="46" t="str">
        <f>IF(('C2.Animaux'!F10+'C2.Animaux'!F11)&gt;0,('C2.Animaux'!F10+'C2.Animaux'!F11),"")</f>
        <v/>
      </c>
      <c r="D10" s="22">
        <v>2.5000000000000001E-2</v>
      </c>
      <c r="E10" s="24" t="str">
        <f>IF(C10="","",C10*D10)</f>
        <v/>
      </c>
      <c r="H10" s="22">
        <v>0</v>
      </c>
    </row>
    <row r="11" spans="1:8" ht="17.25" x14ac:dyDescent="0.25">
      <c r="A11" s="133" t="s">
        <v>177</v>
      </c>
      <c r="B11" s="22"/>
      <c r="C11" s="53" t="s">
        <v>57</v>
      </c>
      <c r="D11" s="130" t="s">
        <v>194</v>
      </c>
      <c r="E11" s="31" t="s">
        <v>43</v>
      </c>
      <c r="H11" s="22" t="s">
        <v>173</v>
      </c>
    </row>
    <row r="12" spans="1:8" x14ac:dyDescent="0.25">
      <c r="A12" s="21" t="s">
        <v>38</v>
      </c>
      <c r="B12" s="57"/>
      <c r="C12" s="46">
        <f>A.Exploitation!H27</f>
        <v>0</v>
      </c>
      <c r="D12" s="22">
        <v>0.1</v>
      </c>
      <c r="E12" s="24" t="str">
        <f>IF(OR(C12="",C12=0),"",C12*D12)</f>
        <v/>
      </c>
      <c r="H12" s="22" t="s">
        <v>172</v>
      </c>
    </row>
    <row r="13" spans="1:8" x14ac:dyDescent="0.25">
      <c r="A13" s="21" t="s">
        <v>151</v>
      </c>
      <c r="B13" s="57"/>
      <c r="C13" s="58"/>
      <c r="D13" s="22">
        <v>0.03</v>
      </c>
      <c r="E13" s="24" t="str">
        <f>IF(OR(C13="",C13=0),"",C13*D13)</f>
        <v/>
      </c>
      <c r="H13" s="22"/>
    </row>
    <row r="14" spans="1:8" x14ac:dyDescent="0.25">
      <c r="A14" s="21" t="s">
        <v>201</v>
      </c>
      <c r="B14" s="57"/>
      <c r="C14" s="46">
        <f>A.Exploitation!H35</f>
        <v>0</v>
      </c>
      <c r="D14" s="22">
        <v>0.1</v>
      </c>
      <c r="E14" s="24" t="str">
        <f>IF(OR(C14="",C14=0),"",C14*D14)</f>
        <v/>
      </c>
      <c r="H14" s="22"/>
    </row>
    <row r="15" spans="1:8" x14ac:dyDescent="0.25">
      <c r="A15" s="21" t="s">
        <v>267</v>
      </c>
      <c r="B15" s="57"/>
      <c r="C15" s="58"/>
      <c r="D15" s="22">
        <v>0.1</v>
      </c>
      <c r="E15" s="24" t="str">
        <f>IF(OR(C15="",C15=0),"",C15*D15)</f>
        <v/>
      </c>
      <c r="H15" s="22" t="s">
        <v>172</v>
      </c>
    </row>
    <row r="16" spans="1:8" x14ac:dyDescent="0.25">
      <c r="A16" s="21" t="s">
        <v>242</v>
      </c>
      <c r="B16" s="22"/>
      <c r="C16" s="134"/>
      <c r="D16" s="22">
        <v>0.1</v>
      </c>
      <c r="E16" s="24" t="str">
        <f>IF(OR(C16="",C16=0),"",C16*D16)</f>
        <v/>
      </c>
      <c r="H16" s="22"/>
    </row>
    <row r="17" spans="1:8" ht="32.25" x14ac:dyDescent="0.25">
      <c r="A17" s="133" t="s">
        <v>180</v>
      </c>
      <c r="B17" s="22"/>
      <c r="C17" s="53" t="s">
        <v>203</v>
      </c>
      <c r="D17" s="130" t="s">
        <v>195</v>
      </c>
      <c r="E17" s="31" t="s">
        <v>43</v>
      </c>
      <c r="H17" s="22"/>
    </row>
    <row r="18" spans="1:8" x14ac:dyDescent="0.25">
      <c r="A18" s="21" t="s">
        <v>282</v>
      </c>
      <c r="B18" s="31"/>
      <c r="C18" s="23"/>
      <c r="D18" s="22">
        <v>3.5</v>
      </c>
      <c r="E18" s="24" t="str">
        <f>IF(OR(C18="",C18=0),"",C18*D18)</f>
        <v/>
      </c>
      <c r="H18" s="22" t="s">
        <v>31</v>
      </c>
    </row>
    <row r="19" spans="1:8" x14ac:dyDescent="0.25">
      <c r="A19" s="21" t="s">
        <v>279</v>
      </c>
      <c r="B19" s="22"/>
      <c r="C19" s="58"/>
      <c r="D19" s="22" t="s">
        <v>56</v>
      </c>
      <c r="E19" s="24" t="str">
        <f>IF(OR(C19="",C19=0),"",0.5+0.05*C19)</f>
        <v/>
      </c>
      <c r="H19" s="22"/>
    </row>
    <row r="20" spans="1:8" x14ac:dyDescent="0.25">
      <c r="A20" s="21" t="s">
        <v>280</v>
      </c>
      <c r="B20" s="22"/>
      <c r="C20" s="23"/>
      <c r="D20" s="22" t="s">
        <v>56</v>
      </c>
      <c r="E20" s="24" t="str">
        <f>IF(OR(C20="",C20=0),"",3+0.5*C20)</f>
        <v/>
      </c>
      <c r="H20" s="22"/>
    </row>
    <row r="21" spans="1:8" x14ac:dyDescent="0.25">
      <c r="A21" s="21" t="s">
        <v>281</v>
      </c>
      <c r="B21" s="22"/>
      <c r="C21" s="25"/>
      <c r="D21" s="22" t="s">
        <v>56</v>
      </c>
      <c r="E21" s="24" t="str">
        <f>IF(OR(C21="",C21=0),"",4+0.5*C21)</f>
        <v/>
      </c>
      <c r="H21" s="22"/>
    </row>
    <row r="22" spans="1:8" x14ac:dyDescent="0.25">
      <c r="A22" s="21" t="s">
        <v>250</v>
      </c>
      <c r="B22" s="22"/>
      <c r="C22" s="23"/>
      <c r="D22" s="22">
        <v>25</v>
      </c>
      <c r="E22" s="24" t="str">
        <f>IF(OR(C22="",C22=0),"",C22*D22)</f>
        <v/>
      </c>
      <c r="H22" s="22"/>
    </row>
    <row r="23" spans="1:8" x14ac:dyDescent="0.25">
      <c r="A23" s="21" t="s">
        <v>292</v>
      </c>
      <c r="B23" s="22"/>
      <c r="C23" s="23"/>
      <c r="D23" s="22">
        <v>0.5</v>
      </c>
      <c r="E23" s="24" t="str">
        <f>IF(OR(C23="",C23=0),"",C23*D23)</f>
        <v/>
      </c>
      <c r="H23" s="22"/>
    </row>
    <row r="24" spans="1:8" x14ac:dyDescent="0.25">
      <c r="A24" s="21" t="s">
        <v>202</v>
      </c>
      <c r="B24" s="22"/>
      <c r="C24" s="23"/>
      <c r="D24" s="22">
        <v>1.5E-3</v>
      </c>
      <c r="E24" s="24" t="str">
        <f>IF(C24="","",C24*D24)</f>
        <v/>
      </c>
      <c r="H24" s="22"/>
    </row>
    <row r="25" spans="1:8" x14ac:dyDescent="0.25">
      <c r="A25" s="21" t="s">
        <v>181</v>
      </c>
      <c r="B25" s="169" t="s">
        <v>225</v>
      </c>
      <c r="C25" s="23"/>
      <c r="D25" s="26"/>
      <c r="E25" s="24" t="str">
        <f>IF(C25="","",C25*D25)</f>
        <v/>
      </c>
      <c r="H25" s="22" t="s">
        <v>35</v>
      </c>
    </row>
    <row r="26" spans="1:8" x14ac:dyDescent="0.25">
      <c r="A26" s="330" t="s">
        <v>16</v>
      </c>
      <c r="B26" s="330"/>
      <c r="C26" s="330"/>
      <c r="D26" s="330"/>
      <c r="E26" s="59">
        <f>SUM(E6:E10,E12:E16,E18:E25)</f>
        <v>0</v>
      </c>
      <c r="H26" s="22" t="s">
        <v>34</v>
      </c>
    </row>
    <row r="27" spans="1:8" customFormat="1" x14ac:dyDescent="0.25">
      <c r="H27" s="22" t="s">
        <v>176</v>
      </c>
    </row>
    <row r="28" spans="1:8" ht="32.25" x14ac:dyDescent="0.25">
      <c r="A28" s="133" t="s">
        <v>268</v>
      </c>
      <c r="B28" s="31"/>
      <c r="C28" s="53" t="s">
        <v>58</v>
      </c>
      <c r="D28" s="142" t="s">
        <v>195</v>
      </c>
      <c r="E28" s="31" t="s">
        <v>43</v>
      </c>
      <c r="H28" s="22" t="s">
        <v>30</v>
      </c>
    </row>
    <row r="29" spans="1:8" x14ac:dyDescent="0.25">
      <c r="A29" s="21" t="s">
        <v>179</v>
      </c>
      <c r="B29" s="337" t="s">
        <v>35</v>
      </c>
      <c r="C29" s="338"/>
      <c r="D29" s="338"/>
      <c r="E29" s="339"/>
      <c r="H29" s="22" t="s">
        <v>32</v>
      </c>
    </row>
    <row r="30" spans="1:8" x14ac:dyDescent="0.25">
      <c r="A30" s="21" t="s">
        <v>224</v>
      </c>
      <c r="B30" s="31"/>
      <c r="C30" s="23"/>
      <c r="D30" s="22">
        <v>5</v>
      </c>
      <c r="E30" s="24" t="str">
        <f>IF($B$29=H26,C30*D30,"")</f>
        <v/>
      </c>
      <c r="H30" s="22" t="s">
        <v>33</v>
      </c>
    </row>
    <row r="31" spans="1:8" x14ac:dyDescent="0.25">
      <c r="A31" s="21" t="s">
        <v>269</v>
      </c>
      <c r="B31" s="22"/>
      <c r="C31" s="25"/>
      <c r="D31" s="26">
        <v>1.5</v>
      </c>
      <c r="E31" s="24" t="str">
        <f>IF(C31="","",C31*D31)</f>
        <v/>
      </c>
      <c r="H31" s="22"/>
    </row>
    <row r="32" spans="1:8" x14ac:dyDescent="0.25">
      <c r="A32" s="331" t="s">
        <v>16</v>
      </c>
      <c r="B32" s="332"/>
      <c r="C32" s="332"/>
      <c r="D32" s="333"/>
      <c r="E32" s="59">
        <f>SUM(E30:E31)</f>
        <v>0</v>
      </c>
      <c r="H32" s="22"/>
    </row>
    <row r="34" spans="1:8" ht="30" x14ac:dyDescent="0.25">
      <c r="B34" s="41" t="s">
        <v>78</v>
      </c>
      <c r="C34" s="41" t="s">
        <v>79</v>
      </c>
      <c r="D34" s="41" t="s">
        <v>80</v>
      </c>
      <c r="E34" s="153" t="s">
        <v>0</v>
      </c>
      <c r="H34" s="22" t="s">
        <v>35</v>
      </c>
    </row>
    <row r="35" spans="1:8" ht="32.25" x14ac:dyDescent="0.25">
      <c r="A35" s="21" t="s">
        <v>81</v>
      </c>
      <c r="B35" s="141">
        <f>'D.Bilan Engrais'!D9</f>
        <v>0</v>
      </c>
      <c r="C35" s="141">
        <f>E26</f>
        <v>0</v>
      </c>
      <c r="D35" s="141">
        <f>E32</f>
        <v>0</v>
      </c>
      <c r="E35" s="145">
        <f>SUM(B35:D35)</f>
        <v>0</v>
      </c>
      <c r="H35" s="22" t="s">
        <v>40</v>
      </c>
    </row>
    <row r="36" spans="1:8" ht="30" x14ac:dyDescent="0.25">
      <c r="A36" s="21" t="s">
        <v>216</v>
      </c>
      <c r="B36" s="164" t="str">
        <f>IF(D35&gt;0,IF(B35&gt;0,(C35+D35)/B35,"PAS DE PURIN"),"")</f>
        <v/>
      </c>
      <c r="C36"/>
      <c r="D36"/>
      <c r="E36"/>
      <c r="H36" s="22" t="s">
        <v>41</v>
      </c>
    </row>
    <row r="38" spans="1:8" ht="34.15" customHeight="1" x14ac:dyDescent="0.25">
      <c r="A38" s="334" t="s">
        <v>248</v>
      </c>
      <c r="B38" s="335"/>
      <c r="C38" s="335"/>
      <c r="D38" s="335"/>
      <c r="E38" s="336"/>
    </row>
    <row r="39" spans="1:8" x14ac:dyDescent="0.25">
      <c r="A39" s="151"/>
      <c r="B39" s="151"/>
      <c r="C39" s="151"/>
      <c r="D39" s="151"/>
      <c r="E39" s="151"/>
    </row>
    <row r="40" spans="1:8" x14ac:dyDescent="0.25">
      <c r="A40" s="61" t="s">
        <v>44</v>
      </c>
    </row>
    <row r="41" spans="1:8" x14ac:dyDescent="0.25">
      <c r="A41" s="308"/>
      <c r="B41" s="309"/>
      <c r="C41" s="309"/>
      <c r="D41" s="309"/>
      <c r="E41" s="310"/>
    </row>
    <row r="42" spans="1:8" x14ac:dyDescent="0.25">
      <c r="A42" s="311"/>
      <c r="B42" s="312"/>
      <c r="C42" s="312"/>
      <c r="D42" s="312"/>
      <c r="E42" s="313"/>
    </row>
    <row r="43" spans="1:8" ht="87" customHeight="1" x14ac:dyDescent="0.25">
      <c r="A43" s="314"/>
      <c r="B43" s="315"/>
      <c r="C43" s="315"/>
      <c r="D43" s="315"/>
      <c r="E43" s="316"/>
    </row>
    <row r="44" spans="1:8" ht="126" customHeight="1" x14ac:dyDescent="0.25"/>
  </sheetData>
  <sheetProtection algorithmName="SHA-512" hashValue="GNXkt8iaxSNdbY0KF3/C7qBEOoQCnN0s0ZGkHlkh/AmoejBlvhsnGko9EuDE20Y+HwdFLJJM5dnHIuilqyHCcA==" saltValue="avFlzETtFxkHoDo96MZxVw==" spinCount="100000" sheet="1" objects="1" scenarios="1"/>
  <mergeCells count="7">
    <mergeCell ref="A41:E43"/>
    <mergeCell ref="A1:D1"/>
    <mergeCell ref="A26:D26"/>
    <mergeCell ref="A32:D32"/>
    <mergeCell ref="A38:E38"/>
    <mergeCell ref="B29:E29"/>
    <mergeCell ref="A3:E3"/>
  </mergeCells>
  <conditionalFormatting sqref="B36">
    <cfRule type="cellIs" dxfId="14" priority="1" operator="equal">
      <formula>"-"</formula>
    </cfRule>
    <cfRule type="cellIs" dxfId="13" priority="3" operator="equal">
      <formula>""</formula>
    </cfRule>
    <cfRule type="cellIs" dxfId="12" priority="4" stopIfTrue="1" operator="lessThanOrEqual">
      <formula>3</formula>
    </cfRule>
    <cfRule type="cellIs" dxfId="11" priority="5" operator="greaterThan">
      <formula>3</formula>
    </cfRule>
  </conditionalFormatting>
  <dataValidations disablePrompts="1" count="2">
    <dataValidation type="list" allowBlank="1" showInputMessage="1" showErrorMessage="1" sqref="B6:B7" xr:uid="{00000000-0002-0000-0600-000000000000}">
      <formula1>$H$3:$H$6</formula1>
    </dataValidation>
    <dataValidation type="list" allowBlank="1" showInputMessage="1" showErrorMessage="1" sqref="B29:E29" xr:uid="{00000000-0002-0000-0600-000001000000}">
      <formula1>$H$25:$H$30</formula1>
    </dataValidation>
  </dataValidations>
  <pageMargins left="0.70866141732283472" right="0.70866141732283472" top="0.92041666666666666" bottom="0.74803149606299213" header="0.31496062992125984" footer="0.31496062992125984"/>
  <pageSetup paperSize="9" scale="82" orientation="portrait" r:id="rId1"/>
  <headerFooter>
    <oddFooter>&amp;Lv.01.01.2025</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pageSetUpPr fitToPage="1"/>
  </sheetPr>
  <dimension ref="A1:N48"/>
  <sheetViews>
    <sheetView showGridLines="0" topLeftCell="D13" zoomScaleNormal="100" workbookViewId="0">
      <selection activeCell="P13" sqref="P13"/>
    </sheetView>
  </sheetViews>
  <sheetFormatPr baseColWidth="10" defaultColWidth="11.42578125" defaultRowHeight="15" x14ac:dyDescent="0.25"/>
  <cols>
    <col min="1" max="1" width="48.28515625" style="19" customWidth="1"/>
    <col min="2" max="2" width="15.7109375" style="19" customWidth="1"/>
    <col min="3" max="3" width="2.5703125" style="19" customWidth="1"/>
    <col min="4" max="4" width="3" style="19" customWidth="1"/>
    <col min="5" max="5" width="47.7109375" style="19" customWidth="1"/>
    <col min="6" max="6" width="15.7109375" style="19" customWidth="1"/>
    <col min="7" max="7" width="22.7109375" style="19" customWidth="1"/>
    <col min="8" max="8" width="39.28515625" style="19" hidden="1" customWidth="1"/>
    <col min="9" max="9" width="9" style="19" hidden="1" customWidth="1"/>
    <col min="10" max="10" width="14.28515625" style="19" hidden="1" customWidth="1"/>
    <col min="11" max="12" width="39.28515625" style="19" hidden="1" customWidth="1"/>
    <col min="13" max="13" width="15.28515625" style="19" hidden="1" customWidth="1"/>
    <col min="14" max="14" width="0.140625" style="19" hidden="1" customWidth="1"/>
    <col min="15" max="15" width="25.7109375" style="19" customWidth="1"/>
    <col min="16" max="16384" width="11.42578125" style="19"/>
  </cols>
  <sheetData>
    <row r="1" spans="1:14" x14ac:dyDescent="0.25">
      <c r="A1" s="273" t="str">
        <f>CONCATENATE("Q52a Exploitation à l'année - F. Fosse et fumière - ",A.Exploitation!A5," ",A.Exploitation!B5,", ",A.Exploitation!B13," ",A.Exploitation!B12," UHZ n° ",A.Exploitation!F5)</f>
        <v>Q52a Exploitation à l'année - F. Fosse et fumière - CAMAC n° ,   UHZ n° A remplir par l'autorité cantonale</v>
      </c>
      <c r="B1" s="273"/>
      <c r="C1" s="273"/>
      <c r="D1" s="273"/>
      <c r="E1" s="273"/>
      <c r="F1" s="184">
        <f ca="1">IF(A.Exploitation!B6=0,TODAY(),A.Exploitation!B6)</f>
        <v>45639</v>
      </c>
    </row>
    <row r="2" spans="1:14" x14ac:dyDescent="0.25">
      <c r="A2" s="234"/>
      <c r="B2" s="34"/>
      <c r="C2" s="34"/>
      <c r="D2" s="34"/>
      <c r="E2" s="34"/>
    </row>
    <row r="3" spans="1:14" x14ac:dyDescent="0.25">
      <c r="A3" s="288" t="s">
        <v>185</v>
      </c>
      <c r="B3" s="288"/>
      <c r="C3" s="288"/>
      <c r="D3" s="288"/>
      <c r="E3" s="288"/>
      <c r="F3" s="288"/>
    </row>
    <row r="5" spans="1:14" ht="30" x14ac:dyDescent="0.25">
      <c r="A5" s="278" t="s">
        <v>34</v>
      </c>
      <c r="B5" s="280"/>
      <c r="C5" s="40"/>
      <c r="E5" s="278" t="s">
        <v>60</v>
      </c>
      <c r="F5" s="280"/>
      <c r="H5" s="41" t="s">
        <v>35</v>
      </c>
      <c r="I5" s="190" t="s">
        <v>114</v>
      </c>
      <c r="J5" s="190" t="s">
        <v>254</v>
      </c>
      <c r="L5" s="31" t="s">
        <v>2</v>
      </c>
      <c r="M5" s="41">
        <f>B.Surface!B19</f>
        <v>0</v>
      </c>
      <c r="N5" s="41">
        <f>MATCH(MAX(M5:M10),M5:M10,0)</f>
        <v>1</v>
      </c>
    </row>
    <row r="6" spans="1:14" x14ac:dyDescent="0.25">
      <c r="A6" s="189" t="s">
        <v>113</v>
      </c>
      <c r="B6" s="41">
        <f>IF(N5&lt;=2,5,6)</f>
        <v>5</v>
      </c>
      <c r="C6" s="42"/>
      <c r="E6" s="180" t="s">
        <v>61</v>
      </c>
      <c r="F6" s="165" t="str">
        <f>IF('D.Bilan Engrais'!C9=0,"-",'D.Bilan Engrais'!C9)</f>
        <v>-</v>
      </c>
      <c r="H6" s="41" t="s">
        <v>62</v>
      </c>
      <c r="I6" s="190">
        <f>'C1.Animaux'!M17</f>
        <v>0</v>
      </c>
      <c r="J6" s="190">
        <v>0.8</v>
      </c>
      <c r="L6" s="31" t="s">
        <v>3</v>
      </c>
      <c r="M6" s="41">
        <f>B.Surface!C19</f>
        <v>0</v>
      </c>
      <c r="N6" s="41"/>
    </row>
    <row r="7" spans="1:14" ht="17.25" x14ac:dyDescent="0.25">
      <c r="A7" s="180" t="s">
        <v>234</v>
      </c>
      <c r="B7" s="170">
        <f>'D.Bilan Engrais'!D9</f>
        <v>0</v>
      </c>
      <c r="C7" s="45"/>
      <c r="E7" s="180" t="s">
        <v>255</v>
      </c>
      <c r="F7" s="46" t="str">
        <f>IF(I11&gt;0,ROUND((I6*J6+I7*J7+I8*J8+I9*J9+I10*J10)/I11,2),"-")</f>
        <v>-</v>
      </c>
      <c r="H7" s="41" t="s">
        <v>65</v>
      </c>
      <c r="I7" s="190">
        <f>'C1.Animaux'!M24</f>
        <v>0</v>
      </c>
      <c r="J7" s="190">
        <v>0.5</v>
      </c>
      <c r="L7" s="31" t="s">
        <v>4</v>
      </c>
      <c r="M7" s="41">
        <f>B.Surface!D19</f>
        <v>0</v>
      </c>
      <c r="N7" s="41"/>
    </row>
    <row r="8" spans="1:14" ht="17.25" x14ac:dyDescent="0.25">
      <c r="A8" s="180" t="s">
        <v>243</v>
      </c>
      <c r="B8" s="170">
        <f>'E.Eaux usées'!D35</f>
        <v>0</v>
      </c>
      <c r="C8" s="42"/>
      <c r="E8" s="180" t="s">
        <v>229</v>
      </c>
      <c r="F8" s="165" t="str">
        <f>IF(F6="-","-",F6/F7)</f>
        <v>-</v>
      </c>
      <c r="H8" s="41" t="s">
        <v>63</v>
      </c>
      <c r="I8" s="190">
        <f>'C1.Animaux'!M34</f>
        <v>0</v>
      </c>
      <c r="J8" s="190">
        <v>0.9</v>
      </c>
      <c r="L8" s="31" t="s">
        <v>5</v>
      </c>
      <c r="M8" s="41">
        <f>B.Surface!E19</f>
        <v>0</v>
      </c>
      <c r="N8" s="41"/>
    </row>
    <row r="9" spans="1:14" ht="18" customHeight="1" x14ac:dyDescent="0.25">
      <c r="A9" s="180" t="s">
        <v>244</v>
      </c>
      <c r="B9" s="47">
        <f>IF(F19=H15,'E.Eaux usées'!C35,'E.Eaux usées'!C35+F18*0.1)</f>
        <v>0</v>
      </c>
      <c r="C9" s="48"/>
      <c r="E9" s="180" t="s">
        <v>69</v>
      </c>
      <c r="F9" s="44"/>
      <c r="H9" s="41" t="s">
        <v>66</v>
      </c>
      <c r="I9" s="190">
        <f>'C2.Animaux'!G14</f>
        <v>0</v>
      </c>
      <c r="J9" s="190">
        <v>0.5</v>
      </c>
      <c r="L9" s="31" t="s">
        <v>7</v>
      </c>
      <c r="M9" s="41">
        <f>B.Surface!F19</f>
        <v>0</v>
      </c>
      <c r="N9" s="41"/>
    </row>
    <row r="10" spans="1:14" x14ac:dyDescent="0.25">
      <c r="A10" s="21" t="s">
        <v>245</v>
      </c>
      <c r="B10" s="164" t="str">
        <f>IF(B8&gt;0,IF(B7&gt;0,(B9+B8)/B7,"PAS DE PURIN"),"-")</f>
        <v>-</v>
      </c>
      <c r="C10" s="49"/>
      <c r="E10" s="180" t="s">
        <v>109</v>
      </c>
      <c r="F10" s="44"/>
      <c r="H10" s="41" t="s">
        <v>64</v>
      </c>
      <c r="I10" s="190">
        <f>'C2.Animaux'!G24</f>
        <v>0</v>
      </c>
      <c r="J10" s="190">
        <v>0.65</v>
      </c>
      <c r="L10" s="31" t="s">
        <v>6</v>
      </c>
      <c r="M10" s="41">
        <f>B.Surface!G19</f>
        <v>0</v>
      </c>
      <c r="N10" s="41"/>
    </row>
    <row r="11" spans="1:14" ht="17.25" x14ac:dyDescent="0.25">
      <c r="A11" s="189" t="s">
        <v>260</v>
      </c>
      <c r="B11" s="47">
        <f>B6*(B7+B8+B9)</f>
        <v>0</v>
      </c>
      <c r="C11" s="20"/>
      <c r="E11" s="180" t="s">
        <v>256</v>
      </c>
      <c r="F11" s="44"/>
      <c r="H11" s="191" t="s">
        <v>16</v>
      </c>
      <c r="I11" s="190">
        <f>SUM(I6:I10)</f>
        <v>0</v>
      </c>
      <c r="J11" s="190"/>
    </row>
    <row r="12" spans="1:14" ht="17.25" x14ac:dyDescent="0.25">
      <c r="A12" s="180" t="s">
        <v>67</v>
      </c>
      <c r="B12" s="47">
        <f>A.Exploitation!H22</f>
        <v>0</v>
      </c>
      <c r="C12" s="20"/>
      <c r="E12" s="180" t="s">
        <v>228</v>
      </c>
      <c r="F12" s="165">
        <f>IF(OR(F6=0,F9=0),0,IF(F11=0,"Indiquer durée",F9*M16))</f>
        <v>0</v>
      </c>
    </row>
    <row r="13" spans="1:14" ht="32.25" x14ac:dyDescent="0.25">
      <c r="A13" s="180" t="s">
        <v>68</v>
      </c>
      <c r="B13" s="50"/>
      <c r="C13" s="20"/>
      <c r="E13" s="180" t="s">
        <v>230</v>
      </c>
      <c r="F13" s="165" t="str">
        <f>IFERROR(IF(F12=0,"-",F12/F11),"-")</f>
        <v>-</v>
      </c>
      <c r="H13" s="41"/>
      <c r="L13" s="341" t="s">
        <v>152</v>
      </c>
    </row>
    <row r="14" spans="1:14" ht="30" x14ac:dyDescent="0.25">
      <c r="A14" s="189" t="s">
        <v>259</v>
      </c>
      <c r="B14" s="51" t="str">
        <f>IF(B11=0,"Pas de purin/eau",ROUND(B12+B13-B11,0))</f>
        <v>Pas de purin/eau</v>
      </c>
      <c r="C14" s="20"/>
      <c r="E14" s="189" t="s">
        <v>257</v>
      </c>
      <c r="F14" s="47">
        <f>IF(F6="-",0,IF(F12=0,F6*6/F7,MAX(F6*6/F7,F13*6)-F12))</f>
        <v>0</v>
      </c>
      <c r="H14" s="41" t="s">
        <v>35</v>
      </c>
      <c r="L14" s="341"/>
      <c r="M14" s="41">
        <f>IF(F11&gt;0,6/F11*F9*M16,0)</f>
        <v>0</v>
      </c>
    </row>
    <row r="15" spans="1:14" x14ac:dyDescent="0.25">
      <c r="A15" s="181" t="s">
        <v>227</v>
      </c>
      <c r="B15" s="166" t="str">
        <f>IF(B14&lt;0,B14/B11,"")</f>
        <v/>
      </c>
      <c r="C15" s="20"/>
      <c r="E15" s="180" t="s">
        <v>188</v>
      </c>
      <c r="F15" s="44"/>
      <c r="H15" s="41" t="s">
        <v>107</v>
      </c>
      <c r="L15" s="341"/>
    </row>
    <row r="16" spans="1:14" ht="17.25" x14ac:dyDescent="0.25">
      <c r="A16" s="12"/>
      <c r="B16" s="12"/>
      <c r="C16" s="20"/>
      <c r="E16" s="180" t="s">
        <v>84</v>
      </c>
      <c r="F16" s="43" t="str">
        <f>IF(F15=0,"-",(F14/F15))</f>
        <v>-</v>
      </c>
      <c r="H16" s="41" t="s">
        <v>108</v>
      </c>
      <c r="L16" s="19" t="s">
        <v>186</v>
      </c>
      <c r="M16" s="41">
        <f>IF(F10&gt;1.2,1.2,F10)</f>
        <v>0</v>
      </c>
    </row>
    <row r="17" spans="1:14" ht="17.25" x14ac:dyDescent="0.25">
      <c r="A17"/>
      <c r="B17"/>
      <c r="C17" s="20"/>
      <c r="E17" s="180" t="s">
        <v>70</v>
      </c>
      <c r="F17" s="46">
        <f>SUM(A.Exploitation!H27:H30)</f>
        <v>0</v>
      </c>
      <c r="H17" s="41"/>
    </row>
    <row r="18" spans="1:14" ht="17.25" x14ac:dyDescent="0.25">
      <c r="A18" s="348" t="s">
        <v>249</v>
      </c>
      <c r="B18" s="349"/>
      <c r="C18" s="20"/>
      <c r="E18" s="180" t="s">
        <v>71</v>
      </c>
      <c r="F18" s="44"/>
    </row>
    <row r="19" spans="1:14" ht="15" customHeight="1" x14ac:dyDescent="0.25">
      <c r="A19" s="350"/>
      <c r="B19" s="351"/>
      <c r="C19" s="20"/>
      <c r="E19" s="180" t="s">
        <v>187</v>
      </c>
      <c r="F19" s="44" t="s">
        <v>108</v>
      </c>
    </row>
    <row r="20" spans="1:14" ht="15" customHeight="1" x14ac:dyDescent="0.25">
      <c r="A20" s="350"/>
      <c r="B20" s="351"/>
      <c r="C20" s="138"/>
      <c r="D20" s="66"/>
      <c r="E20" s="189" t="s">
        <v>258</v>
      </c>
      <c r="F20" s="228" t="str">
        <f>IF(F14=0,"Pas de fumier",IF(F15=0,"Incomplet*",ROUND(F18+F17-F16,0)))</f>
        <v>Pas de fumier</v>
      </c>
      <c r="N20" s="19" t="s">
        <v>284</v>
      </c>
    </row>
    <row r="21" spans="1:14" ht="15" customHeight="1" x14ac:dyDescent="0.25">
      <c r="A21" s="350"/>
      <c r="B21" s="351"/>
      <c r="C21" s="138"/>
      <c r="D21"/>
      <c r="E21" s="229" t="str">
        <f>IFERROR(IF(F20=N20,"* Veuillez compléter la hauteur maximale du fumier (F15)",""),"")</f>
        <v/>
      </c>
      <c r="F21"/>
    </row>
    <row r="22" spans="1:14" s="14" customFormat="1" ht="15" customHeight="1" x14ac:dyDescent="0.25">
      <c r="A22" s="350"/>
      <c r="B22" s="351"/>
      <c r="C22" s="15"/>
      <c r="D22"/>
      <c r="E22"/>
      <c r="F22" s="19"/>
    </row>
    <row r="23" spans="1:14" ht="15" customHeight="1" x14ac:dyDescent="0.25">
      <c r="A23" s="350"/>
      <c r="B23" s="351"/>
      <c r="C23" s="160"/>
      <c r="D23" s="13"/>
      <c r="E23" s="342" t="s">
        <v>246</v>
      </c>
      <c r="F23" s="343"/>
    </row>
    <row r="24" spans="1:14" ht="15" customHeight="1" x14ac:dyDescent="0.25">
      <c r="A24" s="350"/>
      <c r="B24" s="351"/>
      <c r="C24" s="160"/>
      <c r="D24" s="13"/>
      <c r="E24" s="344"/>
      <c r="F24" s="345"/>
    </row>
    <row r="25" spans="1:14" ht="15" customHeight="1" x14ac:dyDescent="0.25">
      <c r="A25" s="352"/>
      <c r="B25" s="353"/>
      <c r="C25" s="52"/>
      <c r="E25" s="346"/>
      <c r="F25" s="347"/>
    </row>
    <row r="26" spans="1:14" ht="15" customHeight="1" x14ac:dyDescent="0.25">
      <c r="A26" s="179"/>
      <c r="B26" s="179"/>
      <c r="C26" s="52"/>
      <c r="E26" s="179"/>
      <c r="F26" s="179"/>
    </row>
    <row r="27" spans="1:14" ht="14.65" customHeight="1" x14ac:dyDescent="0.25">
      <c r="A27" s="172" t="s">
        <v>247</v>
      </c>
      <c r="B27" s="171"/>
      <c r="C27" s="52"/>
      <c r="E27" s="159" t="s">
        <v>247</v>
      </c>
      <c r="F27" s="14"/>
    </row>
    <row r="28" spans="1:14" x14ac:dyDescent="0.25">
      <c r="A28" s="308"/>
      <c r="B28" s="310"/>
      <c r="C28" s="52"/>
      <c r="E28" s="308"/>
      <c r="F28" s="310"/>
    </row>
    <row r="29" spans="1:14" x14ac:dyDescent="0.25">
      <c r="A29" s="311"/>
      <c r="B29" s="313"/>
      <c r="C29" s="52"/>
      <c r="E29" s="311"/>
      <c r="F29" s="313"/>
    </row>
    <row r="30" spans="1:14" x14ac:dyDescent="0.25">
      <c r="A30" s="311"/>
      <c r="B30" s="313"/>
      <c r="C30" s="52"/>
      <c r="E30" s="311"/>
      <c r="F30" s="313"/>
    </row>
    <row r="31" spans="1:14" x14ac:dyDescent="0.25">
      <c r="A31" s="311"/>
      <c r="B31" s="313"/>
      <c r="C31" s="52"/>
      <c r="E31" s="311"/>
      <c r="F31" s="313"/>
    </row>
    <row r="32" spans="1:14" x14ac:dyDescent="0.25">
      <c r="A32" s="311"/>
      <c r="B32" s="313"/>
      <c r="C32" s="52"/>
      <c r="E32" s="311"/>
      <c r="F32" s="313"/>
    </row>
    <row r="33" spans="1:6" x14ac:dyDescent="0.25">
      <c r="A33" s="311"/>
      <c r="B33" s="313"/>
      <c r="C33" s="52"/>
      <c r="E33" s="311"/>
      <c r="F33" s="313"/>
    </row>
    <row r="34" spans="1:6" x14ac:dyDescent="0.25">
      <c r="A34" s="311"/>
      <c r="B34" s="313"/>
      <c r="C34" s="52"/>
      <c r="E34" s="311"/>
      <c r="F34" s="313"/>
    </row>
    <row r="35" spans="1:6" x14ac:dyDescent="0.25">
      <c r="A35" s="311"/>
      <c r="B35" s="313"/>
      <c r="C35" s="52"/>
      <c r="E35" s="311"/>
      <c r="F35" s="313"/>
    </row>
    <row r="36" spans="1:6" x14ac:dyDescent="0.25">
      <c r="A36" s="311"/>
      <c r="B36" s="313"/>
      <c r="C36" s="52"/>
      <c r="E36" s="311"/>
      <c r="F36" s="313"/>
    </row>
    <row r="37" spans="1:6" x14ac:dyDescent="0.25">
      <c r="A37" s="311"/>
      <c r="B37" s="313"/>
      <c r="C37" s="52"/>
      <c r="E37" s="311"/>
      <c r="F37" s="313"/>
    </row>
    <row r="38" spans="1:6" x14ac:dyDescent="0.25">
      <c r="A38" s="311"/>
      <c r="B38" s="313"/>
      <c r="C38" s="52"/>
      <c r="E38" s="311"/>
      <c r="F38" s="313"/>
    </row>
    <row r="39" spans="1:6" x14ac:dyDescent="0.25">
      <c r="A39" s="311"/>
      <c r="B39" s="313"/>
      <c r="C39" s="52"/>
      <c r="E39" s="311"/>
      <c r="F39" s="313"/>
    </row>
    <row r="40" spans="1:6" x14ac:dyDescent="0.25">
      <c r="A40" s="311"/>
      <c r="B40" s="313"/>
      <c r="C40" s="52"/>
      <c r="E40" s="311"/>
      <c r="F40" s="313"/>
    </row>
    <row r="41" spans="1:6" x14ac:dyDescent="0.25">
      <c r="A41" s="311"/>
      <c r="B41" s="313"/>
      <c r="C41" s="52"/>
      <c r="E41" s="311"/>
      <c r="F41" s="313"/>
    </row>
    <row r="42" spans="1:6" x14ac:dyDescent="0.25">
      <c r="A42" s="311"/>
      <c r="B42" s="313"/>
      <c r="C42" s="52"/>
      <c r="E42" s="311"/>
      <c r="F42" s="313"/>
    </row>
    <row r="43" spans="1:6" x14ac:dyDescent="0.25">
      <c r="A43" s="311"/>
      <c r="B43" s="313"/>
      <c r="C43" s="52"/>
      <c r="E43" s="311"/>
      <c r="F43" s="313"/>
    </row>
    <row r="44" spans="1:6" x14ac:dyDescent="0.25">
      <c r="A44" s="311"/>
      <c r="B44" s="313"/>
      <c r="C44" s="52"/>
      <c r="E44" s="311"/>
      <c r="F44" s="313"/>
    </row>
    <row r="45" spans="1:6" x14ac:dyDescent="0.25">
      <c r="A45" s="311"/>
      <c r="B45" s="313"/>
      <c r="C45" s="52"/>
      <c r="E45" s="311"/>
      <c r="F45" s="313"/>
    </row>
    <row r="46" spans="1:6" x14ac:dyDescent="0.25">
      <c r="A46" s="311"/>
      <c r="B46" s="313"/>
      <c r="D46" s="139"/>
      <c r="E46" s="311"/>
      <c r="F46" s="313"/>
    </row>
    <row r="47" spans="1:6" x14ac:dyDescent="0.25">
      <c r="A47" s="311"/>
      <c r="B47" s="313"/>
      <c r="C47" s="52"/>
      <c r="E47" s="311"/>
      <c r="F47" s="313"/>
    </row>
    <row r="48" spans="1:6" x14ac:dyDescent="0.25">
      <c r="A48" s="314"/>
      <c r="B48" s="316"/>
      <c r="C48" s="52"/>
      <c r="E48" s="314"/>
      <c r="F48" s="316"/>
    </row>
  </sheetData>
  <sheetProtection algorithmName="SHA-512" hashValue="jcjCPLAVUu1/NWxA/jW3Orl1Vqq0vuddUGsntvMljFsB+/AkKwnC1R5JIft82inCCkxSNGtaBysfVLoG4npvIA==" saltValue="wtBt/gwHSCCh93Qlk22k4A==" spinCount="100000" sheet="1" objects="1" scenarios="1"/>
  <dataConsolidate/>
  <mergeCells count="9">
    <mergeCell ref="L13:L15"/>
    <mergeCell ref="A1:E1"/>
    <mergeCell ref="A5:B5"/>
    <mergeCell ref="E5:F5"/>
    <mergeCell ref="E28:F48"/>
    <mergeCell ref="E23:F25"/>
    <mergeCell ref="A3:F3"/>
    <mergeCell ref="A28:B48"/>
    <mergeCell ref="A18:B25"/>
  </mergeCells>
  <conditionalFormatting sqref="B14">
    <cfRule type="cellIs" dxfId="10" priority="23" operator="greaterThanOrEqual">
      <formula>0</formula>
    </cfRule>
    <cfRule type="cellIs" dxfId="9" priority="24" operator="lessThan">
      <formula>0</formula>
    </cfRule>
  </conditionalFormatting>
  <conditionalFormatting sqref="F20">
    <cfRule type="cellIs" dxfId="8" priority="1" operator="equal">
      <formula>$N$20</formula>
    </cfRule>
    <cfRule type="cellIs" dxfId="7" priority="2" stopIfTrue="1" operator="greaterThan">
      <formula>0</formula>
    </cfRule>
    <cfRule type="cellIs" dxfId="6" priority="19" stopIfTrue="1" operator="equal">
      <formula>0</formula>
    </cfRule>
    <cfRule type="cellIs" dxfId="5" priority="20" stopIfTrue="1" operator="lessThan">
      <formula>0</formula>
    </cfRule>
  </conditionalFormatting>
  <conditionalFormatting sqref="B10">
    <cfRule type="cellIs" dxfId="4" priority="5" operator="equal">
      <formula>"-"</formula>
    </cfRule>
    <cfRule type="cellIs" dxfId="3" priority="6" operator="equal">
      <formula>""</formula>
    </cfRule>
    <cfRule type="cellIs" dxfId="2" priority="7" stopIfTrue="1" operator="lessThanOrEqual">
      <formula>3</formula>
    </cfRule>
    <cfRule type="cellIs" dxfId="1" priority="8" operator="greaterThan">
      <formula>3</formula>
    </cfRule>
  </conditionalFormatting>
  <dataValidations disablePrompts="1" count="1">
    <dataValidation type="list" allowBlank="1" showInputMessage="1" showErrorMessage="1" sqref="F19" xr:uid="{00000000-0002-0000-0700-000000000000}">
      <formula1>$H$14:$H$16</formula1>
    </dataValidation>
  </dataValidations>
  <pageMargins left="0.70866141732283472" right="0.70866141732283472" top="0.92041666666666666" bottom="0.74803149606299213" header="0.31496062992125984" footer="0.31496062992125984"/>
  <pageSetup paperSize="9" scale="65" orientation="portrait" r:id="rId1"/>
  <headerFooter>
    <oddFooter>&amp;Lv.01.01.2025</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3" stopIfTrue="1" operator="containsText" id="{A53CF8D0-B0ED-47A3-BE06-B6B49B9F4BDF}">
            <xm:f>NOT(ISERROR(SEARCH("""Incomplet""",F20)))</xm:f>
            <xm:f>"""Incomplet"""</xm:f>
            <x14:dxf>
              <fill>
                <patternFill>
                  <bgColor rgb="FFFFFF00"/>
                </patternFill>
              </fill>
            </x14:dxf>
          </x14:cfRule>
          <xm:sqref>F20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G27"/>
  <sheetViews>
    <sheetView showGridLines="0" zoomScaleNormal="100" workbookViewId="0">
      <selection activeCell="B62" sqref="B62"/>
    </sheetView>
  </sheetViews>
  <sheetFormatPr baseColWidth="10" defaultColWidth="11.42578125" defaultRowHeight="15" x14ac:dyDescent="0.25"/>
  <cols>
    <col min="1" max="1" width="11.42578125" style="1"/>
    <col min="2" max="2" width="21.5703125" style="1" customWidth="1"/>
    <col min="3" max="16384" width="11.42578125" style="1"/>
  </cols>
  <sheetData>
    <row r="1" spans="1:7" ht="15" customHeight="1" x14ac:dyDescent="0.25">
      <c r="A1" s="357" t="str">
        <f>CONCATENATE("Q52a Exploitation à l'année - G. Attestations - ",A.Exploitation!A5," ",A.Exploitation!B5,", ",A.Exploitation!B13," ",A.Exploitation!B12," UHZ n° ",A.Exploitation!F5)</f>
        <v>Q52a Exploitation à l'année - G. Attestations - CAMAC n° ,   UHZ n° A remplir par l'autorité cantonale</v>
      </c>
      <c r="B1" s="357"/>
      <c r="C1" s="357"/>
      <c r="D1" s="357"/>
      <c r="E1" s="357"/>
      <c r="F1" s="357"/>
      <c r="G1" s="185">
        <f ca="1">IF(A.Exploitation!B6=0,TODAY(),A.Exploitation!B6)</f>
        <v>45639</v>
      </c>
    </row>
    <row r="2" spans="1:7" s="13" customFormat="1" x14ac:dyDescent="0.25">
      <c r="A2" s="234"/>
      <c r="B2" s="16"/>
      <c r="C2" s="16"/>
      <c r="D2" s="16"/>
    </row>
    <row r="3" spans="1:7" s="13" customFormat="1" x14ac:dyDescent="0.25">
      <c r="A3" s="355" t="s">
        <v>189</v>
      </c>
      <c r="B3" s="355"/>
      <c r="C3" s="355"/>
      <c r="D3" s="355"/>
      <c r="E3" s="355"/>
      <c r="F3" s="355"/>
      <c r="G3" s="355"/>
    </row>
    <row r="5" spans="1:7" ht="15.75" x14ac:dyDescent="0.25">
      <c r="A5" s="354" t="s">
        <v>94</v>
      </c>
      <c r="B5" s="354"/>
      <c r="C5" s="354"/>
      <c r="D5" s="354"/>
      <c r="E5" s="354"/>
      <c r="F5" s="354"/>
      <c r="G5" s="354"/>
    </row>
    <row r="7" spans="1:7" ht="40.5" customHeight="1" x14ac:dyDescent="0.25">
      <c r="A7" s="246" t="s">
        <v>95</v>
      </c>
      <c r="B7" s="246"/>
      <c r="C7" s="246"/>
      <c r="D7" s="246"/>
      <c r="E7" s="246"/>
      <c r="F7" s="246"/>
      <c r="G7" s="246"/>
    </row>
    <row r="8" spans="1:7" ht="29.25" customHeight="1" x14ac:dyDescent="0.25">
      <c r="A8" s="246" t="s">
        <v>96</v>
      </c>
      <c r="B8" s="246"/>
      <c r="C8" s="246"/>
      <c r="D8" s="246"/>
      <c r="E8" s="246"/>
      <c r="F8" s="246"/>
      <c r="G8" s="246"/>
    </row>
    <row r="10" spans="1:7" x14ac:dyDescent="0.25">
      <c r="A10" s="360" t="s">
        <v>97</v>
      </c>
      <c r="B10" s="360"/>
      <c r="C10" s="360"/>
      <c r="D10" s="360"/>
      <c r="E10" s="360"/>
      <c r="F10" s="360"/>
      <c r="G10" s="360"/>
    </row>
    <row r="11" spans="1:7" x14ac:dyDescent="0.25">
      <c r="A11" s="1" t="s">
        <v>98</v>
      </c>
      <c r="B11" s="10"/>
      <c r="C11" s="11" t="s">
        <v>99</v>
      </c>
      <c r="D11" s="10"/>
      <c r="E11" s="11" t="s">
        <v>100</v>
      </c>
      <c r="F11" s="356" t="str">
        <f>IF(A.Exploitation!B17="","Compléter onglet A.",A.Exploitation!B17)</f>
        <v>Compléter onglet A.</v>
      </c>
      <c r="G11" s="356"/>
    </row>
    <row r="13" spans="1:7" x14ac:dyDescent="0.25">
      <c r="A13" s="1" t="s">
        <v>101</v>
      </c>
      <c r="B13" s="358"/>
      <c r="C13" s="358"/>
    </row>
    <row r="15" spans="1:7" x14ac:dyDescent="0.25">
      <c r="A15" s="360" t="s">
        <v>102</v>
      </c>
      <c r="B15" s="360"/>
      <c r="C15" s="360"/>
      <c r="D15" s="360"/>
      <c r="E15" s="360"/>
      <c r="F15" s="360"/>
      <c r="G15" s="360"/>
    </row>
    <row r="16" spans="1:7" x14ac:dyDescent="0.25">
      <c r="A16" s="1" t="s">
        <v>98</v>
      </c>
      <c r="B16" s="10"/>
      <c r="C16" s="11" t="s">
        <v>99</v>
      </c>
      <c r="D16" s="10"/>
      <c r="E16" s="11" t="s">
        <v>100</v>
      </c>
      <c r="F16" s="359" t="str">
        <f>IF(A.Exploitation!F17="","Compléter onglet A.",A.Exploitation!F17)</f>
        <v>Compléter onglet A.</v>
      </c>
      <c r="G16" s="359"/>
    </row>
    <row r="18" spans="1:7" x14ac:dyDescent="0.25">
      <c r="A18" s="1" t="s">
        <v>101</v>
      </c>
      <c r="B18" s="358"/>
      <c r="C18" s="358"/>
    </row>
    <row r="20" spans="1:7" x14ac:dyDescent="0.25">
      <c r="E20" s="235"/>
    </row>
    <row r="21" spans="1:7" ht="15.75" x14ac:dyDescent="0.25">
      <c r="A21" s="354" t="s">
        <v>104</v>
      </c>
      <c r="B21" s="354"/>
      <c r="C21" s="354"/>
      <c r="D21" s="354"/>
      <c r="E21" s="354"/>
      <c r="F21" s="354"/>
      <c r="G21" s="354"/>
    </row>
    <row r="23" spans="1:7" x14ac:dyDescent="0.25">
      <c r="A23" s="1" t="s">
        <v>98</v>
      </c>
      <c r="B23" s="10"/>
      <c r="C23" s="11" t="s">
        <v>99</v>
      </c>
      <c r="D23" s="10"/>
      <c r="E23" s="11" t="s">
        <v>100</v>
      </c>
      <c r="F23" s="358"/>
      <c r="G23" s="358"/>
    </row>
    <row r="25" spans="1:7" x14ac:dyDescent="0.25">
      <c r="A25" s="1" t="s">
        <v>105</v>
      </c>
      <c r="B25" s="358"/>
      <c r="C25" s="358"/>
      <c r="E25" s="1" t="s">
        <v>106</v>
      </c>
      <c r="F25" s="358"/>
      <c r="G25" s="358"/>
    </row>
    <row r="27" spans="1:7" x14ac:dyDescent="0.25">
      <c r="A27" s="1" t="s">
        <v>101</v>
      </c>
      <c r="B27" s="358"/>
      <c r="C27" s="358"/>
    </row>
  </sheetData>
  <sheetProtection algorithmName="SHA-512" hashValue="zyT8WObS5OMTI92FBtwwYP+r95lQVALKjUMqFaVb5gczZjtCIvNSOkHHhWZmjVJ2WjHS002PpJaoBs3Tc8HR+g==" saltValue="ybpfUDF2+wDb+fcQ6WCxyw==" spinCount="100000" sheet="1" objects="1" scenarios="1"/>
  <mergeCells count="16">
    <mergeCell ref="F23:G23"/>
    <mergeCell ref="B27:C27"/>
    <mergeCell ref="B25:C25"/>
    <mergeCell ref="F25:G25"/>
    <mergeCell ref="A21:G21"/>
    <mergeCell ref="A5:G5"/>
    <mergeCell ref="A3:G3"/>
    <mergeCell ref="F11:G11"/>
    <mergeCell ref="A1:F1"/>
    <mergeCell ref="B18:C18"/>
    <mergeCell ref="A7:G7"/>
    <mergeCell ref="A8:G8"/>
    <mergeCell ref="B13:C13"/>
    <mergeCell ref="F16:G16"/>
    <mergeCell ref="A15:G15"/>
    <mergeCell ref="A10:G10"/>
  </mergeCells>
  <pageMargins left="0.70866141732283472" right="0.70866141732283472" top="0.92041666666666666" bottom="0.74803149606299213" header="0.31496062992125984" footer="0.31496062992125984"/>
  <pageSetup paperSize="9" scale="74" orientation="portrait" r:id="rId1"/>
  <headerFooter>
    <oddFooter>&amp;Lv.01.01.2025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INTRO</vt:lpstr>
      <vt:lpstr>A.Exploitation</vt:lpstr>
      <vt:lpstr>B.Surface</vt:lpstr>
      <vt:lpstr>C1.Animaux</vt:lpstr>
      <vt:lpstr>C2.Animaux</vt:lpstr>
      <vt:lpstr>D.Bilan Engrais</vt:lpstr>
      <vt:lpstr>E.Eaux usées</vt:lpstr>
      <vt:lpstr>F.Fosse et fumière</vt:lpstr>
      <vt:lpstr>G.Attestations</vt:lpstr>
      <vt:lpstr>A.Exploitation!Zone_d_impression</vt:lpstr>
      <vt:lpstr>B.Surface!Zone_d_impression</vt:lpstr>
      <vt:lpstr>C1.Animaux!Zone_d_impression</vt:lpstr>
      <vt:lpstr>C2.Animaux!Zone_d_impression</vt:lpstr>
      <vt:lpstr>'D.Bilan Engrais'!Zone_d_impression</vt:lpstr>
      <vt:lpstr>'E.Eaux usées'!Zone_d_impression</vt:lpstr>
      <vt:lpstr>'F.Fosse et fumière'!Zone_d_impression</vt:lpstr>
      <vt:lpstr>G.Attestations!Zone_d_impression</vt:lpstr>
      <vt:lpstr>INTRO!Zone_d_impression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Franck Charlotte</dc:creator>
  <cp:lastModifiedBy>Krause Aurélien</cp:lastModifiedBy>
  <cp:lastPrinted>2024-12-13T07:55:24Z</cp:lastPrinted>
  <dcterms:created xsi:type="dcterms:W3CDTF">2019-12-06T08:18:29Z</dcterms:created>
  <dcterms:modified xsi:type="dcterms:W3CDTF">2024-12-13T07:55:30Z</dcterms:modified>
</cp:coreProperties>
</file>