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P:\DIREV\06 PRE\AUR\Agriculture\1. Bases légales, Formulaires, Recommandations\2. Formulaires\Q52 (Travail)\2024\Mise à jour 2024\Versions en ligne 2024\"/>
    </mc:Choice>
  </mc:AlternateContent>
  <xr:revisionPtr revIDLastSave="0" documentId="13_ncr:1_{06DA8394-079D-44CA-B7FB-3B91CA9DA3B4}" xr6:coauthVersionLast="47" xr6:coauthVersionMax="47" xr10:uidLastSave="{00000000-0000-0000-0000-000000000000}"/>
  <workbookProtection workbookAlgorithmName="SHA-512" workbookHashValue="z8XpRgubx2VWdebbOaX6JofppuZ7VgEib3VVvQEC4lS3F6RpY8ZpOmnKDTe8zTuY4yhjiPI8PJlrR7wyC3n7OA==" workbookSaltValue="STU+JpLZWBo8y9Zs0qlzyw==" workbookSpinCount="100000" lockStructure="1"/>
  <bookViews>
    <workbookView xWindow="-110" yWindow="-110" windowWidth="19420" windowHeight="10420" tabRatio="908" xr2:uid="{00000000-000D-0000-FFFF-FFFF00000000}"/>
  </bookViews>
  <sheets>
    <sheet name="INTRO" sheetId="12" r:id="rId1"/>
    <sheet name="A.Exploitation" sheetId="1" r:id="rId2"/>
    <sheet name="B.Animaux" sheetId="9" r:id="rId3"/>
    <sheet name="C.Eaux usées" sheetId="10" r:id="rId4"/>
    <sheet name="D.Fosse et fumière" sheetId="4" r:id="rId5"/>
    <sheet name="E.Attestations" sheetId="8" r:id="rId6"/>
  </sheets>
  <definedNames>
    <definedName name="_xlnm.Print_Area" localSheetId="1">A.Exploitation!$A$1:$H$35</definedName>
    <definedName name="_xlnm.Print_Area" localSheetId="2">B.Animaux!$A$1:$I$45</definedName>
    <definedName name="_xlnm.Print_Area" localSheetId="3">'C.Eaux usées'!$A$1:$E$39</definedName>
    <definedName name="_xlnm.Print_Area" localSheetId="4">'D.Fosse et fumière'!$A$1:$F$42</definedName>
    <definedName name="_xlnm.Print_Area" localSheetId="5">E.Attestations!$A$1:$G$28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8" l="1"/>
  <c r="F11" i="8"/>
  <c r="H16" i="9"/>
  <c r="B10" i="4"/>
  <c r="E12" i="10"/>
  <c r="E13" i="10"/>
  <c r="E11" i="10"/>
  <c r="I40" i="9"/>
  <c r="H41" i="9"/>
  <c r="I42" i="9"/>
  <c r="H42" i="9"/>
  <c r="G42" i="9"/>
  <c r="I41" i="9"/>
  <c r="G41" i="9"/>
  <c r="H30" i="9"/>
  <c r="I30" i="9"/>
  <c r="G18" i="9" l="1"/>
  <c r="G19" i="9"/>
  <c r="I43" i="9"/>
  <c r="I44" i="9"/>
  <c r="H40" i="9"/>
  <c r="H43" i="9"/>
  <c r="H44" i="9"/>
  <c r="I39" i="9"/>
  <c r="H39" i="9"/>
  <c r="G39" i="9"/>
  <c r="I31" i="9"/>
  <c r="I32" i="9"/>
  <c r="I33" i="9"/>
  <c r="I34" i="9"/>
  <c r="H31" i="9"/>
  <c r="H32" i="9"/>
  <c r="H33" i="9"/>
  <c r="H34" i="9"/>
  <c r="H24" i="9"/>
  <c r="G34" i="9"/>
  <c r="G33" i="9"/>
  <c r="G32" i="9"/>
  <c r="G31" i="9"/>
  <c r="G30" i="9"/>
  <c r="I25" i="9"/>
  <c r="H25" i="9"/>
  <c r="I24" i="9"/>
  <c r="H13" i="9"/>
  <c r="G25" i="9"/>
  <c r="G24" i="9"/>
  <c r="G13" i="9"/>
  <c r="I14" i="9"/>
  <c r="I15" i="9"/>
  <c r="I16" i="9"/>
  <c r="I17" i="9"/>
  <c r="I18" i="9"/>
  <c r="I19" i="9"/>
  <c r="H14" i="9"/>
  <c r="H15" i="9"/>
  <c r="H17" i="9"/>
  <c r="H18" i="9"/>
  <c r="H19" i="9"/>
  <c r="I13" i="9"/>
  <c r="G44" i="9"/>
  <c r="G43" i="9"/>
  <c r="G40" i="9"/>
  <c r="G14" i="9"/>
  <c r="G15" i="9"/>
  <c r="G16" i="9"/>
  <c r="G17" i="9"/>
  <c r="G26" i="9" l="1"/>
  <c r="I26" i="9"/>
  <c r="H26" i="9"/>
  <c r="I35" i="9"/>
  <c r="G35" i="9"/>
  <c r="H35" i="9"/>
  <c r="I20" i="9"/>
  <c r="H20" i="9"/>
  <c r="G20" i="9"/>
  <c r="G45" i="9"/>
  <c r="H45" i="9"/>
  <c r="I45" i="9"/>
  <c r="B6" i="9" l="1"/>
  <c r="B7" i="9"/>
  <c r="F22" i="1"/>
  <c r="G1" i="8"/>
  <c r="F1" i="4"/>
  <c r="E1" i="10"/>
  <c r="I1" i="9"/>
  <c r="H1" i="1"/>
  <c r="E9" i="10" l="1"/>
  <c r="E8" i="10"/>
  <c r="A1" i="4" l="1"/>
  <c r="A1" i="8"/>
  <c r="A1" i="10"/>
  <c r="A1" i="9"/>
  <c r="A1" i="1"/>
  <c r="I7" i="4" l="1"/>
  <c r="E21" i="10"/>
  <c r="B45" i="9" l="1"/>
  <c r="D35" i="9"/>
  <c r="C35" i="9"/>
  <c r="D20" i="9"/>
  <c r="C20" i="9"/>
  <c r="E20" i="10" l="1"/>
  <c r="E22" i="10" l="1"/>
  <c r="E25" i="10" s="1"/>
  <c r="E15" i="10"/>
  <c r="E14" i="10"/>
  <c r="I8" i="4"/>
  <c r="C25" i="10" l="1"/>
  <c r="B9" i="4" s="1"/>
  <c r="I10" i="4"/>
  <c r="I6" i="4" l="1"/>
  <c r="I11" i="4" s="1"/>
  <c r="F7" i="4" l="1"/>
  <c r="B7" i="4"/>
  <c r="B25" i="10"/>
  <c r="F8" i="4" l="1"/>
  <c r="F9" i="4" s="1"/>
  <c r="F11" i="4" s="1"/>
  <c r="F15" i="4" s="1"/>
  <c r="E28" i="10"/>
  <c r="H26" i="1"/>
  <c r="H32" i="1"/>
  <c r="H31" i="1"/>
  <c r="C7" i="10" l="1"/>
  <c r="E7" i="10" s="1"/>
  <c r="E16" i="10" s="1"/>
  <c r="D25" i="10" s="1"/>
  <c r="F12" i="4"/>
  <c r="E17" i="4" s="1"/>
  <c r="B12" i="4"/>
  <c r="B8" i="4" l="1"/>
  <c r="B11" i="4" s="1"/>
  <c r="B14" i="4" s="1"/>
  <c r="A17" i="4" s="1"/>
  <c r="B28" i="10"/>
  <c r="B26" i="10"/>
  <c r="B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Franck Charlotte</author>
  </authors>
  <commentList>
    <comment ref="B19" authorId="0" shapeId="0" xr:uid="{A41B437F-1C4F-4843-9020-46193DF26AA5}">
      <text>
        <r>
          <rPr>
            <sz val="9"/>
            <color indexed="81"/>
            <rFont val="Tahoma"/>
            <family val="2"/>
          </rPr>
          <t>Détail ou précision pour remplir les données correspondantes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Füllemann Nicolas</author>
  </authors>
  <commentList>
    <comment ref="F10" authorId="0" shapeId="0" xr:uid="{415434C7-3305-407D-B52D-BF479C8F0FAF}">
      <text>
        <r>
          <rPr>
            <sz val="9"/>
            <color indexed="81"/>
            <rFont val="Tahoma"/>
            <family val="2"/>
          </rPr>
          <t>Durée journalière durant laquelle les animaux sont gardés à l'intérieur ou sur une surface raccordée à la fosse (ex: courette extérieure avec récupération des jus)</t>
        </r>
      </text>
    </comment>
    <comment ref="F21" authorId="0" shapeId="0" xr:uid="{027BD02A-FE8C-400F-B8AF-7E6D50A0C10F}">
      <text>
        <r>
          <rPr>
            <sz val="9"/>
            <color indexed="81"/>
            <rFont val="Tahoma"/>
            <family val="2"/>
          </rPr>
          <t>Durée journalière durant laquelle les animaux sont gardés à l'intérieur ou sur une surface raccordée à la fosse (ex: courette extérieure avec récupération des jus)</t>
        </r>
      </text>
    </comment>
    <comment ref="F27" authorId="0" shapeId="0" xr:uid="{04EDA59B-70D9-4A83-8700-20C3156A2CA8}">
      <text>
        <r>
          <rPr>
            <sz val="9"/>
            <color indexed="81"/>
            <rFont val="Tahoma"/>
            <family val="2"/>
          </rPr>
          <t>Durée journalière durant laquelle les animaux sont gardés à l'intérieur ou sur une surface raccordée à la fosse (ex: courette extérieure avec récupération des jus)</t>
        </r>
      </text>
    </comment>
    <comment ref="F36" authorId="0" shapeId="0" xr:uid="{980DC1F4-4F2B-4A1D-945A-E3C324DBCE7D}">
      <text>
        <r>
          <rPr>
            <sz val="9"/>
            <color indexed="81"/>
            <rFont val="Tahoma"/>
            <family val="2"/>
          </rPr>
          <t>Durée journalière durant laquelle les animaux sont gardés à l'intérieur ou sur une surface raccordée à la fosse (ex: courette extérieure avec récupération des jus)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Franck Charlotte</author>
  </authors>
  <commentList>
    <comment ref="D20" authorId="0" shapeId="0" xr:uid="{00000000-0006-0000-0300-000001000000}">
      <text>
        <r>
          <rPr>
            <sz val="9"/>
            <color indexed="81"/>
            <rFont val="Tahoma"/>
            <family val="2"/>
          </rPr>
          <t xml:space="preserve">Lorsque l'alpage ne dispose que d'un WC et d'un lavabo, on peut admettre 1.5 m3 d'eaux usées par mois et par habitant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Franck Charlotte</author>
    <author>Füllemann Nicolas</author>
  </authors>
  <commentList>
    <comment ref="E10" authorId="0" shapeId="0" xr:uid="{00000000-0006-0000-0400-000001000000}">
      <text>
        <r>
          <rPr>
            <sz val="9"/>
            <color indexed="81"/>
            <rFont val="Tahoma"/>
            <family val="2"/>
          </rPr>
          <t>Hauteur standard entre 1.5 m et 2 m</t>
        </r>
      </text>
    </comment>
    <comment ref="F13" authorId="1" shapeId="0" xr:uid="{1979748D-B410-40A5-B8B3-33782151A2D4}">
      <text>
        <r>
          <rPr>
            <sz val="9"/>
            <color indexed="81"/>
            <rFont val="Tahoma"/>
            <family val="2"/>
          </rPr>
          <t>Y compris aires de sécurité</t>
        </r>
      </text>
    </comment>
  </commentList>
</comments>
</file>

<file path=xl/sharedStrings.xml><?xml version="1.0" encoding="utf-8"?>
<sst xmlns="http://schemas.openxmlformats.org/spreadsheetml/2006/main" count="277" uniqueCount="204">
  <si>
    <t>Total</t>
  </si>
  <si>
    <t>Bovins</t>
  </si>
  <si>
    <t>Vaches laitières</t>
  </si>
  <si>
    <t>Autres vaches</t>
  </si>
  <si>
    <t>Nombre de places</t>
  </si>
  <si>
    <t>UGBF</t>
  </si>
  <si>
    <t>TOTAL</t>
  </si>
  <si>
    <t>Chevaux</t>
  </si>
  <si>
    <t>Cheval dès 30 mois</t>
  </si>
  <si>
    <t>Poulain jusqu'à 30 mois</t>
  </si>
  <si>
    <t>Porcs</t>
  </si>
  <si>
    <t>Porcelet sevré</t>
  </si>
  <si>
    <t>Truies non allaitantes</t>
  </si>
  <si>
    <t>Verrats d'élevage</t>
  </si>
  <si>
    <t>coeff. UGB</t>
  </si>
  <si>
    <t>Mini STEP</t>
  </si>
  <si>
    <t>Tranchée filtrante</t>
  </si>
  <si>
    <t>Tranchée absorbante</t>
  </si>
  <si>
    <t>Fosse septique</t>
  </si>
  <si>
    <t>Fosse à purin</t>
  </si>
  <si>
    <t>Choisir</t>
  </si>
  <si>
    <t>Ecoulement des fumières non couvertes</t>
  </si>
  <si>
    <t>oui</t>
  </si>
  <si>
    <t>non</t>
  </si>
  <si>
    <t>Chèvres laitières</t>
  </si>
  <si>
    <r>
      <t>Volume [m</t>
    </r>
    <r>
      <rPr>
        <b/>
        <vertAlign val="superscript"/>
        <sz val="11"/>
        <color theme="1"/>
        <rFont val="Calibri"/>
        <family val="2"/>
        <scheme val="minor"/>
      </rPr>
      <t>3</t>
    </r>
    <r>
      <rPr>
        <b/>
        <sz val="11"/>
        <color theme="1"/>
        <rFont val="Calibri"/>
        <family val="2"/>
        <scheme val="minor"/>
      </rPr>
      <t>]</t>
    </r>
  </si>
  <si>
    <t>REMARQUE</t>
  </si>
  <si>
    <t>Commune</t>
  </si>
  <si>
    <t>Lieu-dit et/ou Adresse</t>
  </si>
  <si>
    <t>Nom</t>
  </si>
  <si>
    <t>Prénom</t>
  </si>
  <si>
    <t>Adresse</t>
  </si>
  <si>
    <t>N° postal</t>
  </si>
  <si>
    <t>Localité</t>
  </si>
  <si>
    <t>Adresse e-mail</t>
  </si>
  <si>
    <t>N° téléphone</t>
  </si>
  <si>
    <t>-</t>
  </si>
  <si>
    <r>
      <t>Surface [m</t>
    </r>
    <r>
      <rPr>
        <b/>
        <vertAlign val="superscript"/>
        <sz val="11"/>
        <color theme="1"/>
        <rFont val="Calibri"/>
        <family val="2"/>
        <scheme val="minor"/>
      </rPr>
      <t>2</t>
    </r>
    <r>
      <rPr>
        <b/>
        <sz val="11"/>
        <color theme="1"/>
        <rFont val="Calibri"/>
        <family val="2"/>
        <scheme val="minor"/>
      </rPr>
      <t>]</t>
    </r>
  </si>
  <si>
    <t>Nombre</t>
  </si>
  <si>
    <t>Autre (préciser sous remarque)</t>
  </si>
  <si>
    <t>Fumière</t>
  </si>
  <si>
    <t>Production mensuelle de fumier [t]</t>
  </si>
  <si>
    <t>Bovin</t>
  </si>
  <si>
    <t>Porcin</t>
  </si>
  <si>
    <t>Ovin/Caprin</t>
  </si>
  <si>
    <t>Equin</t>
  </si>
  <si>
    <t>Avicole</t>
  </si>
  <si>
    <r>
      <t>Volume de stockage existant [m</t>
    </r>
    <r>
      <rPr>
        <vertAlign val="superscript"/>
        <sz val="11"/>
        <color theme="1"/>
        <rFont val="Calibri"/>
        <family val="2"/>
        <scheme val="minor"/>
      </rPr>
      <t>3</t>
    </r>
    <r>
      <rPr>
        <sz val="11"/>
        <color theme="1"/>
        <rFont val="Calibri"/>
        <family val="2"/>
        <scheme val="minor"/>
      </rPr>
      <t>]</t>
    </r>
  </si>
  <si>
    <r>
      <t>Volume de stockage prévu par le projet [m</t>
    </r>
    <r>
      <rPr>
        <vertAlign val="superscript"/>
        <sz val="11"/>
        <color theme="1"/>
        <rFont val="Calibri"/>
        <family val="2"/>
        <scheme val="minor"/>
      </rPr>
      <t>3</t>
    </r>
    <r>
      <rPr>
        <sz val="11"/>
        <color theme="1"/>
        <rFont val="Calibri"/>
        <family val="2"/>
        <scheme val="minor"/>
      </rPr>
      <t>]</t>
    </r>
  </si>
  <si>
    <r>
      <t>Bilan [m</t>
    </r>
    <r>
      <rPr>
        <vertAlign val="superscript"/>
        <sz val="11"/>
        <color theme="1"/>
        <rFont val="Calibri"/>
        <family val="2"/>
        <scheme val="minor"/>
      </rPr>
      <t>3</t>
    </r>
    <r>
      <rPr>
        <sz val="11"/>
        <color theme="1"/>
        <rFont val="Calibri"/>
        <family val="2"/>
        <scheme val="minor"/>
      </rPr>
      <t>]</t>
    </r>
  </si>
  <si>
    <r>
      <t>Surface de stockage existante [m</t>
    </r>
    <r>
      <rPr>
        <vertAlign val="superscript"/>
        <sz val="11"/>
        <color theme="1"/>
        <rFont val="Calibri"/>
        <family val="2"/>
        <scheme val="minor"/>
      </rPr>
      <t>2</t>
    </r>
    <r>
      <rPr>
        <sz val="11"/>
        <color theme="1"/>
        <rFont val="Calibri"/>
        <family val="2"/>
        <scheme val="minor"/>
      </rPr>
      <t>]</t>
    </r>
  </si>
  <si>
    <r>
      <t>Surface de stockage prévue par le projet [m</t>
    </r>
    <r>
      <rPr>
        <vertAlign val="superscript"/>
        <sz val="11"/>
        <color theme="1"/>
        <rFont val="Calibri"/>
        <family val="2"/>
        <scheme val="minor"/>
      </rPr>
      <t>2</t>
    </r>
    <r>
      <rPr>
        <sz val="11"/>
        <color theme="1"/>
        <rFont val="Calibri"/>
        <family val="2"/>
        <scheme val="minor"/>
      </rPr>
      <t>]</t>
    </r>
  </si>
  <si>
    <r>
      <t>Bilan [m</t>
    </r>
    <r>
      <rPr>
        <vertAlign val="superscript"/>
        <sz val="11"/>
        <color theme="1"/>
        <rFont val="Calibri"/>
        <family val="2"/>
        <scheme val="minor"/>
      </rPr>
      <t>2</t>
    </r>
    <r>
      <rPr>
        <sz val="11"/>
        <color theme="1"/>
        <rFont val="Calibri"/>
        <family val="2"/>
        <scheme val="minor"/>
      </rPr>
      <t>]</t>
    </r>
  </si>
  <si>
    <t>Date</t>
  </si>
  <si>
    <t>CAMAC n°</t>
  </si>
  <si>
    <t>Fumier 
[t/an]</t>
  </si>
  <si>
    <r>
      <t>Purin
[m</t>
    </r>
    <r>
      <rPr>
        <b/>
        <u/>
        <vertAlign val="superscript"/>
        <sz val="11"/>
        <color theme="1"/>
        <rFont val="Calibri"/>
        <family val="2"/>
        <scheme val="minor"/>
      </rPr>
      <t>3</t>
    </r>
    <r>
      <rPr>
        <b/>
        <u/>
        <sz val="11"/>
        <color theme="1"/>
        <rFont val="Calibri"/>
        <family val="2"/>
        <scheme val="minor"/>
      </rPr>
      <t>/an]</t>
    </r>
  </si>
  <si>
    <t>Purin</t>
  </si>
  <si>
    <t>Eaux domestiques</t>
  </si>
  <si>
    <r>
      <t>Récapitulatif - Production eaux usées dans la fosse [m</t>
    </r>
    <r>
      <rPr>
        <vertAlign val="superscript"/>
        <sz val="11"/>
        <color theme="1"/>
        <rFont val="Calibri"/>
        <family val="2"/>
        <scheme val="minor"/>
      </rPr>
      <t>3</t>
    </r>
    <r>
      <rPr>
        <sz val="11"/>
        <color theme="1"/>
        <rFont val="Calibri"/>
        <family val="2"/>
        <scheme val="minor"/>
      </rPr>
      <t>/mois]</t>
    </r>
  </si>
  <si>
    <t>Numéro</t>
  </si>
  <si>
    <t>Parcelle principale</t>
  </si>
  <si>
    <r>
      <t>Surface de stockage nécessaire [m</t>
    </r>
    <r>
      <rPr>
        <vertAlign val="superscript"/>
        <sz val="11"/>
        <color theme="1"/>
        <rFont val="Calibri"/>
        <family val="2"/>
        <scheme val="minor"/>
      </rPr>
      <t>2</t>
    </r>
    <r>
      <rPr>
        <sz val="11"/>
        <color theme="1"/>
        <rFont val="Calibri"/>
        <family val="2"/>
        <scheme val="minor"/>
      </rPr>
      <t>]</t>
    </r>
  </si>
  <si>
    <t xml:space="preserve">Service responsable </t>
  </si>
  <si>
    <t>Autres services concernés</t>
  </si>
  <si>
    <t xml:space="preserve"> ­ Direction des ressources et du patrimoine naturel (DIRNA), Section eaux souterraines.</t>
  </si>
  <si>
    <t>Comment remplir le formulaire</t>
  </si>
  <si>
    <t>En-tête ou résultat. La case ne peut pas être modifiée. Le calcul se fait automatiquement.</t>
  </si>
  <si>
    <t>Précision importante de l'autorité.</t>
  </si>
  <si>
    <t>Le résultat est conforme.</t>
  </si>
  <si>
    <t>X</t>
  </si>
  <si>
    <t>Le résultat n'est pas conforme. Un justificatif ou un correctif doit être apporté.</t>
  </si>
  <si>
    <t>Signature du requérant</t>
  </si>
  <si>
    <t xml:space="preserve">Au cas où le propriétaire de l'exploitation et l'exploitant sont distincts, la demande portera la signature des deux.
</t>
  </si>
  <si>
    <t>Le soussigné déclare avoir fourni les indications ci-dessus au plus près de sa conscience et répond de leur exactitude.</t>
  </si>
  <si>
    <t>L'exploitant:</t>
  </si>
  <si>
    <t>Lieu:</t>
  </si>
  <si>
    <t>Date:</t>
  </si>
  <si>
    <t>Tél:</t>
  </si>
  <si>
    <t>Signature:</t>
  </si>
  <si>
    <t>Le propriétaire (si différent de l'exploitant):</t>
  </si>
  <si>
    <t>Exploitant</t>
  </si>
  <si>
    <t>Attestation de l'expert technique (facultatif, mais conseillé)</t>
  </si>
  <si>
    <t>Nom:</t>
  </si>
  <si>
    <t>Entreprise:</t>
  </si>
  <si>
    <t>Oui</t>
  </si>
  <si>
    <t>Non</t>
  </si>
  <si>
    <t>Compost</t>
  </si>
  <si>
    <t>Impression du document:</t>
  </si>
  <si>
    <t>Propriétaire (si différent)</t>
  </si>
  <si>
    <t>Coordonnée X</t>
  </si>
  <si>
    <t>Ex: 2123456</t>
  </si>
  <si>
    <t>Ex: 1123456</t>
  </si>
  <si>
    <r>
      <t>Fumière(s) existante(s) [m</t>
    </r>
    <r>
      <rPr>
        <b/>
        <vertAlign val="superscript"/>
        <sz val="11"/>
        <color theme="1"/>
        <rFont val="Calibri"/>
        <family val="2"/>
        <scheme val="minor"/>
      </rPr>
      <t>2</t>
    </r>
    <r>
      <rPr>
        <b/>
        <sz val="11"/>
        <color theme="1"/>
        <rFont val="Calibri"/>
        <family val="2"/>
        <scheme val="minor"/>
      </rPr>
      <t>]</t>
    </r>
    <r>
      <rPr>
        <sz val="11"/>
        <color theme="1"/>
        <rFont val="Calibri"/>
        <family val="2"/>
        <scheme val="minor"/>
      </rPr>
      <t xml:space="preserve">
non couverte(s)</t>
    </r>
  </si>
  <si>
    <r>
      <t>Fumière(s) existante(s) [m</t>
    </r>
    <r>
      <rPr>
        <b/>
        <vertAlign val="superscript"/>
        <sz val="11"/>
        <color theme="1"/>
        <rFont val="Calibri"/>
        <family val="2"/>
        <scheme val="minor"/>
      </rPr>
      <t>2</t>
    </r>
    <r>
      <rPr>
        <b/>
        <sz val="11"/>
        <color theme="1"/>
        <rFont val="Calibri"/>
        <family val="2"/>
        <scheme val="minor"/>
      </rPr>
      <t>]</t>
    </r>
    <r>
      <rPr>
        <sz val="11"/>
        <color theme="1"/>
        <rFont val="Calibri"/>
        <family val="2"/>
        <scheme val="minor"/>
      </rPr>
      <t xml:space="preserve">
couverte(s)</t>
    </r>
  </si>
  <si>
    <t>Coordonnée Y</t>
  </si>
  <si>
    <t>Estivage</t>
  </si>
  <si>
    <t>Objet N°1</t>
  </si>
  <si>
    <t>Objet N°2</t>
  </si>
  <si>
    <t>Objet N°3</t>
  </si>
  <si>
    <t>Objet N°4</t>
  </si>
  <si>
    <t>Objet N°5</t>
  </si>
  <si>
    <t>Objet N°6</t>
  </si>
  <si>
    <t>Truies allaitantes et porcelets</t>
  </si>
  <si>
    <t>Buvette d'alpage: nombre de places assises</t>
  </si>
  <si>
    <t>Numéro UHZ</t>
  </si>
  <si>
    <r>
      <t>Fosse(s) à purin existante(s) [m</t>
    </r>
    <r>
      <rPr>
        <b/>
        <vertAlign val="superscript"/>
        <sz val="11"/>
        <color theme="1"/>
        <rFont val="Calibri"/>
        <family val="2"/>
        <scheme val="minor"/>
      </rPr>
      <t>3</t>
    </r>
    <r>
      <rPr>
        <b/>
        <sz val="11"/>
        <color theme="1"/>
        <rFont val="Calibri"/>
        <family val="2"/>
        <scheme val="minor"/>
      </rPr>
      <t>]</t>
    </r>
  </si>
  <si>
    <t>Fosse(s) à purin: Coordonnée Y</t>
  </si>
  <si>
    <t>Animaux de 1 à 2 ans</t>
  </si>
  <si>
    <t>Animaux de 4 à 12 mois</t>
  </si>
  <si>
    <t>Animaux de 0 à 4 mois</t>
  </si>
  <si>
    <t>Animaux de plus de 2 ans</t>
  </si>
  <si>
    <t>Porc à l'engrais (PPE)</t>
  </si>
  <si>
    <t>Autres chèvres et moutons</t>
  </si>
  <si>
    <t>Réseau communal d'égouts vers station d'épuration (STEP)</t>
  </si>
  <si>
    <t>Surfaces exposées à la pluie selon plan canalisations</t>
  </si>
  <si>
    <t>Eaux usées domestiques</t>
  </si>
  <si>
    <t>Eaux usées de l'exploitation</t>
  </si>
  <si>
    <t>Données de l'exploitation</t>
  </si>
  <si>
    <t>Vérification du dimensionnement des ouvrages de stockage des engrais de ferme</t>
  </si>
  <si>
    <t>Surface de stockage projetée couverte?</t>
  </si>
  <si>
    <t>Hauteur maximale du tas de fumier [m]</t>
  </si>
  <si>
    <t>Attestation du propriétaire, de l'exploitant et de la Commune territoriale</t>
  </si>
  <si>
    <t>Exemple de plans des canalisations:</t>
  </si>
  <si>
    <t>Calcul du dimensionnement,
Approbation de la capacité et de la charge</t>
  </si>
  <si>
    <t>Plan des canalisations de l'exploitation</t>
  </si>
  <si>
    <t>Résultat négatif: volume additionnel à construire.
Résultat positif: volume existant et/ou prévu suffisant</t>
  </si>
  <si>
    <t>JUSTIFICATION EN CAS DE RESULTAT NEGATIF</t>
  </si>
  <si>
    <r>
      <t>m</t>
    </r>
    <r>
      <rPr>
        <b/>
        <vertAlign val="superscript"/>
        <sz val="11"/>
        <color theme="1"/>
        <rFont val="Calibri"/>
        <family val="2"/>
        <scheme val="minor"/>
      </rPr>
      <t>3</t>
    </r>
    <r>
      <rPr>
        <b/>
        <sz val="11"/>
        <color theme="1"/>
        <rFont val="Calibri"/>
        <family val="2"/>
        <scheme val="minor"/>
      </rPr>
      <t xml:space="preserve"> EU par m</t>
    </r>
    <r>
      <rPr>
        <b/>
        <vertAlign val="superscript"/>
        <sz val="11"/>
        <color theme="1"/>
        <rFont val="Calibri"/>
        <family val="2"/>
        <scheme val="minor"/>
      </rPr>
      <t>2</t>
    </r>
  </si>
  <si>
    <r>
      <t>m</t>
    </r>
    <r>
      <rPr>
        <b/>
        <vertAlign val="superscript"/>
        <sz val="11"/>
        <color theme="1"/>
        <rFont val="Calibri"/>
        <family val="2"/>
        <scheme val="minor"/>
      </rPr>
      <t>3</t>
    </r>
    <r>
      <rPr>
        <b/>
        <sz val="11"/>
        <color theme="1"/>
        <rFont val="Calibri"/>
        <family val="2"/>
        <scheme val="minor"/>
      </rPr>
      <t xml:space="preserve"> EU par unité</t>
    </r>
  </si>
  <si>
    <t>Petit lait</t>
  </si>
  <si>
    <t xml:space="preserve">Pour rappel, un plan des canalisations de l'exploitation doit être intégré dans tout dossier de demande de permis de constuire.
Dans ce plan, il convient d’indiquer où aboutit toute conduite d’évacuation des eaux (fosse à lisier, puits d’infiltration, milieu récepteur, etc.), de même que toute installation, toute place avec revêtement étanche, tout ouvrage d’entreposage d’engrais de ferme, d’engrais de recyclage ou de substances et liquides de nature à polluer les eaux (bâtiments d’élevage, réservoirs à lisier, fumières, aires d’exercice,
silos à fourrage, distribution du carburant, place de lavage, etc.). Cela peut se faire sous une forme schématique, comme illustré ci-après.
</t>
  </si>
  <si>
    <t>Numéro cantonal exploitation</t>
  </si>
  <si>
    <t>Calcul du volume d'eaux usées par mois raccordé à la fosse (eaux de nettoyage, ruissellement ou du ménage)</t>
  </si>
  <si>
    <t>Bilan mensuel</t>
  </si>
  <si>
    <t>Production de fumier [t/mois]</t>
  </si>
  <si>
    <r>
      <t>Production de purin [m</t>
    </r>
    <r>
      <rPr>
        <vertAlign val="superscript"/>
        <sz val="11"/>
        <color theme="1"/>
        <rFont val="Calibri"/>
        <family val="2"/>
        <scheme val="minor"/>
      </rPr>
      <t>3</t>
    </r>
    <r>
      <rPr>
        <sz val="11"/>
        <color theme="1"/>
        <rFont val="Calibri"/>
        <family val="2"/>
        <scheme val="minor"/>
      </rPr>
      <t>/mois]</t>
    </r>
  </si>
  <si>
    <t>Nombre d'habitants</t>
  </si>
  <si>
    <t>Dilution Petit lait / Purin</t>
  </si>
  <si>
    <t>Eaux usées des activités annexes</t>
  </si>
  <si>
    <t>Lait transformé en fromage par mois [l]</t>
  </si>
  <si>
    <t>Activités annexes</t>
  </si>
  <si>
    <t>Boucherie</t>
  </si>
  <si>
    <t>Fromagerie</t>
  </si>
  <si>
    <t>Buvette, table d'hôtes</t>
  </si>
  <si>
    <t>Traitement</t>
  </si>
  <si>
    <r>
      <t>Coeff Purin [m</t>
    </r>
    <r>
      <rPr>
        <i/>
        <vertAlign val="superscript"/>
        <sz val="11"/>
        <color theme="1"/>
        <rFont val="Calibri"/>
        <family val="2"/>
        <scheme val="minor"/>
      </rPr>
      <t>3</t>
    </r>
    <r>
      <rPr>
        <i/>
        <sz val="11"/>
        <color theme="1"/>
        <rFont val="Calibri"/>
        <family val="2"/>
        <scheme val="minor"/>
      </rPr>
      <t>/an]</t>
    </r>
  </si>
  <si>
    <r>
      <t>Volume supplémentaire - nouvelle fumière [m</t>
    </r>
    <r>
      <rPr>
        <vertAlign val="superscript"/>
        <sz val="11"/>
        <color theme="1"/>
        <rFont val="Calibri"/>
        <family val="2"/>
        <scheme val="minor"/>
      </rPr>
      <t>3</t>
    </r>
    <r>
      <rPr>
        <sz val="11"/>
        <color theme="1"/>
        <rFont val="Calibri"/>
        <family val="2"/>
        <scheme val="minor"/>
      </rPr>
      <t>]</t>
    </r>
  </si>
  <si>
    <r>
      <t>Volume de fumier à stocker [m</t>
    </r>
    <r>
      <rPr>
        <vertAlign val="superscript"/>
        <sz val="11"/>
        <color theme="1"/>
        <rFont val="Calibri"/>
        <family val="2"/>
        <scheme val="minor"/>
      </rPr>
      <t>3</t>
    </r>
    <r>
      <rPr>
        <sz val="11"/>
        <color theme="1"/>
        <rFont val="Calibri"/>
        <family val="2"/>
        <scheme val="minor"/>
      </rPr>
      <t>]</t>
    </r>
  </si>
  <si>
    <t>Volume de petit-lait à traiter [l]</t>
  </si>
  <si>
    <t xml:space="preserve">• Département de l'économie, de l'innovation et du sport, Direction générale de l'agriculture, de la viticulture et des affaires vétérinaires (DGAV)
• Département des institutions et du territoire, Direction générale du territoire et du logement (DGTL)
• Département de l’environnement et de la sécurité, Direction générale de l’environnement (DGE) :
</t>
  </si>
  <si>
    <t>Fosse(s) à purin: Coordonnée X</t>
  </si>
  <si>
    <t>Chèvres, moutons</t>
  </si>
  <si>
    <t>Autres:</t>
  </si>
  <si>
    <t>Déficit</t>
  </si>
  <si>
    <t>Eaux exploitation (hors petit lait)</t>
  </si>
  <si>
    <t>Dilution Eaux usées / Purin (sans petit-lait)</t>
  </si>
  <si>
    <t xml:space="preserve"> </t>
  </si>
  <si>
    <t>A remplir par l'autorité cantonale</t>
  </si>
  <si>
    <t>52b</t>
  </si>
  <si>
    <t xml:space="preserve">Inventaire de l'exploitation d'estivage pour dimensionnement de la fosse et de la fumière.
Indiquer le nombre de places disponibles après réalisation du projet (ou effectif réel) pour l'entier de l'exploitation d'estivage, ainsi que le(s) système(s) de détention. </t>
  </si>
  <si>
    <r>
      <t>Production mensuelle de purin [m</t>
    </r>
    <r>
      <rPr>
        <vertAlign val="superscript"/>
        <sz val="11"/>
        <color theme="1"/>
        <rFont val="Calibri"/>
        <family val="2"/>
        <scheme val="minor"/>
      </rPr>
      <t>3</t>
    </r>
    <r>
      <rPr>
        <sz val="11"/>
        <color theme="1"/>
        <rFont val="Calibri"/>
        <family val="2"/>
        <scheme val="minor"/>
      </rPr>
      <t>]</t>
    </r>
  </si>
  <si>
    <r>
      <t>Stockage mensuel d'eaux usées [m</t>
    </r>
    <r>
      <rPr>
        <vertAlign val="superscript"/>
        <sz val="11"/>
        <color theme="1"/>
        <rFont val="Calibri"/>
        <family val="2"/>
        <scheme val="minor"/>
      </rPr>
      <t>3</t>
    </r>
    <r>
      <rPr>
        <sz val="11"/>
        <color theme="1"/>
        <rFont val="Calibri"/>
        <family val="2"/>
        <scheme val="minor"/>
      </rPr>
      <t>]</t>
    </r>
  </si>
  <si>
    <r>
      <t>Stockage mensuel de petit-lait [m</t>
    </r>
    <r>
      <rPr>
        <vertAlign val="superscript"/>
        <sz val="11"/>
        <color theme="1"/>
        <rFont val="Calibri"/>
        <family val="2"/>
        <scheme val="minor"/>
      </rPr>
      <t>3</t>
    </r>
    <r>
      <rPr>
        <sz val="11"/>
        <color theme="1"/>
        <rFont val="Calibri"/>
        <family val="2"/>
        <scheme val="minor"/>
      </rPr>
      <t>]</t>
    </r>
  </si>
  <si>
    <r>
      <t>Volume de stockage nécessaire [m</t>
    </r>
    <r>
      <rPr>
        <vertAlign val="superscript"/>
        <sz val="11"/>
        <color theme="1"/>
        <rFont val="Calibri"/>
        <family val="2"/>
        <scheme val="minor"/>
      </rPr>
      <t>3</t>
    </r>
    <r>
      <rPr>
        <sz val="11"/>
        <color theme="1"/>
        <rFont val="Calibri"/>
        <family val="2"/>
        <scheme val="minor"/>
      </rPr>
      <t>]</t>
    </r>
  </si>
  <si>
    <t>Altitude</t>
  </si>
  <si>
    <t>moins de 600 m</t>
  </si>
  <si>
    <t>entre 600 et 1000 m</t>
  </si>
  <si>
    <t>plus de 1000 m</t>
  </si>
  <si>
    <t>Autres surfaces (fosse ouverte, etc.)  </t>
  </si>
  <si>
    <t>Aire d'exercice étanche non couverte</t>
  </si>
  <si>
    <t>Début de l'estivage (approximatif)</t>
  </si>
  <si>
    <t>Fin de l'estivage (approximatif)</t>
  </si>
  <si>
    <t>Durée avant épandage [semaines]</t>
  </si>
  <si>
    <t>Durée [sem.]</t>
  </si>
  <si>
    <t>Choisir une option.</t>
  </si>
  <si>
    <t>Passer la souris sur le coin rouge: Détail ou précision de l'autorité relativement aux informations à fournir.</t>
  </si>
  <si>
    <t>Fumier [t]</t>
  </si>
  <si>
    <t>Coeff [t/m3]</t>
  </si>
  <si>
    <r>
      <t>Densité fumier [t/m</t>
    </r>
    <r>
      <rPr>
        <vertAlign val="superscript"/>
        <sz val="11"/>
        <color theme="1"/>
        <rFont val="Calibri"/>
        <family val="2"/>
        <scheme val="minor"/>
      </rPr>
      <t>3</t>
    </r>
    <r>
      <rPr>
        <sz val="11"/>
        <color theme="1"/>
        <rFont val="Calibri"/>
        <family val="2"/>
        <scheme val="minor"/>
      </rPr>
      <t>]</t>
    </r>
  </si>
  <si>
    <t>Nombre d'exemplaires requis: 2</t>
  </si>
  <si>
    <t xml:space="preserve"> ­ Direction de l’environnement industriel, urbain et rural (DIREV), Section protection de l'air.</t>
  </si>
  <si>
    <t>Case pouvant être remplie ou modifiée.</t>
  </si>
  <si>
    <r>
      <rPr>
        <b/>
        <sz val="11"/>
        <color rgb="FF000000"/>
        <rFont val="Calibri"/>
        <family val="2"/>
      </rPr>
      <t xml:space="preserve">Direction générale
de l’environnement (DGE)
</t>
    </r>
    <r>
      <rPr>
        <sz val="11"/>
        <color theme="1"/>
        <rFont val="Calibri"/>
        <family val="2"/>
        <scheme val="minor"/>
      </rPr>
      <t>Assainissement urbain et rural (AUR)
Ch. des Boveresses 155
Case postale 33
1066 Epalinges</t>
    </r>
  </si>
  <si>
    <t>Installations de stockage d'engrais de ferme
Exploitation d'estivage</t>
  </si>
  <si>
    <r>
      <t xml:space="preserve">Imprimer chaque feuille séparément, sauf intro (Onglets A-E)
Choisir l'option "Ajuster la feuille à une page" dans la boite de dialogue, voir image ci-contre.
</t>
    </r>
    <r>
      <rPr>
        <b/>
        <u/>
        <sz val="11"/>
        <color rgb="FF000000"/>
        <rFont val="Calibri"/>
        <family val="2"/>
      </rPr>
      <t xml:space="preserve">
Le document est à imprimer en 2 exemplaires et à remettre en version xls via la CAMAC.</t>
    </r>
  </si>
  <si>
    <r>
      <t xml:space="preserve">Tout à la fosse
</t>
    </r>
    <r>
      <rPr>
        <sz val="11"/>
        <color theme="1"/>
        <rFont val="Calibri"/>
        <family val="2"/>
        <scheme val="minor"/>
      </rPr>
      <t>Lisier complet</t>
    </r>
  </si>
  <si>
    <r>
      <t xml:space="preserve">Litière profonde
</t>
    </r>
    <r>
      <rPr>
        <sz val="11"/>
        <color theme="1"/>
        <rFont val="Calibri"/>
        <family val="2"/>
        <scheme val="minor"/>
      </rPr>
      <t>Fumier seul</t>
    </r>
  </si>
  <si>
    <r>
      <t xml:space="preserve">Mélange
</t>
    </r>
    <r>
      <rPr>
        <sz val="11"/>
        <color theme="1"/>
        <rFont val="Calibri"/>
        <family val="2"/>
        <scheme val="minor"/>
      </rPr>
      <t>Purin et Fumier</t>
    </r>
  </si>
  <si>
    <r>
      <t xml:space="preserve">Caillebotis
</t>
    </r>
    <r>
      <rPr>
        <sz val="11"/>
        <color theme="1"/>
        <rFont val="Calibri"/>
        <family val="2"/>
        <scheme val="minor"/>
      </rPr>
      <t>Lisier complet</t>
    </r>
  </si>
  <si>
    <r>
      <t>Litière profonde</t>
    </r>
    <r>
      <rPr>
        <sz val="11"/>
        <color theme="1"/>
        <rFont val="Calibri"/>
        <family val="2"/>
        <scheme val="minor"/>
      </rPr>
      <t xml:space="preserve">
Fumier seul</t>
    </r>
  </si>
  <si>
    <t>Durée détention intérieure [h/j]</t>
  </si>
  <si>
    <t>Coeff Fumier [t/an]</t>
  </si>
  <si>
    <r>
      <t xml:space="preserve">Stabulation libre
</t>
    </r>
    <r>
      <rPr>
        <sz val="11"/>
        <color theme="1"/>
        <rFont val="Calibri"/>
        <family val="2"/>
        <scheme val="minor"/>
      </rPr>
      <t>Fumier</t>
    </r>
    <r>
      <rPr>
        <b/>
        <sz val="11"/>
        <color theme="1"/>
        <rFont val="Calibri"/>
        <family val="2"/>
        <scheme val="minor"/>
      </rPr>
      <t xml:space="preserve"> </t>
    </r>
    <r>
      <rPr>
        <sz val="11"/>
        <color theme="1"/>
        <rFont val="Calibri"/>
        <family val="2"/>
        <scheme val="minor"/>
      </rPr>
      <t>seul</t>
    </r>
  </si>
  <si>
    <r>
      <t xml:space="preserve">Si la dilution est supérieure à la limite tolérée, une autre solution d'assainissement devrait être envisagée pour le </t>
    </r>
    <r>
      <rPr>
        <b/>
        <u/>
        <sz val="11"/>
        <color theme="1"/>
        <rFont val="Calibri"/>
        <family val="2"/>
        <scheme val="minor"/>
      </rPr>
      <t>petit lait</t>
    </r>
    <r>
      <rPr>
        <sz val="11"/>
        <color theme="1"/>
        <rFont val="Calibri"/>
        <family val="2"/>
        <scheme val="minor"/>
      </rPr>
      <t xml:space="preserve"> (&gt;2)
Si la dilution est supérieure à la limite indicative, une autre solution d'assainissement devrait être envisagée pour les </t>
    </r>
    <r>
      <rPr>
        <b/>
        <u/>
        <sz val="11"/>
        <color theme="1"/>
        <rFont val="Calibri"/>
        <family val="2"/>
        <scheme val="minor"/>
      </rPr>
      <t>eaux usées domestiques</t>
    </r>
    <r>
      <rPr>
        <sz val="11"/>
        <color theme="1"/>
        <rFont val="Calibri"/>
        <family val="2"/>
        <scheme val="minor"/>
      </rPr>
      <t xml:space="preserve"> (&gt;3)</t>
    </r>
  </si>
  <si>
    <t>Numéro cantonal d'estivage</t>
  </si>
  <si>
    <t xml:space="preserve">Brebis laitières </t>
  </si>
  <si>
    <t>Moutons/chevreaux de 180 à 365 j.</t>
  </si>
  <si>
    <t>Agneaux/cabris jusqu'à 180 j.</t>
  </si>
  <si>
    <t>Département de l’environnement et de la sécurité, Direction générale de l’environnement (DGE), Direction de l’environnement industriel, urbain et rural (DIREV), Section assainissement urbain et rural.
Chemin des Boveresses 155, 1066 Epalinges
Tél. 021 316 43 60</t>
  </si>
  <si>
    <t>Installation de traite à pots - Nombre d'agregats</t>
  </si>
  <si>
    <t>Installation de traite directe - Nombre d'agregats</t>
  </si>
  <si>
    <t>Incomplet*</t>
  </si>
  <si>
    <t>Salle de traite - Nombre de places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</si>
</sst>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
  </numFmts>
  <fonts count="34" x14ac:knownFonts="1">
    <font>
      <sz val="11"/>
      <color theme="1"/>
      <name val="Calibri"/>
      <family val="2"/>
      <scheme val="minor"/>
    </font>
    <font>
      <sz val="11"/>
      <color rgb="FF9C6500"/>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b/>
      <u/>
      <sz val="11"/>
      <color theme="1"/>
      <name val="Calibri"/>
      <family val="2"/>
      <scheme val="minor"/>
    </font>
    <font>
      <u/>
      <sz val="11"/>
      <color theme="1"/>
      <name val="Calibri"/>
      <family val="2"/>
      <scheme val="minor"/>
    </font>
    <font>
      <b/>
      <vertAlign val="superscript"/>
      <sz val="11"/>
      <color theme="1"/>
      <name val="Calibri"/>
      <family val="2"/>
      <scheme val="minor"/>
    </font>
    <font>
      <sz val="11"/>
      <color theme="1"/>
      <name val="Calibri"/>
      <family val="2"/>
      <scheme val="minor"/>
    </font>
    <font>
      <b/>
      <u/>
      <vertAlign val="superscript"/>
      <sz val="11"/>
      <color theme="1"/>
      <name val="Calibri"/>
      <family val="2"/>
      <scheme val="minor"/>
    </font>
    <font>
      <b/>
      <u/>
      <sz val="11"/>
      <name val="Calibri"/>
      <family val="2"/>
      <scheme val="minor"/>
    </font>
    <font>
      <sz val="11"/>
      <name val="Calibri"/>
      <family val="2"/>
      <scheme val="minor"/>
    </font>
    <font>
      <b/>
      <u/>
      <sz val="11"/>
      <color theme="0" tint="-4.9989318521683403E-2"/>
      <name val="Calibri"/>
      <family val="2"/>
      <scheme val="minor"/>
    </font>
    <font>
      <sz val="11"/>
      <color theme="0" tint="-4.9989318521683403E-2"/>
      <name val="Calibri"/>
      <family val="2"/>
      <scheme val="minor"/>
    </font>
    <font>
      <sz val="11"/>
      <color rgb="FF9C0006"/>
      <name val="Calibri"/>
      <family val="2"/>
      <scheme val="minor"/>
    </font>
    <font>
      <b/>
      <sz val="12"/>
      <color theme="1"/>
      <name val="Calibri"/>
      <family val="2"/>
      <scheme val="minor"/>
    </font>
    <font>
      <i/>
      <sz val="9"/>
      <color theme="1"/>
      <name val="Calibri"/>
      <family val="2"/>
      <scheme val="minor"/>
    </font>
    <font>
      <sz val="9"/>
      <color indexed="81"/>
      <name val="Tahoma"/>
      <family val="2"/>
    </font>
    <font>
      <i/>
      <vertAlign val="superscript"/>
      <sz val="11"/>
      <color theme="1"/>
      <name val="Calibri"/>
      <family val="2"/>
      <scheme val="minor"/>
    </font>
    <font>
      <sz val="11"/>
      <color theme="1"/>
      <name val="Calibri"/>
      <family val="2"/>
    </font>
    <font>
      <b/>
      <sz val="11"/>
      <color rgb="FF000000"/>
      <name val="Calibri"/>
      <family val="2"/>
    </font>
    <font>
      <b/>
      <sz val="20"/>
      <color rgb="FF000000"/>
      <name val="Calibri"/>
      <family val="2"/>
    </font>
    <font>
      <sz val="16"/>
      <color rgb="FF000000"/>
      <name val="Calibri"/>
      <family val="2"/>
    </font>
    <font>
      <b/>
      <i/>
      <sz val="11"/>
      <color rgb="FF000000"/>
      <name val="Calibri"/>
      <family val="2"/>
    </font>
    <font>
      <b/>
      <sz val="16"/>
      <color rgb="FF000000"/>
      <name val="Calibri"/>
      <family val="2"/>
    </font>
    <font>
      <sz val="11"/>
      <color rgb="FF9C6500"/>
      <name val="Calibri"/>
      <family val="2"/>
    </font>
    <font>
      <sz val="11"/>
      <name val="Calibri"/>
      <family val="2"/>
    </font>
    <font>
      <sz val="11"/>
      <color rgb="FFFF0000"/>
      <name val="Calibri"/>
      <family val="2"/>
    </font>
    <font>
      <b/>
      <u/>
      <sz val="16"/>
      <color rgb="FF000000"/>
      <name val="Calibri"/>
      <family val="2"/>
    </font>
    <font>
      <b/>
      <u/>
      <sz val="11"/>
      <color rgb="FF000000"/>
      <name val="Calibri"/>
      <family val="2"/>
    </font>
    <font>
      <b/>
      <u/>
      <sz val="14"/>
      <color rgb="FF000000"/>
      <name val="Calibri"/>
      <family val="2"/>
    </font>
    <font>
      <i/>
      <sz val="11"/>
      <color rgb="FF000000"/>
      <name val="Calibri"/>
      <family val="2"/>
    </font>
    <font>
      <i/>
      <sz val="11"/>
      <color rgb="FFFF0000"/>
      <name val="Calibri"/>
      <family val="2"/>
      <scheme val="minor"/>
    </font>
    <font>
      <b/>
      <sz val="11"/>
      <color rgb="FFFF0000"/>
      <name val="Calibri"/>
      <family val="2"/>
      <scheme val="minor"/>
    </font>
  </fonts>
  <fills count="9">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C7CE"/>
      </patternFill>
    </fill>
    <fill>
      <patternFill patternType="solid">
        <fgColor rgb="FFF2F2F2"/>
        <bgColor rgb="FF000000"/>
      </patternFill>
    </fill>
    <fill>
      <patternFill patternType="solid">
        <fgColor rgb="FFFDE9D9"/>
        <bgColor rgb="FF000000"/>
      </patternFill>
    </fill>
    <fill>
      <patternFill patternType="solid">
        <fgColor rgb="FFFFC7CE"/>
        <bgColor rgb="FFFFFFFF"/>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top style="thin">
        <color theme="0" tint="-0.14996795556505021"/>
      </top>
      <bottom style="thin">
        <color theme="0" tint="-0.14996795556505021"/>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style="thin">
        <color indexed="64"/>
      </right>
      <top/>
      <bottom/>
      <diagonal/>
    </border>
    <border>
      <left style="thin">
        <color theme="0" tint="-0.14996795556505021"/>
      </left>
      <right/>
      <top style="thin">
        <color theme="0" tint="-0.1499679555650502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medium">
        <color indexed="64"/>
      </right>
      <top style="thin">
        <color indexed="64"/>
      </top>
      <bottom style="thin">
        <color indexed="64"/>
      </bottom>
      <diagonal/>
    </border>
    <border>
      <left style="thin">
        <color indexed="64"/>
      </left>
      <right/>
      <top style="thin">
        <color theme="0" tint="-0.14996795556505021"/>
      </top>
      <bottom style="thin">
        <color indexed="64"/>
      </bottom>
      <diagonal/>
    </border>
    <border>
      <left style="thin">
        <color rgb="FFBFBFBF"/>
      </left>
      <right style="thin">
        <color rgb="FFBFBFBF"/>
      </right>
      <top/>
      <bottom style="thin">
        <color rgb="FFBFBFBF"/>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theme="0" tint="-0.14996795556505021"/>
      </right>
      <top/>
      <bottom style="thin">
        <color theme="0" tint="-0.14996795556505021"/>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s>
  <cellStyleXfs count="4">
    <xf numFmtId="0" fontId="0" fillId="0" borderId="0"/>
    <xf numFmtId="0" fontId="1" fillId="2" borderId="0" applyNumberFormat="0" applyBorder="0" applyAlignment="0" applyProtection="0"/>
    <xf numFmtId="0" fontId="14" fillId="5" borderId="0" applyNumberFormat="0" applyBorder="0" applyAlignment="0" applyProtection="0"/>
    <xf numFmtId="9" fontId="8" fillId="0" borderId="0" applyFont="0" applyFill="0" applyBorder="0" applyAlignment="0" applyProtection="0"/>
  </cellStyleXfs>
  <cellXfs count="309">
    <xf numFmtId="0" fontId="0" fillId="0" borderId="0" xfId="0"/>
    <xf numFmtId="0" fontId="0" fillId="0" borderId="0" xfId="0" applyAlignment="1">
      <alignment wrapText="1"/>
    </xf>
    <xf numFmtId="0" fontId="1" fillId="4" borderId="0" xfId="1" applyFont="1" applyFill="1" applyBorder="1" applyAlignment="1" applyProtection="1">
      <alignment horizontal="center" wrapText="1"/>
      <protection locked="0"/>
    </xf>
    <xf numFmtId="0" fontId="0" fillId="0" borderId="0" xfId="0" applyAlignment="1">
      <alignment horizontal="right" wrapText="1"/>
    </xf>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18" xfId="0" applyFill="1" applyBorder="1" applyAlignment="1">
      <alignment horizontal="left" vertical="center" wrapText="1"/>
    </xf>
    <xf numFmtId="14" fontId="2" fillId="0" borderId="0" xfId="0" applyNumberFormat="1" applyFont="1" applyAlignment="1">
      <alignment horizontal="left" wrapText="1"/>
    </xf>
    <xf numFmtId="0" fontId="2" fillId="3" borderId="3"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wrapText="1"/>
    </xf>
    <xf numFmtId="0" fontId="0" fillId="0" borderId="0" xfId="0" applyAlignment="1">
      <alignment vertical="center" wrapText="1"/>
    </xf>
    <xf numFmtId="0" fontId="0" fillId="0" borderId="18" xfId="0" applyFill="1" applyBorder="1" applyAlignment="1">
      <alignment vertical="center" wrapText="1"/>
    </xf>
    <xf numFmtId="0" fontId="0" fillId="3" borderId="3" xfId="0" applyFont="1" applyFill="1" applyBorder="1" applyAlignment="1">
      <alignment horizontal="center" vertical="center" wrapText="1"/>
    </xf>
    <xf numFmtId="0" fontId="0" fillId="0" borderId="35" xfId="0" applyFill="1" applyBorder="1" applyAlignment="1">
      <alignment horizontal="center" vertical="center" wrapText="1"/>
    </xf>
    <xf numFmtId="0" fontId="0" fillId="0" borderId="9" xfId="0" applyBorder="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0" fillId="4" borderId="33"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0" borderId="0" xfId="0" applyAlignment="1">
      <alignment horizontal="center" vertical="center" wrapText="1"/>
    </xf>
    <xf numFmtId="14" fontId="2" fillId="0" borderId="0" xfId="0" applyNumberFormat="1" applyFont="1" applyAlignment="1">
      <alignment horizontal="left" vertical="center" wrapText="1"/>
    </xf>
    <xf numFmtId="0" fontId="2" fillId="3" borderId="1" xfId="0" applyFont="1" applyFill="1" applyBorder="1" applyAlignment="1" applyProtection="1">
      <alignment horizontal="center" vertical="center" wrapText="1"/>
    </xf>
    <xf numFmtId="0" fontId="11" fillId="3" borderId="1" xfId="1" applyFont="1" applyFill="1" applyBorder="1" applyAlignment="1" applyProtection="1">
      <alignment horizontal="center" vertical="center" wrapText="1"/>
    </xf>
    <xf numFmtId="0" fontId="10" fillId="3" borderId="2" xfId="1" applyFont="1" applyFill="1" applyBorder="1" applyAlignment="1" applyProtection="1">
      <alignment horizontal="center" vertical="center" wrapText="1"/>
    </xf>
    <xf numFmtId="0" fontId="0" fillId="4" borderId="23" xfId="0"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0" fillId="4" borderId="38" xfId="0" applyFill="1" applyBorder="1" applyAlignment="1" applyProtection="1">
      <alignment horizontal="center" vertical="center" wrapText="1"/>
      <protection locked="0"/>
    </xf>
    <xf numFmtId="0" fontId="11" fillId="3" borderId="1" xfId="1" quotePrefix="1" applyFont="1" applyFill="1" applyBorder="1" applyAlignment="1" applyProtection="1">
      <alignment horizontal="center" vertical="center" wrapText="1"/>
    </xf>
    <xf numFmtId="0" fontId="0" fillId="4" borderId="26"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0" fontId="0" fillId="4" borderId="28" xfId="0" applyFill="1" applyBorder="1" applyAlignment="1" applyProtection="1">
      <alignment horizontal="center" vertical="center" wrapText="1"/>
      <protection locked="0"/>
    </xf>
    <xf numFmtId="0" fontId="0" fillId="0" borderId="0" xfId="0" applyAlignment="1" applyProtection="1">
      <alignment horizontal="left" vertical="center" wrapText="1"/>
    </xf>
    <xf numFmtId="0" fontId="2" fillId="0" borderId="18"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0" borderId="18" xfId="1" applyFont="1" applyFill="1" applyBorder="1" applyAlignment="1">
      <alignment horizontal="center" vertical="center" wrapText="1"/>
    </xf>
    <xf numFmtId="1" fontId="8" fillId="3" borderId="1" xfId="1" applyNumberFormat="1" applyFont="1" applyFill="1" applyBorder="1" applyAlignment="1">
      <alignment horizontal="center" vertical="center" wrapText="1"/>
    </xf>
    <xf numFmtId="0" fontId="1" fillId="4" borderId="1" xfId="1" applyFont="1" applyFill="1" applyBorder="1" applyAlignment="1" applyProtection="1">
      <alignment horizontal="center" vertical="center" wrapText="1"/>
      <protection locked="0"/>
    </xf>
    <xf numFmtId="1" fontId="2" fillId="0" borderId="18"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 fillId="0" borderId="18" xfId="1" applyFont="1" applyFill="1" applyBorder="1" applyAlignment="1" applyProtection="1">
      <alignment horizontal="center" vertical="center" wrapText="1"/>
      <protection locked="0"/>
    </xf>
    <xf numFmtId="1" fontId="5" fillId="0" borderId="18"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6" fillId="0" borderId="18" xfId="0" applyFont="1" applyFill="1" applyBorder="1" applyAlignment="1" applyProtection="1">
      <alignment horizontal="left" vertical="center" wrapText="1"/>
      <protection locked="0"/>
    </xf>
    <xf numFmtId="164" fontId="2" fillId="3" borderId="22" xfId="1" applyNumberFormat="1" applyFont="1" applyFill="1" applyBorder="1" applyAlignment="1">
      <alignment horizontal="center" vertical="center" wrapText="1"/>
    </xf>
    <xf numFmtId="0" fontId="0" fillId="3" borderId="1" xfId="0" applyFill="1" applyBorder="1" applyAlignment="1" applyProtection="1">
      <alignment horizontal="center" vertical="center" wrapText="1"/>
    </xf>
    <xf numFmtId="164" fontId="5" fillId="3" borderId="1" xfId="1" applyNumberFormat="1" applyFont="1" applyFill="1" applyBorder="1" applyAlignment="1">
      <alignment horizontal="center" vertical="center" wrapText="1"/>
    </xf>
    <xf numFmtId="0" fontId="2" fillId="3" borderId="1" xfId="0" applyFont="1" applyFill="1" applyBorder="1" applyAlignment="1">
      <alignment vertical="center" wrapText="1"/>
    </xf>
    <xf numFmtId="0" fontId="4" fillId="3" borderId="3" xfId="0" applyFont="1" applyFill="1" applyBorder="1" applyAlignment="1">
      <alignment horizontal="center" vertical="center" wrapText="1"/>
    </xf>
    <xf numFmtId="0" fontId="0" fillId="3" borderId="45" xfId="0" applyFill="1" applyBorder="1" applyAlignment="1">
      <alignment vertical="center" wrapText="1"/>
    </xf>
    <xf numFmtId="0" fontId="0" fillId="0" borderId="0" xfId="0" applyAlignment="1" applyProtection="1">
      <alignment vertical="center" wrapText="1"/>
      <protection locked="0"/>
    </xf>
    <xf numFmtId="0" fontId="0" fillId="3" borderId="3" xfId="0" applyFill="1" applyBorder="1" applyAlignment="1">
      <alignment horizontal="center" vertical="center" wrapText="1"/>
    </xf>
    <xf numFmtId="0" fontId="0" fillId="4" borderId="3" xfId="0" applyFill="1" applyBorder="1" applyAlignment="1" applyProtection="1">
      <alignment horizontal="center" vertical="center" wrapText="1"/>
      <protection locked="0"/>
    </xf>
    <xf numFmtId="0" fontId="0" fillId="4" borderId="31" xfId="0" applyFill="1" applyBorder="1" applyAlignment="1" applyProtection="1">
      <alignment horizontal="center" vertical="center" wrapText="1"/>
      <protection locked="0"/>
    </xf>
    <xf numFmtId="0" fontId="0" fillId="4" borderId="32" xfId="0" applyFill="1" applyBorder="1" applyAlignment="1" applyProtection="1">
      <alignment horizontal="center" vertical="center" wrapText="1"/>
      <protection locked="0"/>
    </xf>
    <xf numFmtId="0" fontId="0" fillId="4" borderId="40" xfId="0" applyFill="1" applyBorder="1" applyAlignment="1" applyProtection="1">
      <alignment horizontal="center" vertical="center" wrapText="1"/>
      <protection locked="0"/>
    </xf>
    <xf numFmtId="0" fontId="12" fillId="3" borderId="47" xfId="1" applyFont="1" applyFill="1" applyBorder="1" applyAlignment="1">
      <alignment horizontal="center" vertical="center" wrapText="1"/>
    </xf>
    <xf numFmtId="0" fontId="13" fillId="3" borderId="55" xfId="1" applyFont="1" applyFill="1" applyBorder="1" applyAlignment="1">
      <alignment horizontal="center" vertical="center" wrapText="1"/>
    </xf>
    <xf numFmtId="0" fontId="13" fillId="3" borderId="56" xfId="1" applyFont="1" applyFill="1" applyBorder="1" applyAlignment="1">
      <alignment horizontal="center" vertical="center" wrapText="1"/>
    </xf>
    <xf numFmtId="164" fontId="8" fillId="3" borderId="56" xfId="1"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14" fontId="2" fillId="0" borderId="0" xfId="0" applyNumberFormat="1" applyFont="1" applyAlignment="1" applyProtection="1">
      <alignment horizontal="left" vertical="center" wrapText="1"/>
    </xf>
    <xf numFmtId="14" fontId="0" fillId="0" borderId="0" xfId="0" applyNumberFormat="1" applyFont="1" applyAlignment="1" applyProtection="1">
      <alignment horizontal="left" vertical="center" wrapText="1"/>
    </xf>
    <xf numFmtId="0" fontId="0" fillId="0" borderId="39" xfId="0" applyBorder="1" applyAlignment="1">
      <alignment vertical="center" wrapText="1"/>
    </xf>
    <xf numFmtId="164" fontId="0" fillId="3" borderId="1" xfId="0" applyNumberFormat="1" applyFont="1" applyFill="1" applyBorder="1" applyAlignment="1">
      <alignment horizontal="center" vertical="center" wrapText="1"/>
    </xf>
    <xf numFmtId="0" fontId="4" fillId="4" borderId="5"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164" fontId="5" fillId="3" borderId="1" xfId="0" applyNumberFormat="1" applyFont="1" applyFill="1" applyBorder="1" applyAlignment="1">
      <alignment horizontal="center" vertical="center" wrapText="1"/>
    </xf>
    <xf numFmtId="14" fontId="2" fillId="0" borderId="0" xfId="0" applyNumberFormat="1" applyFont="1" applyAlignment="1">
      <alignment horizontal="left" vertical="center" wrapText="1"/>
    </xf>
    <xf numFmtId="0" fontId="2"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Fill="1" applyAlignment="1">
      <alignment horizontal="left" vertical="top" wrapText="1"/>
    </xf>
    <xf numFmtId="0" fontId="0" fillId="0" borderId="0" xfId="0" applyAlignment="1">
      <alignment horizontal="left"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lignment horizontal="left" vertical="center" wrapText="1"/>
    </xf>
    <xf numFmtId="14" fontId="0" fillId="0" borderId="0" xfId="0" applyNumberFormat="1" applyFont="1" applyFill="1" applyAlignment="1">
      <alignment horizontal="left" wrapText="1"/>
    </xf>
    <xf numFmtId="0" fontId="0" fillId="0" borderId="0" xfId="0" applyFont="1" applyFill="1" applyAlignment="1">
      <alignment wrapText="1"/>
    </xf>
    <xf numFmtId="0" fontId="0" fillId="0" borderId="0" xfId="0" applyFill="1" applyAlignment="1">
      <alignment wrapText="1"/>
    </xf>
    <xf numFmtId="0" fontId="0" fillId="0" borderId="0" xfId="0" applyFont="1" applyFill="1" applyAlignment="1">
      <alignment horizontal="left" wrapText="1"/>
    </xf>
    <xf numFmtId="0" fontId="0" fillId="3" borderId="46" xfId="1" applyFont="1" applyFill="1" applyBorder="1" applyAlignment="1">
      <alignment vertical="center" wrapText="1"/>
    </xf>
    <xf numFmtId="0" fontId="0" fillId="3" borderId="45" xfId="1" applyFont="1" applyFill="1" applyBorder="1" applyAlignment="1">
      <alignment vertical="center" wrapText="1"/>
    </xf>
    <xf numFmtId="0" fontId="5" fillId="3" borderId="41" xfId="0" applyFont="1" applyFill="1" applyBorder="1"/>
    <xf numFmtId="0" fontId="0" fillId="3" borderId="44" xfId="0" applyFill="1" applyBorder="1"/>
    <xf numFmtId="0" fontId="13" fillId="3" borderId="39"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57" xfId="1" applyFont="1" applyFill="1" applyBorder="1"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Font="1" applyAlignment="1">
      <alignment vertical="center" wrapText="1"/>
    </xf>
    <xf numFmtId="0" fontId="0" fillId="4" borderId="62" xfId="0" applyFill="1" applyBorder="1" applyAlignment="1" applyProtection="1">
      <alignment horizontal="center" vertical="center" wrapText="1"/>
      <protection locked="0"/>
    </xf>
    <xf numFmtId="0" fontId="0" fillId="0" borderId="21" xfId="0" applyBorder="1"/>
    <xf numFmtId="0" fontId="6" fillId="0" borderId="0" xfId="0" applyFont="1" applyAlignment="1">
      <alignment wrapText="1"/>
    </xf>
    <xf numFmtId="0" fontId="6" fillId="0" borderId="0" xfId="0" applyFont="1" applyAlignment="1">
      <alignment horizontal="left" wrapText="1"/>
    </xf>
    <xf numFmtId="0" fontId="6" fillId="0" borderId="18" xfId="0" applyFont="1" applyFill="1" applyBorder="1" applyAlignment="1" applyProtection="1">
      <alignment horizontal="left" wrapText="1"/>
      <protection locked="0"/>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 fontId="8" fillId="3" borderId="1" xfId="1" applyNumberFormat="1" applyFont="1" applyFill="1" applyBorder="1" applyAlignment="1">
      <alignment horizontal="center" vertical="center" wrapText="1"/>
    </xf>
    <xf numFmtId="0" fontId="0" fillId="3" borderId="1" xfId="0" applyFill="1" applyBorder="1" applyAlignment="1">
      <alignment vertical="center" wrapText="1"/>
    </xf>
    <xf numFmtId="1" fontId="5" fillId="3" borderId="61" xfId="1" applyNumberFormat="1" applyFont="1" applyFill="1" applyBorder="1" applyAlignment="1">
      <alignment horizontal="center" vertical="center" wrapText="1"/>
    </xf>
    <xf numFmtId="1" fontId="5" fillId="3" borderId="51" xfId="1" applyNumberFormat="1" applyFont="1" applyFill="1" applyBorder="1" applyAlignment="1">
      <alignment horizontal="center" vertical="center" wrapText="1"/>
    </xf>
    <xf numFmtId="0" fontId="0" fillId="3" borderId="1" xfId="0" applyFill="1" applyBorder="1" applyAlignment="1">
      <alignment vertical="center" wrapText="1"/>
    </xf>
    <xf numFmtId="0" fontId="0" fillId="0" borderId="0" xfId="0"/>
    <xf numFmtId="0" fontId="0" fillId="3" borderId="1" xfId="0" applyFill="1" applyBorder="1" applyAlignment="1">
      <alignment vertical="center" wrapText="1"/>
    </xf>
    <xf numFmtId="1" fontId="8" fillId="3" borderId="1" xfId="1" applyNumberFormat="1" applyFont="1" applyFill="1" applyBorder="1" applyAlignment="1">
      <alignment horizontal="center" vertical="center" wrapText="1"/>
    </xf>
    <xf numFmtId="1" fontId="1" fillId="4" borderId="1" xfId="1" applyNumberFormat="1" applyFont="1" applyFill="1" applyBorder="1" applyAlignment="1" applyProtection="1">
      <alignment horizontal="center" vertical="center" wrapText="1"/>
      <protection locked="0"/>
    </xf>
    <xf numFmtId="9" fontId="4" fillId="3" borderId="1" xfId="3" applyFont="1" applyFill="1" applyBorder="1" applyAlignment="1">
      <alignment horizontal="center" vertical="center" wrapText="1"/>
    </xf>
    <xf numFmtId="0" fontId="2" fillId="3" borderId="41" xfId="0" applyFont="1" applyFill="1" applyBorder="1" applyAlignment="1">
      <alignment vertical="center" wrapText="1"/>
    </xf>
    <xf numFmtId="0" fontId="4" fillId="3" borderId="45" xfId="0" applyFont="1" applyFill="1" applyBorder="1" applyAlignment="1">
      <alignment vertical="center" wrapText="1"/>
    </xf>
    <xf numFmtId="0" fontId="0" fillId="3" borderId="45" xfId="0" applyFont="1" applyFill="1" applyBorder="1" applyAlignment="1">
      <alignment vertical="center" wrapText="1"/>
    </xf>
    <xf numFmtId="0" fontId="4" fillId="3" borderId="3" xfId="0" applyFont="1" applyFill="1" applyBorder="1" applyAlignment="1">
      <alignment horizontal="center" vertical="center" wrapText="1"/>
    </xf>
    <xf numFmtId="0" fontId="5" fillId="3" borderId="46" xfId="1" applyFont="1" applyFill="1" applyBorder="1" applyAlignment="1">
      <alignment vertical="center" wrapText="1"/>
    </xf>
    <xf numFmtId="0" fontId="0" fillId="4" borderId="29"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13" fillId="3" borderId="48" xfId="1" applyFont="1" applyFill="1" applyBorder="1" applyAlignment="1">
      <alignment horizontal="center" vertical="center" wrapText="1"/>
    </xf>
    <xf numFmtId="0" fontId="0" fillId="3" borderId="1" xfId="0" applyFont="1" applyFill="1" applyBorder="1" applyAlignment="1">
      <alignment horizontal="center" vertical="center" wrapText="1"/>
    </xf>
    <xf numFmtId="0" fontId="5" fillId="3" borderId="47" xfId="1" applyFont="1" applyFill="1" applyBorder="1" applyAlignment="1">
      <alignment horizontal="center" vertical="center" wrapText="1"/>
    </xf>
    <xf numFmtId="0" fontId="0" fillId="0" borderId="0" xfId="0" applyAlignment="1">
      <alignment horizontal="left" vertical="center" wrapText="1"/>
    </xf>
    <xf numFmtId="0" fontId="0" fillId="3" borderId="3" xfId="0" applyFont="1" applyFill="1" applyBorder="1" applyAlignment="1">
      <alignment horizontal="center" vertical="center" wrapText="1"/>
    </xf>
    <xf numFmtId="1" fontId="8" fillId="3" borderId="1" xfId="1" applyNumberFormat="1" applyFont="1" applyFill="1" applyBorder="1" applyAlignment="1">
      <alignment horizontal="center" vertical="center" wrapText="1"/>
    </xf>
    <xf numFmtId="164" fontId="8" fillId="3" borderId="1" xfId="1" applyNumberFormat="1" applyFont="1" applyFill="1" applyBorder="1" applyAlignment="1">
      <alignment horizontal="center" vertical="center" wrapText="1"/>
    </xf>
    <xf numFmtId="164" fontId="8" fillId="3" borderId="21" xfId="1" applyNumberFormat="1" applyFont="1" applyFill="1" applyBorder="1" applyAlignment="1">
      <alignment horizontal="center" vertical="center" wrapText="1"/>
    </xf>
    <xf numFmtId="164" fontId="5" fillId="3" borderId="50" xfId="1" applyNumberFormat="1" applyFont="1" applyFill="1" applyBorder="1" applyAlignment="1">
      <alignment horizontal="center" vertical="center" wrapText="1"/>
    </xf>
    <xf numFmtId="0" fontId="5" fillId="3" borderId="42" xfId="0"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3" borderId="16"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22" xfId="1" applyFont="1" applyFill="1" applyBorder="1" applyAlignment="1">
      <alignment horizontal="center" vertical="center" wrapText="1"/>
    </xf>
    <xf numFmtId="0" fontId="13" fillId="3" borderId="20" xfId="1" applyFont="1" applyFill="1" applyBorder="1" applyAlignment="1">
      <alignment horizontal="center" vertical="center" wrapText="1"/>
    </xf>
    <xf numFmtId="0" fontId="13" fillId="3" borderId="21" xfId="1" applyFont="1" applyFill="1" applyBorder="1" applyAlignment="1">
      <alignment horizontal="center" vertical="center" wrapText="1"/>
    </xf>
    <xf numFmtId="164" fontId="5" fillId="3" borderId="49" xfId="1" applyNumberFormat="1" applyFont="1" applyFill="1" applyBorder="1" applyAlignment="1">
      <alignment horizontal="center" vertical="center" wrapText="1"/>
    </xf>
    <xf numFmtId="164" fontId="5" fillId="3" borderId="51" xfId="1" applyNumberFormat="1"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6" fillId="0" borderId="0" xfId="0" applyFont="1" applyAlignment="1">
      <alignment horizontal="left" wrapText="1"/>
    </xf>
    <xf numFmtId="0" fontId="2" fillId="3" borderId="4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45" xfId="0" applyFill="1" applyBorder="1" applyAlignment="1" applyProtection="1">
      <alignment horizontal="left" vertical="center" wrapText="1"/>
      <protection locked="0"/>
    </xf>
    <xf numFmtId="164" fontId="2"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vertical="center" wrapText="1"/>
    </xf>
    <xf numFmtId="14" fontId="0" fillId="0" borderId="0" xfId="0" applyNumberFormat="1"/>
    <xf numFmtId="14" fontId="0" fillId="0" borderId="0" xfId="0" applyNumberFormat="1" applyAlignment="1">
      <alignment wrapText="1"/>
    </xf>
    <xf numFmtId="49" fontId="0" fillId="0" borderId="0" xfId="0" applyNumberFormat="1"/>
    <xf numFmtId="0" fontId="2" fillId="3" borderId="1" xfId="0" applyFont="1" applyFill="1" applyBorder="1" applyAlignment="1" applyProtection="1">
      <alignment horizontal="left" vertical="center" wrapText="1"/>
    </xf>
    <xf numFmtId="2" fontId="0" fillId="3" borderId="1" xfId="0" applyNumberFormat="1" applyFill="1" applyBorder="1" applyAlignment="1">
      <alignment horizontal="center" vertical="center" wrapText="1"/>
    </xf>
    <xf numFmtId="0" fontId="19" fillId="0" borderId="0" xfId="0" applyFont="1"/>
    <xf numFmtId="0" fontId="21" fillId="0" borderId="0" xfId="0" applyFont="1"/>
    <xf numFmtId="0" fontId="23" fillId="0" borderId="0" xfId="0" applyFont="1" applyAlignment="1">
      <alignment vertical="center"/>
    </xf>
    <xf numFmtId="0" fontId="23" fillId="0" borderId="0" xfId="0" applyFont="1"/>
    <xf numFmtId="0" fontId="22" fillId="0" borderId="0" xfId="0" applyFont="1" applyAlignment="1">
      <alignment horizontal="center" vertical="top" wrapText="1"/>
    </xf>
    <xf numFmtId="0" fontId="24" fillId="0" borderId="0" xfId="0" applyFont="1"/>
    <xf numFmtId="0" fontId="26" fillId="6" borderId="2" xfId="1" applyFont="1" applyFill="1" applyBorder="1" applyAlignment="1" applyProtection="1">
      <alignment horizontal="center" vertical="center"/>
    </xf>
    <xf numFmtId="0" fontId="19" fillId="0" borderId="34" xfId="0" applyFont="1" applyBorder="1" applyAlignment="1">
      <alignment horizontal="center" vertical="center"/>
    </xf>
    <xf numFmtId="0" fontId="19" fillId="7" borderId="63" xfId="0" applyFont="1" applyFill="1" applyBorder="1" applyAlignment="1" applyProtection="1">
      <alignment horizontal="center" vertical="center"/>
      <protection locked="0"/>
    </xf>
    <xf numFmtId="0" fontId="25" fillId="7" borderId="1" xfId="1" applyFont="1" applyFill="1" applyBorder="1" applyAlignment="1" applyProtection="1">
      <alignment horizontal="center" vertical="center"/>
      <protection locked="0"/>
    </xf>
    <xf numFmtId="164" fontId="19" fillId="0" borderId="1" xfId="0" applyNumberFormat="1" applyFont="1" applyBorder="1" applyAlignment="1">
      <alignment horizontal="center" vertical="center"/>
    </xf>
    <xf numFmtId="0" fontId="27" fillId="8" borderId="1" xfId="2"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top"/>
    </xf>
    <xf numFmtId="0" fontId="19" fillId="0" borderId="0" xfId="0" applyFont="1" applyAlignment="1">
      <alignment wrapText="1"/>
    </xf>
    <xf numFmtId="0" fontId="19" fillId="0" borderId="0" xfId="0" applyFont="1" applyAlignment="1">
      <alignment horizontal="left" wrapText="1"/>
    </xf>
    <xf numFmtId="0" fontId="19" fillId="0" borderId="0" xfId="0" applyFont="1" applyAlignment="1">
      <alignment vertical="top" wrapText="1"/>
    </xf>
    <xf numFmtId="14" fontId="2" fillId="0" borderId="0" xfId="0" applyNumberFormat="1" applyFont="1" applyAlignment="1">
      <alignment horizontal="left" vertical="center" wrapText="1"/>
    </xf>
    <xf numFmtId="0" fontId="2" fillId="3" borderId="42" xfId="0" applyFont="1" applyFill="1" applyBorder="1" applyAlignment="1">
      <alignment horizontal="center" vertical="center" wrapText="1"/>
    </xf>
    <xf numFmtId="0" fontId="0" fillId="4" borderId="59" xfId="0" applyFill="1" applyBorder="1" applyAlignment="1" applyProtection="1">
      <alignment horizontal="center" vertical="center" wrapText="1"/>
      <protection locked="0"/>
    </xf>
    <xf numFmtId="0" fontId="0" fillId="4" borderId="60" xfId="0" applyFill="1" applyBorder="1" applyAlignment="1" applyProtection="1">
      <alignment horizontal="center" vertical="center" wrapText="1"/>
      <protection locked="0"/>
    </xf>
    <xf numFmtId="0" fontId="13" fillId="3" borderId="49" xfId="1" applyFont="1" applyFill="1" applyBorder="1" applyAlignment="1">
      <alignment horizontal="center" vertical="center" wrapText="1"/>
    </xf>
    <xf numFmtId="14" fontId="2" fillId="0" borderId="0" xfId="0" applyNumberFormat="1" applyFont="1" applyAlignment="1">
      <alignment horizontal="left" vertical="center" wrapText="1"/>
    </xf>
    <xf numFmtId="0" fontId="0" fillId="4" borderId="58" xfId="0" applyFill="1" applyBorder="1" applyAlignment="1" applyProtection="1">
      <alignment horizontal="center" vertical="center" wrapText="1"/>
      <protection locked="0"/>
    </xf>
    <xf numFmtId="0" fontId="4" fillId="3" borderId="19" xfId="0" applyFont="1" applyFill="1" applyBorder="1" applyAlignment="1">
      <alignment horizontal="center" vertical="center" wrapText="1"/>
    </xf>
    <xf numFmtId="0" fontId="0" fillId="4" borderId="64" xfId="0" applyFill="1" applyBorder="1" applyAlignment="1" applyProtection="1">
      <alignment horizontal="center" vertical="center" wrapText="1"/>
      <protection locked="0"/>
    </xf>
    <xf numFmtId="0" fontId="0" fillId="4" borderId="65" xfId="0" applyFill="1" applyBorder="1" applyAlignment="1" applyProtection="1">
      <alignment horizontal="center" vertical="center" wrapText="1"/>
      <protection locked="0"/>
    </xf>
    <xf numFmtId="0" fontId="0" fillId="4" borderId="66" xfId="0" applyFill="1" applyBorder="1" applyAlignment="1" applyProtection="1">
      <alignment horizontal="center" vertical="center" wrapText="1"/>
      <protection locked="0"/>
    </xf>
    <xf numFmtId="0" fontId="0" fillId="4" borderId="67" xfId="0" applyFill="1" applyBorder="1" applyAlignment="1" applyProtection="1">
      <alignment horizontal="center" vertical="center" wrapText="1"/>
      <protection locked="0"/>
    </xf>
    <xf numFmtId="0" fontId="4" fillId="3" borderId="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0" fillId="4" borderId="62" xfId="0" applyFill="1" applyBorder="1" applyAlignment="1" applyProtection="1">
      <alignment horizontal="center" vertical="center" wrapText="1"/>
      <protection locked="0"/>
    </xf>
    <xf numFmtId="0" fontId="0" fillId="4" borderId="29" xfId="0" applyFont="1" applyFill="1" applyBorder="1" applyAlignment="1" applyProtection="1">
      <alignment horizontal="center" vertical="center" wrapText="1"/>
      <protection locked="0"/>
    </xf>
    <xf numFmtId="0" fontId="0" fillId="4" borderId="68" xfId="0" applyFill="1" applyBorder="1" applyAlignment="1" applyProtection="1">
      <alignment horizontal="center" vertical="center" wrapText="1"/>
      <protection locked="0"/>
    </xf>
    <xf numFmtId="0" fontId="13" fillId="3" borderId="48" xfId="1" applyFont="1" applyFill="1" applyBorder="1" applyAlignment="1">
      <alignment horizontal="center" vertical="center" wrapText="1"/>
    </xf>
    <xf numFmtId="0" fontId="31" fillId="0" borderId="0" xfId="0" applyFont="1" applyAlignment="1">
      <alignment horizontal="right" vertical="top"/>
    </xf>
    <xf numFmtId="0" fontId="2" fillId="3" borderId="69" xfId="0" applyFont="1" applyFill="1" applyBorder="1" applyAlignment="1">
      <alignment vertical="center" wrapText="1"/>
    </xf>
    <xf numFmtId="0" fontId="2" fillId="3" borderId="39" xfId="0" applyFont="1" applyFill="1" applyBorder="1" applyAlignment="1">
      <alignment vertical="center" wrapText="1"/>
    </xf>
    <xf numFmtId="0" fontId="2" fillId="3" borderId="2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71" xfId="0" applyFont="1" applyFill="1" applyBorder="1" applyAlignment="1">
      <alignment vertical="center" wrapText="1"/>
    </xf>
    <xf numFmtId="0" fontId="0" fillId="0" borderId="71" xfId="0" applyFill="1" applyBorder="1" applyAlignment="1">
      <alignment vertical="center" wrapText="1"/>
    </xf>
    <xf numFmtId="0" fontId="2" fillId="0" borderId="72" xfId="0" applyFont="1" applyFill="1" applyBorder="1" applyAlignment="1">
      <alignment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3" borderId="22" xfId="0" applyFont="1" applyFill="1" applyBorder="1" applyAlignment="1">
      <alignment vertical="center" wrapText="1"/>
    </xf>
    <xf numFmtId="0" fontId="2" fillId="0" borderId="73" xfId="0" applyFont="1" applyFill="1" applyBorder="1" applyAlignment="1">
      <alignment vertical="center" wrapText="1"/>
    </xf>
    <xf numFmtId="0" fontId="4" fillId="0" borderId="18" xfId="0" applyFont="1" applyFill="1" applyBorder="1" applyAlignment="1">
      <alignment vertical="center" wrapText="1"/>
    </xf>
    <xf numFmtId="0" fontId="0" fillId="0" borderId="18" xfId="0" applyFill="1" applyBorder="1" applyAlignment="1" applyProtection="1">
      <alignment vertical="center" wrapText="1"/>
      <protection locked="0"/>
    </xf>
    <xf numFmtId="0" fontId="0" fillId="0" borderId="21" xfId="0" applyFill="1" applyBorder="1" applyAlignment="1" applyProtection="1">
      <alignment vertical="center" wrapText="1"/>
      <protection locked="0"/>
    </xf>
    <xf numFmtId="0" fontId="0" fillId="4" borderId="74" xfId="0" applyFill="1" applyBorder="1" applyAlignment="1" applyProtection="1">
      <alignment horizontal="center" vertical="center" wrapText="1"/>
      <protection locked="0"/>
    </xf>
    <xf numFmtId="0" fontId="0" fillId="4" borderId="75" xfId="0" applyFill="1" applyBorder="1" applyAlignment="1" applyProtection="1">
      <alignment horizontal="center" vertical="center" wrapText="1"/>
      <protection locked="0"/>
    </xf>
    <xf numFmtId="0" fontId="0" fillId="0" borderId="0" xfId="0" applyFill="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4" fillId="0" borderId="0" xfId="0" applyFont="1" applyFill="1" applyBorder="1" applyAlignment="1">
      <alignment vertical="center" wrapText="1"/>
    </xf>
    <xf numFmtId="0" fontId="0" fillId="4" borderId="76" xfId="0" applyFill="1" applyBorder="1" applyAlignment="1" applyProtection="1">
      <alignment horizontal="center" vertical="center" wrapText="1"/>
      <protection locked="0"/>
    </xf>
    <xf numFmtId="0" fontId="0" fillId="4" borderId="77"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3" borderId="1" xfId="0" applyFill="1" applyBorder="1" applyAlignment="1">
      <alignment horizontal="center" vertical="center" wrapText="1"/>
    </xf>
    <xf numFmtId="0" fontId="2" fillId="3" borderId="78" xfId="0" applyFont="1" applyFill="1" applyBorder="1" applyAlignment="1">
      <alignment vertical="center" wrapText="1"/>
    </xf>
    <xf numFmtId="0" fontId="2" fillId="0" borderId="0" xfId="0" applyFont="1" applyFill="1" applyBorder="1" applyAlignment="1">
      <alignment vertical="center" wrapText="1"/>
    </xf>
    <xf numFmtId="0" fontId="2" fillId="0" borderId="18" xfId="0" applyFont="1" applyFill="1" applyBorder="1" applyAlignment="1">
      <alignment vertical="center" wrapText="1"/>
    </xf>
    <xf numFmtId="0" fontId="5" fillId="3" borderId="21"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2" fillId="3" borderId="80" xfId="0" applyFont="1" applyFill="1" applyBorder="1" applyAlignment="1">
      <alignment vertical="center" wrapText="1"/>
    </xf>
    <xf numFmtId="0" fontId="12" fillId="3" borderId="48" xfId="1" applyFont="1" applyFill="1" applyBorder="1" applyAlignment="1">
      <alignment horizontal="center" vertical="center" wrapText="1"/>
    </xf>
    <xf numFmtId="0" fontId="32" fillId="0" borderId="0" xfId="0" applyFont="1"/>
    <xf numFmtId="0" fontId="0" fillId="0" borderId="0" xfId="0" applyAlignment="1">
      <alignment vertical="center"/>
    </xf>
    <xf numFmtId="0" fontId="32" fillId="0" borderId="0" xfId="0" applyFont="1" applyAlignment="1">
      <alignment vertical="center" wrapText="1"/>
    </xf>
    <xf numFmtId="0" fontId="2" fillId="3" borderId="0" xfId="1" applyFont="1" applyFill="1" applyBorder="1" applyAlignment="1">
      <alignment horizontal="center" vertical="center" wrapText="1"/>
    </xf>
    <xf numFmtId="14" fontId="33" fillId="0" borderId="0" xfId="0" applyNumberFormat="1" applyFont="1" applyAlignment="1">
      <alignment horizontal="left" vertical="center" wrapText="1"/>
    </xf>
    <xf numFmtId="14" fontId="33" fillId="0" borderId="0" xfId="0" applyNumberFormat="1" applyFont="1" applyAlignment="1" applyProtection="1">
      <alignment horizontal="left" vertical="center" wrapText="1"/>
    </xf>
    <xf numFmtId="14" fontId="33" fillId="0" borderId="0" xfId="0" applyNumberFormat="1" applyFont="1" applyAlignment="1">
      <alignment horizontal="left" wrapText="1"/>
    </xf>
    <xf numFmtId="0" fontId="2" fillId="0" borderId="81" xfId="0" applyFont="1" applyFill="1" applyBorder="1" applyAlignment="1">
      <alignment vertical="center" wrapText="1"/>
    </xf>
    <xf numFmtId="0" fontId="19" fillId="0" borderId="0" xfId="0" applyFont="1" applyAlignment="1">
      <alignment horizontal="left" vertical="top" wrapText="1"/>
    </xf>
    <xf numFmtId="0" fontId="21" fillId="0" borderId="0" xfId="0" applyFont="1" applyAlignment="1">
      <alignment horizontal="center" vertical="top" wrapText="1"/>
    </xf>
    <xf numFmtId="0" fontId="22" fillId="0" borderId="0" xfId="0" applyFont="1" applyAlignment="1">
      <alignment horizontal="center" vertical="top" wrapText="1"/>
    </xf>
    <xf numFmtId="0" fontId="19" fillId="0" borderId="0" xfId="0" applyFont="1" applyAlignment="1">
      <alignment horizontal="left" vertical="top"/>
    </xf>
    <xf numFmtId="0" fontId="19" fillId="0" borderId="0" xfId="0" quotePrefix="1" applyFont="1" applyAlignment="1">
      <alignment horizontal="left" vertical="top" wrapText="1"/>
    </xf>
    <xf numFmtId="0" fontId="28" fillId="0" borderId="0" xfId="0" applyFont="1" applyAlignment="1">
      <alignment horizontal="left" vertical="center"/>
    </xf>
    <xf numFmtId="0" fontId="30" fillId="0" borderId="0" xfId="0" applyFont="1" applyAlignment="1">
      <alignment wrapText="1"/>
    </xf>
    <xf numFmtId="49" fontId="0" fillId="4" borderId="3" xfId="0" applyNumberFormat="1" applyFill="1" applyBorder="1" applyAlignment="1" applyProtection="1">
      <alignment horizontal="left" vertical="center" wrapText="1"/>
      <protection locked="0"/>
    </xf>
    <xf numFmtId="49" fontId="0" fillId="4" borderId="4" xfId="0" applyNumberFormat="1" applyFill="1" applyBorder="1" applyAlignment="1" applyProtection="1">
      <alignment horizontal="left" vertical="center" wrapText="1"/>
      <protection locked="0"/>
    </xf>
    <xf numFmtId="49" fontId="0" fillId="4" borderId="5" xfId="0" applyNumberFormat="1" applyFill="1" applyBorder="1" applyAlignment="1" applyProtection="1">
      <alignment horizontal="left" vertical="center" wrapText="1"/>
      <protection locked="0"/>
    </xf>
    <xf numFmtId="0" fontId="0" fillId="4" borderId="3" xfId="0" applyFill="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14" fontId="2" fillId="0" borderId="0" xfId="0" applyNumberFormat="1" applyFont="1" applyAlignment="1" applyProtection="1">
      <alignment horizontal="left" vertical="center" wrapText="1"/>
    </xf>
    <xf numFmtId="14" fontId="0" fillId="4" borderId="3" xfId="0" applyNumberFormat="1" applyFill="1" applyBorder="1" applyAlignment="1" applyProtection="1">
      <alignment horizontal="left" vertical="center" wrapText="1"/>
      <protection locked="0"/>
    </xf>
    <xf numFmtId="14" fontId="0" fillId="4" borderId="4" xfId="0" applyNumberFormat="1" applyFill="1" applyBorder="1" applyAlignment="1" applyProtection="1">
      <alignment horizontal="left" vertical="center" wrapText="1"/>
      <protection locked="0"/>
    </xf>
    <xf numFmtId="14" fontId="0" fillId="4" borderId="5" xfId="0" applyNumberFormat="1" applyFill="1" applyBorder="1" applyAlignment="1" applyProtection="1">
      <alignment horizontal="left" vertical="center" wrapText="1"/>
      <protection locked="0"/>
    </xf>
    <xf numFmtId="49" fontId="4" fillId="3" borderId="3" xfId="0" applyNumberFormat="1" applyFont="1" applyFill="1" applyBorder="1" applyAlignment="1" applyProtection="1">
      <alignment horizontal="left" vertical="center" wrapText="1"/>
      <protection locked="0"/>
    </xf>
    <xf numFmtId="49" fontId="4" fillId="3" borderId="4" xfId="0" applyNumberFormat="1" applyFont="1" applyFill="1" applyBorder="1" applyAlignment="1" applyProtection="1">
      <alignment horizontal="left" vertical="center" wrapText="1"/>
      <protection locked="0"/>
    </xf>
    <xf numFmtId="49" fontId="4" fillId="3" borderId="5" xfId="0" applyNumberFormat="1" applyFont="1" applyFill="1" applyBorder="1" applyAlignment="1" applyProtection="1">
      <alignment horizontal="left" vertical="center" wrapText="1"/>
      <protection locked="0"/>
    </xf>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165" fontId="0" fillId="4" borderId="3" xfId="0" applyNumberFormat="1" applyFill="1" applyBorder="1" applyAlignment="1" applyProtection="1">
      <alignment horizontal="left" vertical="center" wrapText="1"/>
      <protection locked="0"/>
    </xf>
    <xf numFmtId="165" fontId="0" fillId="4" borderId="4" xfId="0" applyNumberFormat="1" applyFill="1" applyBorder="1" applyAlignment="1" applyProtection="1">
      <alignment horizontal="left" vertical="center" wrapText="1"/>
      <protection locked="0"/>
    </xf>
    <xf numFmtId="165" fontId="0" fillId="4" borderId="5" xfId="0" applyNumberFormat="1" applyFill="1" applyBorder="1" applyAlignment="1" applyProtection="1">
      <alignment horizontal="left" vertical="center" wrapText="1"/>
      <protection locked="0"/>
    </xf>
    <xf numFmtId="0" fontId="11" fillId="3" borderId="3"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0" fillId="0" borderId="0" xfId="0" applyFill="1" applyAlignment="1">
      <alignment horizontal="left" vertical="top" wrapText="1"/>
    </xf>
    <xf numFmtId="49" fontId="0" fillId="4" borderId="1" xfId="0" applyNumberFormat="1" applyFill="1" applyBorder="1" applyAlignment="1" applyProtection="1">
      <alignment horizontal="left" vertical="center"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5" xfId="0" applyNumberFormat="1" applyFill="1" applyBorder="1" applyAlignment="1" applyProtection="1">
      <alignment horizontal="left" vertical="top" wrapText="1"/>
      <protection locked="0"/>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14" fontId="2" fillId="0" borderId="0" xfId="0" applyNumberFormat="1" applyFont="1" applyAlignment="1">
      <alignment horizontal="left" vertical="center" wrapText="1"/>
    </xf>
    <xf numFmtId="14" fontId="0" fillId="0" borderId="0" xfId="0" applyNumberFormat="1" applyFont="1" applyAlignment="1">
      <alignment horizontal="left" vertical="center" wrapText="1"/>
    </xf>
    <xf numFmtId="0" fontId="13" fillId="3" borderId="47" xfId="1" applyFont="1" applyFill="1" applyBorder="1" applyAlignment="1">
      <alignment horizontal="center" vertical="center" wrapText="1"/>
    </xf>
    <xf numFmtId="0" fontId="13" fillId="3" borderId="48" xfId="1" applyFont="1" applyFill="1" applyBorder="1" applyAlignment="1">
      <alignment horizontal="center" vertical="center" wrapText="1"/>
    </xf>
    <xf numFmtId="0" fontId="13" fillId="3" borderId="49" xfId="1" applyFont="1" applyFill="1" applyBorder="1" applyAlignment="1">
      <alignment horizontal="center" vertical="center" wrapText="1"/>
    </xf>
    <xf numFmtId="0" fontId="0" fillId="4" borderId="15" xfId="0" applyFont="1" applyFill="1" applyBorder="1" applyAlignment="1" applyProtection="1">
      <alignment horizontal="center" vertical="top" wrapText="1"/>
      <protection locked="0"/>
    </xf>
    <xf numFmtId="0" fontId="0" fillId="4" borderId="16" xfId="0" applyFont="1" applyFill="1" applyBorder="1" applyAlignment="1" applyProtection="1">
      <alignment horizontal="center" vertical="top" wrapText="1"/>
      <protection locked="0"/>
    </xf>
    <xf numFmtId="0" fontId="0" fillId="4" borderId="6" xfId="0" applyFont="1" applyFill="1" applyBorder="1" applyAlignment="1" applyProtection="1">
      <alignment horizontal="center" vertical="top" wrapText="1"/>
      <protection locked="0"/>
    </xf>
    <xf numFmtId="0" fontId="0" fillId="4" borderId="17" xfId="0" applyFont="1" applyFill="1" applyBorder="1" applyAlignment="1" applyProtection="1">
      <alignment horizontal="center" vertical="top" wrapText="1"/>
      <protection locked="0"/>
    </xf>
    <xf numFmtId="0" fontId="0" fillId="4" borderId="0" xfId="0" applyFont="1" applyFill="1" applyBorder="1" applyAlignment="1" applyProtection="1">
      <alignment horizontal="center" vertical="top" wrapText="1"/>
      <protection locked="0"/>
    </xf>
    <xf numFmtId="0" fontId="0" fillId="4" borderId="18" xfId="0" applyFont="1" applyFill="1" applyBorder="1" applyAlignment="1" applyProtection="1">
      <alignment horizontal="center" vertical="top" wrapText="1"/>
      <protection locked="0"/>
    </xf>
    <xf numFmtId="0" fontId="0" fillId="4" borderId="19" xfId="0" applyFont="1" applyFill="1" applyBorder="1" applyAlignment="1" applyProtection="1">
      <alignment horizontal="center" vertical="top" wrapText="1"/>
      <protection locked="0"/>
    </xf>
    <xf numFmtId="0" fontId="0" fillId="4" borderId="20" xfId="0" applyFont="1" applyFill="1" applyBorder="1" applyAlignment="1" applyProtection="1">
      <alignment horizontal="center" vertical="top" wrapText="1"/>
      <protection locked="0"/>
    </xf>
    <xf numFmtId="0" fontId="0" fillId="4" borderId="21" xfId="0" applyFont="1" applyFill="1" applyBorder="1" applyAlignment="1" applyProtection="1">
      <alignment horizontal="center" vertical="top" wrapText="1"/>
      <protection locked="0"/>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14" fontId="0" fillId="0" borderId="0" xfId="0" applyNumberFormat="1" applyFont="1" applyFill="1" applyAlignment="1">
      <alignment horizontal="left" wrapText="1"/>
    </xf>
    <xf numFmtId="0" fontId="0" fillId="0" borderId="0" xfId="0" applyFont="1" applyFill="1" applyAlignment="1">
      <alignment horizontal="left" wrapText="1"/>
    </xf>
    <xf numFmtId="0" fontId="0" fillId="0" borderId="0" xfId="0" applyFont="1" applyFill="1" applyAlignment="1">
      <alignment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4" borderId="1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17" xfId="0" applyFont="1" applyFill="1" applyBorder="1" applyAlignment="1" applyProtection="1">
      <alignment horizontal="left" vertical="top" wrapText="1"/>
      <protection locked="0"/>
    </xf>
    <xf numFmtId="0" fontId="0" fillId="4" borderId="18" xfId="0" applyFont="1" applyFill="1" applyBorder="1" applyAlignment="1" applyProtection="1">
      <alignment horizontal="left" vertical="top" wrapText="1"/>
      <protection locked="0"/>
    </xf>
    <xf numFmtId="0" fontId="0" fillId="4" borderId="19" xfId="0" applyFont="1" applyFill="1" applyBorder="1" applyAlignment="1" applyProtection="1">
      <alignment horizontal="left" vertical="top" wrapText="1"/>
      <protection locked="0"/>
    </xf>
    <xf numFmtId="0" fontId="0" fillId="4" borderId="21" xfId="0" applyFont="1" applyFill="1" applyBorder="1" applyAlignment="1" applyProtection="1">
      <alignment horizontal="left" vertical="top" wrapText="1"/>
      <protection locked="0"/>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 fillId="4" borderId="0" xfId="1" applyFont="1" applyFill="1" applyBorder="1" applyAlignment="1" applyProtection="1">
      <alignment horizontal="center" wrapText="1"/>
      <protection locked="0"/>
    </xf>
    <xf numFmtId="0" fontId="15" fillId="0" borderId="0" xfId="0" applyFont="1" applyAlignment="1">
      <alignment horizontal="left" wrapText="1"/>
    </xf>
    <xf numFmtId="14" fontId="2" fillId="0" borderId="0" xfId="0" applyNumberFormat="1" applyFont="1" applyAlignment="1">
      <alignment horizontal="left" wrapText="1"/>
    </xf>
    <xf numFmtId="14" fontId="0" fillId="0" borderId="0" xfId="0" applyNumberFormat="1" applyFont="1" applyAlignment="1">
      <alignment horizontal="left" wrapText="1"/>
    </xf>
    <xf numFmtId="0" fontId="16" fillId="0" borderId="0" xfId="0" applyFont="1" applyAlignment="1">
      <alignment horizontal="center" wrapText="1"/>
    </xf>
    <xf numFmtId="0" fontId="0" fillId="0" borderId="0" xfId="0" applyAlignment="1">
      <alignment horizontal="left" vertical="top" wrapText="1"/>
    </xf>
    <xf numFmtId="0" fontId="1" fillId="4" borderId="0" xfId="1" applyFont="1" applyFill="1" applyBorder="1" applyAlignment="1" applyProtection="1">
      <alignment horizontal="center" wrapText="1"/>
    </xf>
    <xf numFmtId="0" fontId="0" fillId="0" borderId="0" xfId="0" applyAlignment="1">
      <alignment horizontal="left" wrapText="1"/>
    </xf>
  </cellXfs>
  <cellStyles count="4">
    <cellStyle name="Insatisfaisant" xfId="2" builtinId="27"/>
    <cellStyle name="Neutre" xfId="1" builtinId="28"/>
    <cellStyle name="Normal" xfId="0" builtinId="0"/>
    <cellStyle name="Pourcentage" xfId="3" builtinId="5"/>
  </cellStyles>
  <dxfs count="16">
    <dxf>
      <font>
        <color rgb="FF9C0006"/>
      </font>
      <fill>
        <patternFill>
          <bgColor rgb="FFFFC7CE"/>
        </patternFill>
      </fill>
    </dxf>
    <dxf>
      <font>
        <u val="none"/>
      </font>
      <fill>
        <patternFill>
          <bgColor theme="6" tint="0.59996337778862885"/>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u val="none"/>
      </font>
      <fill>
        <patternFill>
          <bgColor theme="6" tint="0.59996337778862885"/>
        </patternFill>
      </fill>
    </dxf>
    <dxf>
      <font>
        <color rgb="FF9C0006"/>
      </font>
      <fill>
        <patternFill>
          <bgColor rgb="FFFFC7CE"/>
        </patternFill>
      </fill>
    </dxf>
    <dxf>
      <fill>
        <patternFill>
          <bgColor theme="6" tint="0.79998168889431442"/>
        </patternFill>
      </fill>
    </dxf>
    <dxf>
      <fill>
        <patternFill>
          <bgColor theme="0" tint="-4.9989318521683403E-2"/>
        </patternFill>
      </fill>
    </dxf>
    <dxf>
      <font>
        <color rgb="FF9C0006"/>
      </font>
      <fill>
        <patternFill>
          <bgColor rgb="FFFFC7CE"/>
        </patternFill>
      </fill>
    </dxf>
    <dxf>
      <fill>
        <patternFill>
          <bgColor theme="6" tint="0.79998168889431442"/>
        </patternFill>
      </fill>
    </dxf>
    <dxf>
      <fill>
        <patternFill>
          <bgColor theme="0" tint="-4.9989318521683403E-2"/>
        </patternFill>
      </fill>
    </dxf>
    <dxf>
      <fill>
        <patternFill>
          <bgColor theme="7" tint="0.59996337778862885"/>
        </patternFill>
      </fill>
    </dxf>
    <dxf>
      <fill>
        <patternFill>
          <bgColor theme="7" tint="0.59996337778862885"/>
        </patternFill>
      </fill>
    </dxf>
    <dxf>
      <font>
        <color rgb="FF9C0006"/>
      </font>
      <fill>
        <patternFill>
          <bgColor rgb="FFFFC7CE"/>
        </patternFill>
      </fill>
    </dxf>
    <dxf>
      <fill>
        <patternFill>
          <bgColor rgb="FFD8E4BC"/>
        </patternFill>
      </fill>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190500</xdr:colOff>
      <xdr:row>20</xdr:row>
      <xdr:rowOff>22412</xdr:rowOff>
    </xdr:from>
    <xdr:to>
      <xdr:col>9</xdr:col>
      <xdr:colOff>22410</xdr:colOff>
      <xdr:row>42</xdr:row>
      <xdr:rowOff>56030</xdr:rowOff>
    </xdr:to>
    <xdr:grpSp>
      <xdr:nvGrpSpPr>
        <xdr:cNvPr id="17" name="Groupe 16">
          <a:extLst>
            <a:ext uri="{FF2B5EF4-FFF2-40B4-BE49-F238E27FC236}">
              <a16:creationId xmlns:a16="http://schemas.microsoft.com/office/drawing/2014/main" id="{34259FFF-F30D-464C-9F62-8702499D4762}"/>
            </a:ext>
          </a:extLst>
        </xdr:cNvPr>
        <xdr:cNvGrpSpPr/>
      </xdr:nvGrpSpPr>
      <xdr:grpSpPr>
        <a:xfrm>
          <a:off x="4908550" y="6416862"/>
          <a:ext cx="3426010" cy="4300818"/>
          <a:chOff x="0" y="5829300"/>
          <a:chExt cx="2419350" cy="3533525"/>
        </a:xfrm>
      </xdr:grpSpPr>
      <xdr:pic>
        <xdr:nvPicPr>
          <xdr:cNvPr id="18" name="Image 17">
            <a:extLst>
              <a:ext uri="{FF2B5EF4-FFF2-40B4-BE49-F238E27FC236}">
                <a16:creationId xmlns:a16="http://schemas.microsoft.com/office/drawing/2014/main" id="{EF69446D-6631-482F-B6A7-CE21921FAF7A}"/>
              </a:ext>
            </a:extLst>
          </xdr:cNvPr>
          <xdr:cNvPicPr>
            <a:picLocks noChangeAspect="1"/>
          </xdr:cNvPicPr>
        </xdr:nvPicPr>
        <xdr:blipFill>
          <a:blip xmlns:r="http://schemas.openxmlformats.org/officeDocument/2006/relationships" r:embed="rId1"/>
          <a:stretch>
            <a:fillRect/>
          </a:stretch>
        </xdr:blipFill>
        <xdr:spPr>
          <a:xfrm>
            <a:off x="0" y="5829300"/>
            <a:ext cx="2419350" cy="3533525"/>
          </a:xfrm>
          <a:prstGeom prst="rect">
            <a:avLst/>
          </a:prstGeom>
        </xdr:spPr>
      </xdr:pic>
      <xdr:sp macro="" textlink="">
        <xdr:nvSpPr>
          <xdr:cNvPr id="19" name="Ellipse 18">
            <a:extLst>
              <a:ext uri="{FF2B5EF4-FFF2-40B4-BE49-F238E27FC236}">
                <a16:creationId xmlns:a16="http://schemas.microsoft.com/office/drawing/2014/main" id="{693839CA-C11F-4A17-A2DC-0672E60B7E59}"/>
              </a:ext>
            </a:extLst>
          </xdr:cNvPr>
          <xdr:cNvSpPr/>
        </xdr:nvSpPr>
        <xdr:spPr>
          <a:xfrm>
            <a:off x="0" y="8724900"/>
            <a:ext cx="2409825" cy="600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clientData/>
  </xdr:twoCellAnchor>
  <xdr:twoCellAnchor editAs="oneCell">
    <xdr:from>
      <xdr:col>1</xdr:col>
      <xdr:colOff>0</xdr:colOff>
      <xdr:row>46</xdr:row>
      <xdr:rowOff>50801</xdr:rowOff>
    </xdr:from>
    <xdr:to>
      <xdr:col>7</xdr:col>
      <xdr:colOff>495113</xdr:colOff>
      <xdr:row>71</xdr:row>
      <xdr:rowOff>114301</xdr:rowOff>
    </xdr:to>
    <xdr:pic>
      <xdr:nvPicPr>
        <xdr:cNvPr id="20" name="Image 19">
          <a:extLst>
            <a:ext uri="{FF2B5EF4-FFF2-40B4-BE49-F238E27FC236}">
              <a16:creationId xmlns:a16="http://schemas.microsoft.com/office/drawing/2014/main" id="{45E526B8-2958-40AB-B52B-9F512AE7A1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0" y="13014326"/>
          <a:ext cx="6295838" cy="4826000"/>
        </a:xfrm>
        <a:prstGeom prst="rect">
          <a:avLst/>
        </a:prstGeom>
        <a:ln w="6350">
          <a:solidFill>
            <a:sysClr val="windowText" lastClr="000000"/>
          </a:solidFill>
        </a:ln>
      </xdr:spPr>
    </xdr:pic>
    <xdr:clientData/>
  </xdr:twoCellAnchor>
  <xdr:twoCellAnchor editAs="oneCell">
    <xdr:from>
      <xdr:col>0</xdr:col>
      <xdr:colOff>209550</xdr:colOff>
      <xdr:row>0</xdr:row>
      <xdr:rowOff>38100</xdr:rowOff>
    </xdr:from>
    <xdr:to>
      <xdr:col>1</xdr:col>
      <xdr:colOff>13447</xdr:colOff>
      <xdr:row>1</xdr:row>
      <xdr:rowOff>367830</xdr:rowOff>
    </xdr:to>
    <xdr:pic>
      <xdr:nvPicPr>
        <xdr:cNvPr id="22" name="Image 21">
          <a:extLst>
            <a:ext uri="{FF2B5EF4-FFF2-40B4-BE49-F238E27FC236}">
              <a16:creationId xmlns:a16="http://schemas.microsoft.com/office/drawing/2014/main" id="{2363FA11-317E-4349-B3B8-AA48E20F61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550" y="38100"/>
          <a:ext cx="565897" cy="10060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7963-0346-48F0-8A62-7249D307A775}">
  <sheetPr>
    <pageSetUpPr fitToPage="1"/>
  </sheetPr>
  <dimension ref="B1:J46"/>
  <sheetViews>
    <sheetView showGridLines="0" tabSelected="1" zoomScaleNormal="100" zoomScalePageLayoutView="85" workbookViewId="0">
      <selection activeCell="K5" sqref="K5"/>
    </sheetView>
  </sheetViews>
  <sheetFormatPr baseColWidth="10" defaultColWidth="11.42578125" defaultRowHeight="15" x14ac:dyDescent="0.25"/>
  <cols>
    <col min="1" max="1" width="11.42578125" style="150"/>
    <col min="2" max="2" width="9.42578125" style="150" customWidth="1"/>
    <col min="3" max="3" width="17.42578125" style="150" customWidth="1"/>
    <col min="4" max="4" width="32.42578125" style="150" customWidth="1"/>
    <col min="5" max="6" width="11.42578125" style="150"/>
    <col min="7" max="7" width="5.42578125" style="150" customWidth="1"/>
    <col min="8" max="8" width="17.5703125" style="150" customWidth="1"/>
    <col min="9" max="9" width="8" style="150" customWidth="1"/>
    <col min="10" max="10" width="5.42578125" style="150" customWidth="1"/>
    <col min="11" max="16384" width="11.42578125" style="150"/>
  </cols>
  <sheetData>
    <row r="1" spans="2:10" ht="53.25" customHeight="1" x14ac:dyDescent="0.4">
      <c r="B1" s="225" t="s">
        <v>183</v>
      </c>
      <c r="C1" s="225"/>
      <c r="D1" s="226" t="s">
        <v>184</v>
      </c>
      <c r="E1" s="226"/>
      <c r="F1" s="226"/>
      <c r="G1" s="226"/>
      <c r="H1" s="226"/>
      <c r="I1" s="151" t="s">
        <v>159</v>
      </c>
    </row>
    <row r="2" spans="2:10" ht="52.5" customHeight="1" x14ac:dyDescent="0.25">
      <c r="B2" s="225"/>
      <c r="C2" s="225"/>
      <c r="D2" s="227" t="s">
        <v>124</v>
      </c>
      <c r="E2" s="227"/>
      <c r="F2" s="227"/>
      <c r="G2" s="227"/>
      <c r="H2" s="227"/>
    </row>
    <row r="3" spans="2:10" ht="29.25" customHeight="1" x14ac:dyDescent="0.25">
      <c r="B3" s="152" t="s">
        <v>180</v>
      </c>
      <c r="C3" s="153"/>
      <c r="E3" s="154"/>
      <c r="F3" s="154"/>
      <c r="G3" s="154"/>
      <c r="H3" s="154"/>
      <c r="I3" s="185"/>
    </row>
    <row r="4" spans="2:10" ht="21" x14ac:dyDescent="0.35">
      <c r="B4" s="155" t="s">
        <v>63</v>
      </c>
      <c r="C4" s="155"/>
    </row>
    <row r="5" spans="2:10" ht="62.25" customHeight="1" x14ac:dyDescent="0.25">
      <c r="B5" s="225" t="s">
        <v>199</v>
      </c>
      <c r="C5" s="225"/>
      <c r="D5" s="228"/>
      <c r="E5" s="228"/>
      <c r="F5" s="228"/>
      <c r="G5" s="228"/>
      <c r="H5" s="228"/>
      <c r="I5" s="228"/>
    </row>
    <row r="7" spans="2:10" ht="21" x14ac:dyDescent="0.35">
      <c r="B7" s="155" t="s">
        <v>64</v>
      </c>
      <c r="C7" s="155"/>
    </row>
    <row r="8" spans="2:10" ht="62.25" customHeight="1" x14ac:dyDescent="0.25">
      <c r="B8" s="229" t="s">
        <v>150</v>
      </c>
      <c r="C8" s="229"/>
      <c r="D8" s="228"/>
      <c r="E8" s="228"/>
      <c r="F8" s="228"/>
      <c r="G8" s="228"/>
      <c r="H8" s="228"/>
      <c r="I8" s="228"/>
    </row>
    <row r="9" spans="2:10" x14ac:dyDescent="0.25">
      <c r="D9" s="225" t="s">
        <v>65</v>
      </c>
      <c r="E9" s="225"/>
      <c r="F9" s="225"/>
      <c r="G9" s="225"/>
      <c r="H9" s="225"/>
      <c r="I9" s="225"/>
      <c r="J9" s="225"/>
    </row>
    <row r="10" spans="2:10" x14ac:dyDescent="0.25">
      <c r="D10" s="225" t="s">
        <v>181</v>
      </c>
      <c r="E10" s="225"/>
      <c r="F10" s="225"/>
      <c r="G10" s="225"/>
      <c r="H10" s="225"/>
      <c r="I10" s="225"/>
      <c r="J10" s="225"/>
    </row>
    <row r="12" spans="2:10" ht="21" x14ac:dyDescent="0.35">
      <c r="B12" s="155" t="s">
        <v>66</v>
      </c>
      <c r="C12" s="155"/>
    </row>
    <row r="13" spans="2:10" x14ac:dyDescent="0.25">
      <c r="B13" s="156"/>
      <c r="C13" s="150" t="s">
        <v>67</v>
      </c>
    </row>
    <row r="14" spans="2:10" x14ac:dyDescent="0.25">
      <c r="B14" s="157"/>
      <c r="C14" s="150" t="s">
        <v>68</v>
      </c>
    </row>
    <row r="15" spans="2:10" x14ac:dyDescent="0.25">
      <c r="B15" s="158"/>
      <c r="C15" s="150" t="s">
        <v>182</v>
      </c>
    </row>
    <row r="16" spans="2:10" x14ac:dyDescent="0.25">
      <c r="B16" s="159" t="s">
        <v>20</v>
      </c>
      <c r="C16" s="150" t="s">
        <v>175</v>
      </c>
    </row>
    <row r="17" spans="2:10" x14ac:dyDescent="0.25">
      <c r="B17" s="160" t="s">
        <v>70</v>
      </c>
      <c r="C17" s="150" t="s">
        <v>69</v>
      </c>
    </row>
    <row r="18" spans="2:10" x14ac:dyDescent="0.25">
      <c r="B18" s="161" t="s">
        <v>70</v>
      </c>
      <c r="C18" s="150" t="s">
        <v>71</v>
      </c>
    </row>
    <row r="19" spans="2:10" x14ac:dyDescent="0.25">
      <c r="B19" s="162"/>
      <c r="C19" s="163" t="s">
        <v>176</v>
      </c>
      <c r="D19" s="164"/>
      <c r="E19" s="164"/>
      <c r="F19" s="164"/>
      <c r="G19" s="164"/>
      <c r="H19" s="164"/>
      <c r="I19" s="164"/>
    </row>
    <row r="20" spans="2:10" x14ac:dyDescent="0.25">
      <c r="B20" s="162"/>
      <c r="C20" s="162"/>
      <c r="D20" s="165"/>
      <c r="E20" s="165"/>
      <c r="F20" s="165"/>
      <c r="G20" s="165"/>
      <c r="H20" s="165"/>
      <c r="I20" s="165"/>
      <c r="J20" s="165"/>
    </row>
    <row r="21" spans="2:10" x14ac:dyDescent="0.25">
      <c r="B21" s="162"/>
      <c r="C21" s="162"/>
    </row>
    <row r="22" spans="2:10" ht="21" x14ac:dyDescent="0.25">
      <c r="B22" s="230" t="s">
        <v>88</v>
      </c>
      <c r="C22" s="230"/>
      <c r="D22" s="230"/>
      <c r="E22" s="230"/>
      <c r="F22" s="230"/>
      <c r="G22" s="230"/>
    </row>
    <row r="23" spans="2:10" x14ac:dyDescent="0.25">
      <c r="B23" s="162"/>
      <c r="C23" s="162"/>
    </row>
    <row r="24" spans="2:10" ht="15" customHeight="1" x14ac:dyDescent="0.25">
      <c r="B24" s="225" t="s">
        <v>185</v>
      </c>
      <c r="C24" s="225"/>
      <c r="D24" s="225"/>
      <c r="E24" s="166"/>
      <c r="F24" s="166"/>
      <c r="G24" s="166"/>
      <c r="J24" s="166"/>
    </row>
    <row r="25" spans="2:10" x14ac:dyDescent="0.25">
      <c r="B25" s="225"/>
      <c r="C25" s="225"/>
      <c r="D25" s="225"/>
      <c r="E25" s="166"/>
      <c r="F25" s="166"/>
      <c r="G25" s="166"/>
      <c r="J25" s="166"/>
    </row>
    <row r="26" spans="2:10" x14ac:dyDescent="0.25">
      <c r="B26" s="225"/>
      <c r="C26" s="225"/>
      <c r="D26" s="225"/>
      <c r="E26" s="166"/>
      <c r="F26" s="166"/>
      <c r="G26" s="166"/>
      <c r="J26" s="166"/>
    </row>
    <row r="27" spans="2:10" x14ac:dyDescent="0.25">
      <c r="B27" s="225"/>
      <c r="C27" s="225"/>
      <c r="D27" s="225"/>
      <c r="E27" s="166"/>
      <c r="F27" s="166"/>
      <c r="G27" s="166"/>
      <c r="J27" s="166"/>
    </row>
    <row r="28" spans="2:10" x14ac:dyDescent="0.25">
      <c r="B28" s="225"/>
      <c r="C28" s="225"/>
      <c r="D28" s="225"/>
      <c r="E28" s="166"/>
      <c r="F28" s="166"/>
      <c r="G28" s="166"/>
      <c r="J28" s="166"/>
    </row>
    <row r="29" spans="2:10" x14ac:dyDescent="0.25">
      <c r="B29" s="225"/>
      <c r="C29" s="225"/>
      <c r="D29" s="225"/>
      <c r="E29" s="166"/>
      <c r="F29" s="166"/>
      <c r="G29" s="166"/>
      <c r="J29" s="166"/>
    </row>
    <row r="30" spans="2:10" x14ac:dyDescent="0.25">
      <c r="B30" s="225"/>
      <c r="C30" s="225"/>
      <c r="D30" s="225"/>
      <c r="E30" s="166"/>
      <c r="F30" s="166"/>
      <c r="G30" s="166"/>
      <c r="J30" s="166"/>
    </row>
    <row r="31" spans="2:10" x14ac:dyDescent="0.25">
      <c r="B31" s="225"/>
      <c r="C31" s="225"/>
      <c r="D31" s="225"/>
      <c r="E31" s="166"/>
      <c r="F31" s="166"/>
      <c r="G31" s="166"/>
      <c r="J31" s="166"/>
    </row>
    <row r="32" spans="2:10" x14ac:dyDescent="0.25">
      <c r="B32" s="225"/>
      <c r="C32" s="225"/>
      <c r="D32" s="225"/>
      <c r="E32" s="166"/>
      <c r="F32" s="166"/>
      <c r="G32" s="166"/>
      <c r="J32" s="166"/>
    </row>
    <row r="33" spans="2:10" x14ac:dyDescent="0.25">
      <c r="B33" s="225"/>
      <c r="C33" s="225"/>
      <c r="D33" s="225"/>
      <c r="E33" s="166"/>
      <c r="F33" s="166"/>
      <c r="G33" s="166"/>
      <c r="H33" s="166"/>
      <c r="I33" s="166"/>
      <c r="J33" s="166"/>
    </row>
    <row r="34" spans="2:10" x14ac:dyDescent="0.25">
      <c r="E34" s="166"/>
      <c r="F34" s="166"/>
      <c r="G34" s="166"/>
      <c r="H34" s="166"/>
      <c r="I34" s="166"/>
      <c r="J34" s="166"/>
    </row>
    <row r="35" spans="2:10" x14ac:dyDescent="0.25">
      <c r="E35" s="166"/>
      <c r="F35" s="166"/>
      <c r="G35" s="166"/>
      <c r="H35" s="166"/>
      <c r="I35" s="166"/>
      <c r="J35" s="166"/>
    </row>
    <row r="36" spans="2:10" x14ac:dyDescent="0.25">
      <c r="E36" s="166"/>
      <c r="F36" s="166"/>
      <c r="G36" s="166"/>
      <c r="H36" s="166"/>
      <c r="I36" s="166"/>
      <c r="J36" s="166"/>
    </row>
    <row r="37" spans="2:10" x14ac:dyDescent="0.25">
      <c r="E37" s="166"/>
      <c r="F37" s="166"/>
      <c r="G37" s="166"/>
      <c r="H37" s="166"/>
      <c r="I37" s="166"/>
      <c r="J37" s="166"/>
    </row>
    <row r="38" spans="2:10" x14ac:dyDescent="0.25">
      <c r="E38" s="166"/>
      <c r="F38" s="166"/>
      <c r="G38" s="166"/>
      <c r="H38" s="166"/>
      <c r="I38" s="166"/>
      <c r="J38" s="166"/>
    </row>
    <row r="39" spans="2:10" x14ac:dyDescent="0.25">
      <c r="E39" s="166"/>
      <c r="F39" s="166"/>
      <c r="G39" s="166"/>
      <c r="H39" s="166"/>
      <c r="I39" s="166"/>
      <c r="J39" s="166"/>
    </row>
    <row r="40" spans="2:10" x14ac:dyDescent="0.25">
      <c r="E40" s="166"/>
      <c r="F40" s="166"/>
      <c r="G40" s="166"/>
      <c r="H40" s="166"/>
      <c r="I40" s="166"/>
      <c r="J40" s="166"/>
    </row>
    <row r="41" spans="2:10" x14ac:dyDescent="0.25">
      <c r="E41" s="166"/>
      <c r="F41" s="166"/>
      <c r="G41" s="166"/>
      <c r="H41" s="166"/>
      <c r="I41" s="166"/>
      <c r="J41" s="166"/>
    </row>
    <row r="43" spans="2:10" ht="18.75" x14ac:dyDescent="0.3">
      <c r="B43" s="231" t="s">
        <v>125</v>
      </c>
      <c r="C43" s="231"/>
      <c r="D43" s="231"/>
      <c r="E43" s="231"/>
      <c r="F43" s="231"/>
      <c r="G43" s="231"/>
      <c r="H43" s="231"/>
      <c r="I43" s="231"/>
      <c r="J43" s="231"/>
    </row>
    <row r="44" spans="2:10" x14ac:dyDescent="0.25">
      <c r="B44" s="164"/>
      <c r="C44" s="164"/>
      <c r="D44" s="164"/>
      <c r="E44" s="164"/>
      <c r="F44" s="164"/>
      <c r="G44" s="164"/>
      <c r="H44" s="164"/>
      <c r="I44" s="164"/>
      <c r="J44" s="164"/>
    </row>
    <row r="45" spans="2:10" x14ac:dyDescent="0.25">
      <c r="B45" s="225" t="s">
        <v>131</v>
      </c>
      <c r="C45" s="225"/>
      <c r="D45" s="225"/>
      <c r="E45" s="225"/>
      <c r="F45" s="225"/>
      <c r="G45" s="225"/>
      <c r="H45" s="225"/>
      <c r="I45" s="225"/>
      <c r="J45" s="225"/>
    </row>
    <row r="46" spans="2:10" x14ac:dyDescent="0.25">
      <c r="B46" s="225" t="s">
        <v>123</v>
      </c>
      <c r="C46" s="225"/>
      <c r="D46" s="225"/>
      <c r="E46" s="225"/>
      <c r="F46" s="225"/>
      <c r="G46" s="225"/>
      <c r="H46" s="225"/>
      <c r="I46" s="225"/>
      <c r="J46" s="225"/>
    </row>
  </sheetData>
  <sheetProtection algorithmName="SHA-512" hashValue="NiE54ef8sq0l+xE5uNgyH1hh2Im2poZdac2b1ORWedpgUilXfCWMxLx/KEUtAZtS3QOlsCn32IM+oPbRzRP0ng==" saltValue="x7ZgqcMwUISurPesGhgK5A==" spinCount="100000" sheet="1" objects="1" scenarios="1"/>
  <mergeCells count="12">
    <mergeCell ref="B46:J46"/>
    <mergeCell ref="B1:C2"/>
    <mergeCell ref="D1:H1"/>
    <mergeCell ref="D2:H2"/>
    <mergeCell ref="B5:I5"/>
    <mergeCell ref="B8:I8"/>
    <mergeCell ref="D9:J9"/>
    <mergeCell ref="D10:J10"/>
    <mergeCell ref="B22:G22"/>
    <mergeCell ref="B24:D33"/>
    <mergeCell ref="B43:J43"/>
    <mergeCell ref="B45:J45"/>
  </mergeCells>
  <conditionalFormatting sqref="B17">
    <cfRule type="cellIs" dxfId="15" priority="1" operator="greaterThanOrEqual">
      <formula>0</formula>
    </cfRule>
    <cfRule type="cellIs" dxfId="14" priority="2" operator="lessThan">
      <formula>0</formula>
    </cfRule>
  </conditionalFormatting>
  <dataValidations disablePrompts="1" count="1">
    <dataValidation type="list" allowBlank="1" showInputMessage="1" showErrorMessage="1" sqref="B16:C16" xr:uid="{9279CCB9-E05F-4D68-BC46-54FEC29FB2EF}">
      <formula1>$I$6:$I$11</formula1>
    </dataValidation>
  </dataValidations>
  <pageMargins left="0.7" right="0.7" top="0.75" bottom="0.75" header="0.3" footer="0.3"/>
  <pageSetup paperSize="9" scale="58" orientation="portrait" r:id="rId1"/>
  <headerFooter>
    <oddFooter>&amp;Lv.01.01.2025</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J36"/>
  <sheetViews>
    <sheetView showGridLines="0" topLeftCell="A2" zoomScaleNormal="100" workbookViewId="0">
      <selection activeCell="A14" sqref="A14"/>
    </sheetView>
  </sheetViews>
  <sheetFormatPr baseColWidth="10" defaultColWidth="11.42578125" defaultRowHeight="15" x14ac:dyDescent="0.25"/>
  <cols>
    <col min="1" max="1" width="31.42578125" style="6" bestFit="1" customWidth="1"/>
    <col min="2" max="8" width="13.42578125" style="20" customWidth="1"/>
    <col min="9" max="9" width="11.42578125" style="11" customWidth="1"/>
    <col min="10" max="10" width="26" style="11" hidden="1" customWidth="1"/>
    <col min="11" max="11" width="11.42578125" style="11" customWidth="1"/>
    <col min="12" max="16384" width="11.42578125" style="11"/>
  </cols>
  <sheetData>
    <row r="1" spans="1:10" x14ac:dyDescent="0.25">
      <c r="A1" s="238" t="str">
        <f>CONCATENATE("Q52b Alpage - A. Exploitation - ",A.Exploitation!A5," ",A.Exploitation!B5,"- ",A.Exploitation!B13," ",A.Exploitation!B12," - UHZ n° ",F5)</f>
        <v>Q52b Alpage - A. Exploitation - CAMAC n° -   - UHZ n° A remplir par l'autorité cantonale</v>
      </c>
      <c r="B1" s="238"/>
      <c r="C1" s="238"/>
      <c r="D1" s="238"/>
      <c r="H1" s="143">
        <f ca="1">IF(B6=0,TODAY(),B6)</f>
        <v>45639</v>
      </c>
    </row>
    <row r="2" spans="1:10" x14ac:dyDescent="0.25">
      <c r="A2" s="222"/>
      <c r="B2" s="64"/>
      <c r="C2" s="64"/>
      <c r="D2" s="64"/>
    </row>
    <row r="3" spans="1:10" x14ac:dyDescent="0.25">
      <c r="A3" s="65" t="s">
        <v>118</v>
      </c>
      <c r="B3" s="64"/>
      <c r="C3" s="64"/>
      <c r="D3" s="64"/>
    </row>
    <row r="4" spans="1:10" x14ac:dyDescent="0.25">
      <c r="A4" s="21"/>
    </row>
    <row r="5" spans="1:10" x14ac:dyDescent="0.25">
      <c r="A5" s="9" t="s">
        <v>54</v>
      </c>
      <c r="B5" s="235"/>
      <c r="C5" s="236"/>
      <c r="D5" s="236"/>
      <c r="E5" s="22" t="s">
        <v>105</v>
      </c>
      <c r="F5" s="242" t="s">
        <v>158</v>
      </c>
      <c r="G5" s="243"/>
      <c r="H5" s="244"/>
    </row>
    <row r="6" spans="1:10" x14ac:dyDescent="0.25">
      <c r="A6" s="9" t="s">
        <v>53</v>
      </c>
      <c r="B6" s="239"/>
      <c r="C6" s="240"/>
      <c r="D6" s="240"/>
      <c r="E6" s="240"/>
      <c r="F6" s="240"/>
      <c r="G6" s="240"/>
      <c r="H6" s="241"/>
    </row>
    <row r="7" spans="1:10" x14ac:dyDescent="0.25">
      <c r="A7" s="9" t="s">
        <v>27</v>
      </c>
      <c r="B7" s="235"/>
      <c r="C7" s="236"/>
      <c r="D7" s="236"/>
      <c r="E7" s="236"/>
      <c r="F7" s="236"/>
      <c r="G7" s="236"/>
      <c r="H7" s="237"/>
      <c r="J7" s="11" t="s">
        <v>166</v>
      </c>
    </row>
    <row r="8" spans="1:10" x14ac:dyDescent="0.25">
      <c r="A8" s="9" t="s">
        <v>28</v>
      </c>
      <c r="B8" s="235"/>
      <c r="C8" s="236"/>
      <c r="D8" s="237"/>
      <c r="E8" s="22" t="s">
        <v>165</v>
      </c>
      <c r="F8" s="235"/>
      <c r="G8" s="236"/>
      <c r="H8" s="237"/>
      <c r="J8" s="11" t="s">
        <v>167</v>
      </c>
    </row>
    <row r="9" spans="1:10" ht="15" customHeight="1" x14ac:dyDescent="0.25">
      <c r="A9" s="9" t="s">
        <v>61</v>
      </c>
      <c r="B9" s="22" t="s">
        <v>60</v>
      </c>
      <c r="C9" s="235"/>
      <c r="D9" s="237"/>
      <c r="E9" s="22" t="s">
        <v>90</v>
      </c>
      <c r="F9" s="68" t="s">
        <v>91</v>
      </c>
      <c r="G9" s="22" t="s">
        <v>95</v>
      </c>
      <c r="H9" s="69" t="s">
        <v>92</v>
      </c>
      <c r="J9" s="11" t="s">
        <v>168</v>
      </c>
    </row>
    <row r="11" spans="1:10" x14ac:dyDescent="0.25">
      <c r="A11" s="94"/>
      <c r="B11" s="246" t="s">
        <v>81</v>
      </c>
      <c r="C11" s="246"/>
      <c r="D11" s="247"/>
      <c r="E11"/>
      <c r="F11" s="245" t="s">
        <v>89</v>
      </c>
      <c r="G11" s="246"/>
      <c r="H11" s="247"/>
    </row>
    <row r="12" spans="1:10" x14ac:dyDescent="0.25">
      <c r="A12" s="9" t="s">
        <v>29</v>
      </c>
      <c r="B12" s="232"/>
      <c r="C12" s="233"/>
      <c r="D12" s="234"/>
      <c r="E12" s="147"/>
      <c r="F12" s="232"/>
      <c r="G12" s="233"/>
      <c r="H12" s="234"/>
    </row>
    <row r="13" spans="1:10" x14ac:dyDescent="0.25">
      <c r="A13" s="9" t="s">
        <v>30</v>
      </c>
      <c r="B13" s="232"/>
      <c r="C13" s="233"/>
      <c r="D13" s="234"/>
      <c r="E13" s="147"/>
      <c r="F13" s="232"/>
      <c r="G13" s="233"/>
      <c r="H13" s="234"/>
    </row>
    <row r="14" spans="1:10" x14ac:dyDescent="0.25">
      <c r="A14" s="9" t="s">
        <v>31</v>
      </c>
      <c r="B14" s="232"/>
      <c r="C14" s="233"/>
      <c r="D14" s="234"/>
      <c r="E14" s="147"/>
      <c r="F14" s="232"/>
      <c r="G14" s="233"/>
      <c r="H14" s="234"/>
    </row>
    <row r="15" spans="1:10" x14ac:dyDescent="0.25">
      <c r="A15" s="9" t="s">
        <v>32</v>
      </c>
      <c r="B15" s="232"/>
      <c r="C15" s="233"/>
      <c r="D15" s="234"/>
      <c r="E15" s="147"/>
      <c r="F15" s="232"/>
      <c r="G15" s="233"/>
      <c r="H15" s="234"/>
    </row>
    <row r="16" spans="1:10" x14ac:dyDescent="0.25">
      <c r="A16" s="9" t="s">
        <v>33</v>
      </c>
      <c r="B16" s="232"/>
      <c r="C16" s="233"/>
      <c r="D16" s="234"/>
      <c r="E16" s="147"/>
      <c r="F16" s="232"/>
      <c r="G16" s="233"/>
      <c r="H16" s="234"/>
    </row>
    <row r="17" spans="1:10" x14ac:dyDescent="0.25">
      <c r="A17" s="9" t="s">
        <v>35</v>
      </c>
      <c r="B17" s="232"/>
      <c r="C17" s="233"/>
      <c r="D17" s="234"/>
      <c r="E17" s="147"/>
      <c r="F17" s="232"/>
      <c r="G17" s="233"/>
      <c r="H17" s="234"/>
    </row>
    <row r="18" spans="1:10" x14ac:dyDescent="0.25">
      <c r="A18" s="9" t="s">
        <v>34</v>
      </c>
      <c r="B18" s="232"/>
      <c r="C18" s="233"/>
      <c r="D18" s="234"/>
      <c r="E18" s="147"/>
      <c r="F18" s="232"/>
      <c r="G18" s="233"/>
      <c r="H18" s="234"/>
    </row>
    <row r="19" spans="1:10" x14ac:dyDescent="0.25">
      <c r="A19" s="148" t="s">
        <v>132</v>
      </c>
      <c r="B19" s="255"/>
      <c r="C19" s="255"/>
      <c r="D19" s="255"/>
      <c r="E19" s="147"/>
      <c r="F19" s="232"/>
      <c r="G19" s="233"/>
      <c r="H19" s="234"/>
    </row>
    <row r="20" spans="1:10" x14ac:dyDescent="0.25">
      <c r="A20" s="148" t="s">
        <v>195</v>
      </c>
      <c r="B20" s="256"/>
      <c r="C20" s="257"/>
      <c r="D20" s="258"/>
      <c r="E20" s="147"/>
      <c r="F20" s="256"/>
      <c r="G20" s="257"/>
      <c r="H20" s="258"/>
    </row>
    <row r="21" spans="1:10" x14ac:dyDescent="0.25">
      <c r="A21" s="120"/>
      <c r="J21" s="23" t="s">
        <v>96</v>
      </c>
    </row>
    <row r="22" spans="1:10" ht="30" x14ac:dyDescent="0.25">
      <c r="A22" s="9" t="s">
        <v>171</v>
      </c>
      <c r="B22" s="248"/>
      <c r="C22" s="249"/>
      <c r="D22" s="250"/>
      <c r="E22" s="9" t="s">
        <v>174</v>
      </c>
      <c r="F22" s="251" t="str">
        <f>IF(B22=0,"0",(B23-B22)/7)</f>
        <v>0</v>
      </c>
      <c r="G22" s="252"/>
      <c r="H22" s="253"/>
    </row>
    <row r="23" spans="1:10" x14ac:dyDescent="0.25">
      <c r="A23" s="148" t="s">
        <v>172</v>
      </c>
      <c r="B23" s="248"/>
      <c r="C23" s="249"/>
      <c r="D23" s="250"/>
      <c r="J23" s="23" t="s">
        <v>96</v>
      </c>
    </row>
    <row r="24" spans="1:10" x14ac:dyDescent="0.25">
      <c r="J24" s="23" t="s">
        <v>96</v>
      </c>
    </row>
    <row r="25" spans="1:10" x14ac:dyDescent="0.25">
      <c r="B25" s="10" t="s">
        <v>97</v>
      </c>
      <c r="C25" s="10" t="s">
        <v>98</v>
      </c>
      <c r="D25" s="10" t="s">
        <v>99</v>
      </c>
      <c r="E25" s="10" t="s">
        <v>100</v>
      </c>
      <c r="F25" s="10" t="s">
        <v>101</v>
      </c>
      <c r="G25" s="10" t="s">
        <v>102</v>
      </c>
      <c r="H25" s="24" t="s">
        <v>0</v>
      </c>
    </row>
    <row r="26" spans="1:10" ht="17.25" x14ac:dyDescent="0.25">
      <c r="A26" s="9" t="s">
        <v>106</v>
      </c>
      <c r="B26" s="25"/>
      <c r="C26" s="26"/>
      <c r="D26" s="26"/>
      <c r="E26" s="26"/>
      <c r="F26" s="26"/>
      <c r="G26" s="27"/>
      <c r="H26" s="23">
        <f>SUM(B26:G26)</f>
        <v>0</v>
      </c>
    </row>
    <row r="27" spans="1:10" x14ac:dyDescent="0.25">
      <c r="A27" s="9" t="s">
        <v>151</v>
      </c>
      <c r="B27" s="28"/>
      <c r="C27" s="29"/>
      <c r="D27" s="29"/>
      <c r="E27" s="29"/>
      <c r="F27" s="29"/>
      <c r="G27" s="30"/>
      <c r="H27" s="23" t="s">
        <v>36</v>
      </c>
    </row>
    <row r="28" spans="1:10" x14ac:dyDescent="0.25">
      <c r="A28" s="9" t="s">
        <v>107</v>
      </c>
      <c r="B28" s="32"/>
      <c r="C28" s="33"/>
      <c r="D28" s="33"/>
      <c r="E28" s="33"/>
      <c r="F28" s="33"/>
      <c r="G28" s="34"/>
      <c r="H28" s="31" t="s">
        <v>36</v>
      </c>
    </row>
    <row r="29" spans="1:10" customFormat="1" x14ac:dyDescent="0.25"/>
    <row r="30" spans="1:10" x14ac:dyDescent="0.25">
      <c r="A30" s="74"/>
      <c r="B30" s="10" t="s">
        <v>97</v>
      </c>
      <c r="C30" s="10" t="s">
        <v>98</v>
      </c>
      <c r="D30" s="10" t="s">
        <v>99</v>
      </c>
      <c r="E30" s="10" t="s">
        <v>100</v>
      </c>
      <c r="F30" s="10" t="s">
        <v>101</v>
      </c>
      <c r="G30" s="10" t="s">
        <v>102</v>
      </c>
      <c r="H30" s="24" t="s">
        <v>0</v>
      </c>
    </row>
    <row r="31" spans="1:10" ht="32.25" x14ac:dyDescent="0.25">
      <c r="A31" s="9" t="s">
        <v>93</v>
      </c>
      <c r="B31" s="28"/>
      <c r="C31" s="29"/>
      <c r="D31" s="29"/>
      <c r="E31" s="29"/>
      <c r="F31" s="29"/>
      <c r="G31" s="30"/>
      <c r="H31" s="23">
        <f>SUM(B31:G31)</f>
        <v>0</v>
      </c>
    </row>
    <row r="32" spans="1:10" ht="32.25" x14ac:dyDescent="0.25">
      <c r="A32" s="9" t="s">
        <v>94</v>
      </c>
      <c r="B32" s="32"/>
      <c r="C32" s="33"/>
      <c r="D32" s="33"/>
      <c r="E32" s="33"/>
      <c r="F32" s="33"/>
      <c r="G32" s="34"/>
      <c r="H32" s="23">
        <f t="shared" ref="H32" si="0">SUM(B32:G32)</f>
        <v>0</v>
      </c>
    </row>
    <row r="33" spans="1:10" x14ac:dyDescent="0.25">
      <c r="A33" s="35"/>
    </row>
    <row r="34" spans="1:10" ht="30" x14ac:dyDescent="0.25">
      <c r="A34" s="79"/>
      <c r="B34" s="78" t="s">
        <v>142</v>
      </c>
      <c r="C34" s="78" t="s">
        <v>143</v>
      </c>
      <c r="D34" s="78" t="s">
        <v>144</v>
      </c>
      <c r="E34" s="82"/>
      <c r="F34" s="82"/>
      <c r="G34" s="82"/>
      <c r="H34" s="82"/>
      <c r="J34" s="23" t="s">
        <v>20</v>
      </c>
    </row>
    <row r="35" spans="1:10" x14ac:dyDescent="0.25">
      <c r="A35" s="50" t="s">
        <v>141</v>
      </c>
      <c r="B35" s="93"/>
      <c r="C35" s="58"/>
      <c r="D35" s="57"/>
      <c r="E35" s="75"/>
      <c r="F35" s="75"/>
      <c r="G35" s="75"/>
      <c r="H35" s="75"/>
      <c r="J35" s="23" t="s">
        <v>22</v>
      </c>
    </row>
    <row r="36" spans="1:10" x14ac:dyDescent="0.25">
      <c r="A36" s="254"/>
      <c r="B36" s="254"/>
      <c r="C36" s="254"/>
      <c r="D36" s="254"/>
      <c r="E36" s="254"/>
      <c r="F36" s="254"/>
      <c r="G36" s="254"/>
      <c r="H36" s="254"/>
      <c r="J36" s="23" t="s">
        <v>23</v>
      </c>
    </row>
  </sheetData>
  <sheetProtection algorithmName="SHA-512" hashValue="5Hu66ctmNlW6Q2jFF9un3cI/v87xpxFlVH4tp0qRcYuPqi98DKPtjyhPQGdKh1Zs+H9giUVqeY80Of2xo+hwxQ==" saltValue="3mUA22Zb1awTnX3p45M64A==" spinCount="100000" sheet="1" objects="1" scenarios="1"/>
  <mergeCells count="32">
    <mergeCell ref="B22:D22"/>
    <mergeCell ref="B23:D23"/>
    <mergeCell ref="F22:H22"/>
    <mergeCell ref="A36:H36"/>
    <mergeCell ref="B16:D16"/>
    <mergeCell ref="B19:D19"/>
    <mergeCell ref="F19:H19"/>
    <mergeCell ref="B17:D17"/>
    <mergeCell ref="B18:D18"/>
    <mergeCell ref="F18:H18"/>
    <mergeCell ref="B20:D20"/>
    <mergeCell ref="F20:H20"/>
    <mergeCell ref="A1:D1"/>
    <mergeCell ref="B6:H6"/>
    <mergeCell ref="F5:H5"/>
    <mergeCell ref="B5:D5"/>
    <mergeCell ref="F11:H11"/>
    <mergeCell ref="B11:D11"/>
    <mergeCell ref="C9:D9"/>
    <mergeCell ref="B7:H7"/>
    <mergeCell ref="F12:H12"/>
    <mergeCell ref="B8:D8"/>
    <mergeCell ref="F8:H8"/>
    <mergeCell ref="F16:H16"/>
    <mergeCell ref="F17:H17"/>
    <mergeCell ref="F13:H13"/>
    <mergeCell ref="B12:D12"/>
    <mergeCell ref="B13:D13"/>
    <mergeCell ref="B14:D14"/>
    <mergeCell ref="B15:D15"/>
    <mergeCell ref="F14:H14"/>
    <mergeCell ref="F15:H15"/>
  </mergeCells>
  <conditionalFormatting sqref="B24">
    <cfRule type="cellIs" dxfId="13" priority="4" operator="equal">
      <formula>#REF!</formula>
    </cfRule>
  </conditionalFormatting>
  <conditionalFormatting sqref="B21">
    <cfRule type="cellIs" dxfId="12" priority="2" operator="equal">
      <formula>#REF!</formula>
    </cfRule>
  </conditionalFormatting>
  <dataValidations disablePrompts="1" count="2">
    <dataValidation type="list" allowBlank="1" showInputMessage="1" showErrorMessage="1" sqref="B35:D35" xr:uid="{00000000-0002-0000-0100-000000000000}">
      <formula1>$J$34:$J$36</formula1>
    </dataValidation>
    <dataValidation type="list" allowBlank="1" showInputMessage="1" showErrorMessage="1" sqref="F8:H8" xr:uid="{00000000-0002-0000-0100-000001000000}">
      <formula1>$J$7:$J$9</formula1>
    </dataValidation>
  </dataValidations>
  <pageMargins left="0.70866141732283472" right="0.70866141732283472" top="0.74803149606299213" bottom="0.74803149606299213" header="0.31496062992125984" footer="0.31496062992125984"/>
  <pageSetup paperSize="9" scale="87" orientation="landscape" r:id="rId1"/>
  <headerFooter>
    <oddFooter>&amp;Lv.01.01.2025</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showGridLines="0" zoomScaleNormal="100" workbookViewId="0">
      <selection activeCell="A10" sqref="A10"/>
    </sheetView>
  </sheetViews>
  <sheetFormatPr baseColWidth="10" defaultRowHeight="15" x14ac:dyDescent="0.25"/>
  <cols>
    <col min="1" max="1" width="32.42578125" style="11" customWidth="1"/>
    <col min="2" max="2" width="6" style="11" bestFit="1" customWidth="1"/>
    <col min="3" max="5" width="15.5703125" style="11" customWidth="1"/>
    <col min="6" max="6" width="18.5703125" style="11" bestFit="1" customWidth="1"/>
    <col min="7" max="7" width="6" style="20" bestFit="1" customWidth="1"/>
    <col min="8" max="8" width="8.5703125" style="11" bestFit="1" customWidth="1"/>
    <col min="9" max="9" width="9.5703125" style="11" bestFit="1" customWidth="1"/>
  </cols>
  <sheetData>
    <row r="1" spans="1:11" x14ac:dyDescent="0.25">
      <c r="A1" s="262" t="str">
        <f>CONCATENATE("Q52b Alpage - B.Animaux - ",A.Exploitation!A5," ",A.Exploitation!B5,"- ",A.Exploitation!B13," ",A.Exploitation!B12," - UHZ n° ",A.Exploitation!F5)</f>
        <v>Q52b Alpage - B.Animaux - CAMAC n° -   - UHZ n° A remplir par l'autorité cantonale</v>
      </c>
      <c r="B1" s="262"/>
      <c r="C1" s="262"/>
      <c r="D1" s="262"/>
      <c r="E1" s="167"/>
      <c r="F1" s="172"/>
      <c r="G1" s="11"/>
      <c r="I1" s="144">
        <f ca="1">IF(A.Exploitation!B6=0,TODAY(),A.Exploitation!B6)</f>
        <v>45639</v>
      </c>
      <c r="K1" s="11"/>
    </row>
    <row r="2" spans="1:11" x14ac:dyDescent="0.25">
      <c r="A2" s="221"/>
      <c r="B2" s="71"/>
      <c r="C2" s="71"/>
      <c r="D2" s="71"/>
      <c r="E2" s="167"/>
      <c r="F2" s="172"/>
      <c r="G2" s="11"/>
      <c r="J2" s="11"/>
      <c r="K2" s="11"/>
    </row>
    <row r="3" spans="1:11" ht="47.1" customHeight="1" x14ac:dyDescent="0.25">
      <c r="A3" s="263" t="s">
        <v>160</v>
      </c>
      <c r="B3" s="263"/>
      <c r="C3" s="263"/>
      <c r="D3" s="263"/>
      <c r="E3" s="263"/>
      <c r="F3" s="263"/>
      <c r="G3" s="263"/>
      <c r="H3" s="263"/>
      <c r="I3" s="263"/>
      <c r="J3" s="92"/>
      <c r="K3" s="92"/>
    </row>
    <row r="4" spans="1:11" ht="15.75" thickBot="1" x14ac:dyDescent="0.3">
      <c r="A4"/>
      <c r="B4"/>
      <c r="C4"/>
      <c r="D4"/>
      <c r="E4" s="105"/>
      <c r="F4" s="105"/>
      <c r="G4"/>
      <c r="H4"/>
      <c r="I4"/>
    </row>
    <row r="5" spans="1:11" x14ac:dyDescent="0.25">
      <c r="A5" s="86" t="s">
        <v>134</v>
      </c>
      <c r="B5" s="87"/>
      <c r="C5"/>
      <c r="D5"/>
      <c r="E5" s="105"/>
      <c r="F5" s="105"/>
      <c r="G5"/>
      <c r="H5"/>
      <c r="I5"/>
    </row>
    <row r="6" spans="1:11" s="4" customFormat="1" x14ac:dyDescent="0.25">
      <c r="A6" s="85" t="s">
        <v>135</v>
      </c>
      <c r="B6" s="102">
        <f>SUM(H20,H35,H26,H45)/12</f>
        <v>0</v>
      </c>
      <c r="C6" s="11"/>
      <c r="D6" s="11"/>
      <c r="E6" s="11"/>
      <c r="F6" s="11"/>
      <c r="G6" s="11"/>
    </row>
    <row r="7" spans="1:11" s="4" customFormat="1" ht="18" thickBot="1" x14ac:dyDescent="0.3">
      <c r="A7" s="84" t="s">
        <v>136</v>
      </c>
      <c r="B7" s="103">
        <f>SUM(I20,I35,I26,I45)/12</f>
        <v>0</v>
      </c>
      <c r="C7" s="11"/>
      <c r="D7" s="11"/>
      <c r="E7" s="11"/>
      <c r="F7" s="11"/>
      <c r="G7" s="11"/>
    </row>
    <row r="8" spans="1:11" s="4" customFormat="1" ht="15.75" thickBot="1" x14ac:dyDescent="0.3">
      <c r="A8"/>
      <c r="B8"/>
      <c r="C8" s="11"/>
      <c r="D8" s="11"/>
      <c r="E8" s="11"/>
      <c r="F8" s="11"/>
      <c r="G8" s="11"/>
    </row>
    <row r="9" spans="1:11" ht="15.75" thickBot="1" x14ac:dyDescent="0.3">
      <c r="A9" s="191"/>
      <c r="B9" s="192"/>
      <c r="C9" s="259" t="s">
        <v>4</v>
      </c>
      <c r="D9" s="260"/>
      <c r="E9" s="261"/>
      <c r="F9" s="195"/>
      <c r="G9" s="190"/>
      <c r="H9" s="190"/>
      <c r="I9" s="190"/>
    </row>
    <row r="10" spans="1:11" ht="32.25" customHeight="1" x14ac:dyDescent="0.25">
      <c r="A10" s="186" t="s">
        <v>1</v>
      </c>
      <c r="B10" s="187" t="s">
        <v>14</v>
      </c>
      <c r="C10" s="188" t="s">
        <v>188</v>
      </c>
      <c r="D10" s="189" t="s">
        <v>186</v>
      </c>
      <c r="E10" s="189" t="s">
        <v>187</v>
      </c>
      <c r="F10" s="168" t="s">
        <v>191</v>
      </c>
      <c r="G10" s="126" t="s">
        <v>5</v>
      </c>
      <c r="H10" s="126" t="s">
        <v>55</v>
      </c>
      <c r="I10" s="136" t="s">
        <v>56</v>
      </c>
    </row>
    <row r="11" spans="1:11" x14ac:dyDescent="0.25">
      <c r="A11" s="111" t="s">
        <v>192</v>
      </c>
      <c r="B11" s="113"/>
      <c r="C11" s="182">
        <v>9</v>
      </c>
      <c r="D11" s="113">
        <v>0</v>
      </c>
      <c r="E11" s="113">
        <v>18</v>
      </c>
      <c r="F11" s="187"/>
      <c r="G11" s="88"/>
      <c r="H11" s="89"/>
      <c r="I11" s="90"/>
    </row>
    <row r="12" spans="1:11" ht="17.25" x14ac:dyDescent="0.25">
      <c r="A12" s="111" t="s">
        <v>146</v>
      </c>
      <c r="B12" s="113"/>
      <c r="C12" s="182">
        <v>11</v>
      </c>
      <c r="D12" s="113">
        <v>24</v>
      </c>
      <c r="E12" s="174">
        <v>0</v>
      </c>
      <c r="F12" s="196"/>
      <c r="G12" s="130"/>
      <c r="H12" s="131"/>
      <c r="I12" s="61"/>
    </row>
    <row r="13" spans="1:11" x14ac:dyDescent="0.25">
      <c r="A13" s="52" t="s">
        <v>2</v>
      </c>
      <c r="B13" s="54">
        <v>1</v>
      </c>
      <c r="C13" s="115"/>
      <c r="D13" s="175"/>
      <c r="E13" s="169"/>
      <c r="F13" s="175">
        <v>8</v>
      </c>
      <c r="G13" s="123">
        <f>B13*SUM(C13:E13)</f>
        <v>0</v>
      </c>
      <c r="H13" s="124">
        <f>$B13*($F13/24)*(C13*C$11+E13*E$11+D13*D$11)</f>
        <v>0</v>
      </c>
      <c r="I13" s="62">
        <f>$B13*($F13/24)*(C13*C$12+E13*E$12+D13*D$12)</f>
        <v>0</v>
      </c>
    </row>
    <row r="14" spans="1:11" x14ac:dyDescent="0.25">
      <c r="A14" s="52" t="s">
        <v>3</v>
      </c>
      <c r="B14" s="54">
        <v>1</v>
      </c>
      <c r="C14" s="116"/>
      <c r="D14" s="176"/>
      <c r="E14" s="170"/>
      <c r="F14" s="176">
        <v>8</v>
      </c>
      <c r="G14" s="123">
        <f t="shared" ref="G14:G17" si="0">B14*SUM(C14:E14)</f>
        <v>0</v>
      </c>
      <c r="H14" s="124">
        <f t="shared" ref="H14:H19" si="1">$B14*($F14/24)*(C14*C$11+E14*E$11+D14*D$11)</f>
        <v>0</v>
      </c>
      <c r="I14" s="62">
        <f t="shared" ref="I14:I19" si="2">$B14*($F14/24)*(C14*C$12+E14*E$12+D14*D$12)</f>
        <v>0</v>
      </c>
    </row>
    <row r="15" spans="1:11" x14ac:dyDescent="0.25">
      <c r="A15" s="52" t="s">
        <v>111</v>
      </c>
      <c r="B15" s="54">
        <v>0.6</v>
      </c>
      <c r="C15" s="116"/>
      <c r="D15" s="176"/>
      <c r="E15" s="170"/>
      <c r="F15" s="176">
        <v>8</v>
      </c>
      <c r="G15" s="123">
        <f t="shared" si="0"/>
        <v>0</v>
      </c>
      <c r="H15" s="124">
        <f t="shared" si="1"/>
        <v>0</v>
      </c>
      <c r="I15" s="62">
        <f t="shared" si="2"/>
        <v>0</v>
      </c>
    </row>
    <row r="16" spans="1:11" x14ac:dyDescent="0.25">
      <c r="A16" s="52" t="s">
        <v>108</v>
      </c>
      <c r="B16" s="54">
        <v>0.4</v>
      </c>
      <c r="C16" s="116"/>
      <c r="D16" s="176"/>
      <c r="E16" s="170"/>
      <c r="F16" s="176">
        <v>8</v>
      </c>
      <c r="G16" s="123">
        <f t="shared" si="0"/>
        <v>0</v>
      </c>
      <c r="H16" s="124">
        <f>$B16*($F16/24)*(C16*C$11+E16*E$11+D16*D$11)</f>
        <v>0</v>
      </c>
      <c r="I16" s="62">
        <f t="shared" si="2"/>
        <v>0</v>
      </c>
    </row>
    <row r="17" spans="1:9" x14ac:dyDescent="0.25">
      <c r="A17" s="52" t="s">
        <v>109</v>
      </c>
      <c r="B17" s="54">
        <v>0.33</v>
      </c>
      <c r="C17" s="116"/>
      <c r="D17" s="176"/>
      <c r="E17" s="170"/>
      <c r="F17" s="176">
        <v>8</v>
      </c>
      <c r="G17" s="123">
        <f t="shared" si="0"/>
        <v>0</v>
      </c>
      <c r="H17" s="124">
        <f t="shared" si="1"/>
        <v>0</v>
      </c>
      <c r="I17" s="62">
        <f t="shared" si="2"/>
        <v>0</v>
      </c>
    </row>
    <row r="18" spans="1:9" x14ac:dyDescent="0.25">
      <c r="A18" s="52" t="s">
        <v>110</v>
      </c>
      <c r="B18" s="54">
        <v>0.13</v>
      </c>
      <c r="C18" s="116"/>
      <c r="D18" s="176"/>
      <c r="E18" s="170"/>
      <c r="F18" s="176">
        <v>8</v>
      </c>
      <c r="G18" s="123">
        <f>B18*SUM(C18:E18)</f>
        <v>0</v>
      </c>
      <c r="H18" s="124">
        <f t="shared" si="1"/>
        <v>0</v>
      </c>
      <c r="I18" s="62">
        <f t="shared" si="2"/>
        <v>0</v>
      </c>
    </row>
    <row r="19" spans="1:9" x14ac:dyDescent="0.25">
      <c r="A19" s="141" t="s">
        <v>153</v>
      </c>
      <c r="B19" s="55"/>
      <c r="C19" s="56"/>
      <c r="D19" s="177"/>
      <c r="E19" s="178"/>
      <c r="F19" s="177">
        <v>8</v>
      </c>
      <c r="G19" s="123">
        <f>B19*SUM(C19:E19)</f>
        <v>0</v>
      </c>
      <c r="H19" s="124">
        <f t="shared" si="1"/>
        <v>0</v>
      </c>
      <c r="I19" s="62">
        <f t="shared" si="2"/>
        <v>0</v>
      </c>
    </row>
    <row r="20" spans="1:9" ht="15.75" thickBot="1" x14ac:dyDescent="0.3">
      <c r="A20" s="114" t="s">
        <v>6</v>
      </c>
      <c r="B20" s="59"/>
      <c r="C20" s="117">
        <f>SUM($B13*C13+$B14*C14+$B15*C15+$B16*C16+$B17*C17+$B18*C18+$B19*C19)</f>
        <v>0</v>
      </c>
      <c r="D20" s="117">
        <f>SUM($B13*D13+$B14*D14+$B15*D15+$B16*D16+$B17*D17+$B18*D18+$B19*D19)</f>
        <v>0</v>
      </c>
      <c r="E20" s="117"/>
      <c r="F20" s="184"/>
      <c r="G20" s="125">
        <f>SUM(G13:G19)</f>
        <v>0</v>
      </c>
      <c r="H20" s="125">
        <f>SUM(H13:H19)</f>
        <v>0</v>
      </c>
      <c r="I20" s="134">
        <f>SUM(I13:I19)</f>
        <v>0</v>
      </c>
    </row>
    <row r="21" spans="1:9" s="105" customFormat="1" ht="45" x14ac:dyDescent="0.25">
      <c r="A21" s="110" t="s">
        <v>7</v>
      </c>
      <c r="B21" s="187" t="s">
        <v>14</v>
      </c>
      <c r="C21" s="138" t="s">
        <v>193</v>
      </c>
      <c r="D21" s="224"/>
      <c r="E21" s="197"/>
      <c r="F21" s="168" t="s">
        <v>191</v>
      </c>
      <c r="G21" s="126" t="s">
        <v>5</v>
      </c>
      <c r="H21" s="135" t="s">
        <v>55</v>
      </c>
      <c r="I21" s="136" t="s">
        <v>56</v>
      </c>
    </row>
    <row r="22" spans="1:9" s="105" customFormat="1" x14ac:dyDescent="0.25">
      <c r="A22" s="111" t="s">
        <v>192</v>
      </c>
      <c r="B22" s="113"/>
      <c r="C22" s="139">
        <v>15</v>
      </c>
      <c r="D22" s="205"/>
      <c r="E22" s="198"/>
      <c r="F22" s="179"/>
      <c r="G22" s="127"/>
      <c r="H22" s="128"/>
      <c r="I22" s="60"/>
    </row>
    <row r="23" spans="1:9" s="105" customFormat="1" ht="17.25" x14ac:dyDescent="0.25">
      <c r="A23" s="111" t="s">
        <v>146</v>
      </c>
      <c r="B23" s="113"/>
      <c r="C23" s="139">
        <v>0</v>
      </c>
      <c r="D23" s="205"/>
      <c r="E23" s="198"/>
      <c r="F23" s="180"/>
      <c r="G23" s="130"/>
      <c r="H23" s="131"/>
      <c r="I23" s="61"/>
    </row>
    <row r="24" spans="1:9" s="105" customFormat="1" x14ac:dyDescent="0.25">
      <c r="A24" s="112" t="s">
        <v>8</v>
      </c>
      <c r="B24" s="118">
        <v>0.7</v>
      </c>
      <c r="C24" s="201"/>
      <c r="D24" s="203"/>
      <c r="E24" s="199"/>
      <c r="F24" s="173">
        <v>8</v>
      </c>
      <c r="G24" s="123">
        <f>B24*SUM(C24:D24)</f>
        <v>0</v>
      </c>
      <c r="H24" s="124">
        <f>$B24*($F24/24)*(C24*C$22+D24*D$22)</f>
        <v>0</v>
      </c>
      <c r="I24" s="62">
        <f>$B24*($F24/24)*(C24*C$23+D24*D$23)</f>
        <v>0</v>
      </c>
    </row>
    <row r="25" spans="1:9" s="105" customFormat="1" x14ac:dyDescent="0.25">
      <c r="A25" s="112" t="s">
        <v>9</v>
      </c>
      <c r="B25" s="118">
        <v>0.5</v>
      </c>
      <c r="C25" s="202"/>
      <c r="D25" s="204"/>
      <c r="E25" s="200"/>
      <c r="F25" s="181">
        <v>8</v>
      </c>
      <c r="G25" s="123">
        <f>B25*SUM(C25:D25)</f>
        <v>0</v>
      </c>
      <c r="H25" s="124">
        <f>$B25*($F25/24)*(C25*C$22+D25*D$22)</f>
        <v>0</v>
      </c>
      <c r="I25" s="62">
        <f>$B25*($F25/24)*(C25*C$23+D25*D$23)</f>
        <v>0</v>
      </c>
    </row>
    <row r="26" spans="1:9" s="105" customFormat="1" ht="15.75" thickBot="1" x14ac:dyDescent="0.3">
      <c r="A26" s="114" t="s">
        <v>6</v>
      </c>
      <c r="B26" s="119"/>
      <c r="C26" s="117">
        <v>0</v>
      </c>
      <c r="D26" s="117">
        <v>0</v>
      </c>
      <c r="E26" s="117"/>
      <c r="F26" s="184"/>
      <c r="G26" s="125">
        <f>SUM(G24:G25)</f>
        <v>0</v>
      </c>
      <c r="H26" s="133">
        <f>SUM(H24:H25)</f>
        <v>0</v>
      </c>
      <c r="I26" s="134">
        <f>SUM(I24:I25)</f>
        <v>0</v>
      </c>
    </row>
    <row r="27" spans="1:9" ht="32.25" x14ac:dyDescent="0.25">
      <c r="A27" s="110" t="s">
        <v>10</v>
      </c>
      <c r="B27" s="215" t="s">
        <v>14</v>
      </c>
      <c r="C27" s="168" t="s">
        <v>188</v>
      </c>
      <c r="D27" s="168" t="s">
        <v>189</v>
      </c>
      <c r="E27" s="168" t="s">
        <v>187</v>
      </c>
      <c r="F27" s="168" t="s">
        <v>191</v>
      </c>
      <c r="G27" s="126" t="s">
        <v>5</v>
      </c>
      <c r="H27" s="135" t="s">
        <v>55</v>
      </c>
      <c r="I27" s="136" t="s">
        <v>56</v>
      </c>
    </row>
    <row r="28" spans="1:9" x14ac:dyDescent="0.25">
      <c r="A28" s="111" t="s">
        <v>192</v>
      </c>
      <c r="B28" s="113"/>
      <c r="C28" s="115">
        <v>4.0999999999999996</v>
      </c>
      <c r="D28" s="139">
        <v>0</v>
      </c>
      <c r="E28" s="139">
        <v>7</v>
      </c>
      <c r="F28" s="193"/>
      <c r="G28" s="127"/>
      <c r="H28" s="128"/>
      <c r="I28" s="60"/>
    </row>
    <row r="29" spans="1:9" ht="17.25" x14ac:dyDescent="0.25">
      <c r="A29" s="111" t="s">
        <v>146</v>
      </c>
      <c r="B29" s="113"/>
      <c r="C29" s="19">
        <v>5.9</v>
      </c>
      <c r="D29" s="139">
        <v>11.8</v>
      </c>
      <c r="E29" s="139">
        <v>0</v>
      </c>
      <c r="F29" s="194"/>
      <c r="G29" s="130"/>
      <c r="H29" s="131"/>
      <c r="I29" s="61"/>
    </row>
    <row r="30" spans="1:9" x14ac:dyDescent="0.25">
      <c r="A30" s="52" t="s">
        <v>112</v>
      </c>
      <c r="B30" s="209">
        <v>0.17</v>
      </c>
      <c r="C30" s="183"/>
      <c r="D30" s="175"/>
      <c r="E30" s="169"/>
      <c r="F30" s="175">
        <v>24</v>
      </c>
      <c r="G30" s="123">
        <f>B30*SUM(C30:E30)</f>
        <v>0</v>
      </c>
      <c r="H30" s="124">
        <f>$B30*($F30/24)*(C30*C$28+E30*E$28+D30*D$28)</f>
        <v>0</v>
      </c>
      <c r="I30" s="62">
        <f>$B30*($F30/24)*(C30*C$29+E30*E$29+D30*D$29)</f>
        <v>0</v>
      </c>
    </row>
    <row r="31" spans="1:9" x14ac:dyDescent="0.25">
      <c r="A31" s="52" t="s">
        <v>11</v>
      </c>
      <c r="B31" s="209">
        <v>0.06</v>
      </c>
      <c r="C31" s="116"/>
      <c r="D31" s="176"/>
      <c r="E31" s="170"/>
      <c r="F31" s="176">
        <v>24</v>
      </c>
      <c r="G31" s="123">
        <f>B31*SUM(C31:E31)</f>
        <v>0</v>
      </c>
      <c r="H31" s="124">
        <f t="shared" ref="H31:H34" si="3">$B31*($F31/24)*(C31*C$28+E31*E$28+D31*D$28)</f>
        <v>0</v>
      </c>
      <c r="I31" s="62">
        <f t="shared" ref="I31:I34" si="4">$B31*($F31/24)*(C31*C$29+E31*E$29+D31*D$29)</f>
        <v>0</v>
      </c>
    </row>
    <row r="32" spans="1:9" x14ac:dyDescent="0.25">
      <c r="A32" s="52" t="s">
        <v>103</v>
      </c>
      <c r="B32" s="209">
        <v>0.45</v>
      </c>
      <c r="C32" s="116"/>
      <c r="D32" s="176"/>
      <c r="E32" s="170"/>
      <c r="F32" s="176">
        <v>24</v>
      </c>
      <c r="G32" s="123">
        <f>B32*SUM(C32:E32)</f>
        <v>0</v>
      </c>
      <c r="H32" s="124">
        <f t="shared" si="3"/>
        <v>0</v>
      </c>
      <c r="I32" s="62">
        <f t="shared" si="4"/>
        <v>0</v>
      </c>
    </row>
    <row r="33" spans="1:9" x14ac:dyDescent="0.25">
      <c r="A33" s="52" t="s">
        <v>12</v>
      </c>
      <c r="B33" s="209">
        <v>0.26</v>
      </c>
      <c r="C33" s="116"/>
      <c r="D33" s="176"/>
      <c r="E33" s="170"/>
      <c r="F33" s="176">
        <v>24</v>
      </c>
      <c r="G33" s="123">
        <f>B33*SUM(C33:E33)</f>
        <v>0</v>
      </c>
      <c r="H33" s="124">
        <f t="shared" si="3"/>
        <v>0</v>
      </c>
      <c r="I33" s="62">
        <f t="shared" si="4"/>
        <v>0</v>
      </c>
    </row>
    <row r="34" spans="1:9" x14ac:dyDescent="0.25">
      <c r="A34" s="52" t="s">
        <v>13</v>
      </c>
      <c r="B34" s="209">
        <v>0.25</v>
      </c>
      <c r="C34" s="116"/>
      <c r="D34" s="177"/>
      <c r="E34" s="170"/>
      <c r="F34" s="177">
        <v>24</v>
      </c>
      <c r="G34" s="123">
        <f>B34*SUM(C34:E34)</f>
        <v>0</v>
      </c>
      <c r="H34" s="124">
        <f t="shared" si="3"/>
        <v>0</v>
      </c>
      <c r="I34" s="62">
        <f t="shared" si="4"/>
        <v>0</v>
      </c>
    </row>
    <row r="35" spans="1:9" ht="15.75" thickBot="1" x14ac:dyDescent="0.3">
      <c r="A35" s="114" t="s">
        <v>6</v>
      </c>
      <c r="B35" s="119"/>
      <c r="C35" s="216">
        <f>SUM($B30*C30+$B31*C31+$B32*C32+$B33*C33+$B34*C34)</f>
        <v>0</v>
      </c>
      <c r="D35" s="216">
        <f>SUM($B30*D30+$B31*D31+$B32*D32+$B33*D33+$B34*D34)</f>
        <v>0</v>
      </c>
      <c r="E35" s="216"/>
      <c r="F35" s="216"/>
      <c r="G35" s="125">
        <f>SUM(G30:G34)</f>
        <v>0</v>
      </c>
      <c r="H35" s="125">
        <f t="shared" ref="H35:I35" si="5">SUM(H30:H34)</f>
        <v>0</v>
      </c>
      <c r="I35" s="134">
        <f t="shared" si="5"/>
        <v>0</v>
      </c>
    </row>
    <row r="36" spans="1:9" ht="32.25" x14ac:dyDescent="0.25">
      <c r="A36" s="210" t="s">
        <v>152</v>
      </c>
      <c r="B36" s="187" t="s">
        <v>14</v>
      </c>
      <c r="C36" s="188" t="s">
        <v>190</v>
      </c>
      <c r="D36" s="211"/>
      <c r="E36" s="212"/>
      <c r="F36" s="188" t="s">
        <v>191</v>
      </c>
      <c r="G36" s="213" t="s">
        <v>5</v>
      </c>
      <c r="H36" s="213" t="s">
        <v>55</v>
      </c>
      <c r="I36" s="214" t="s">
        <v>56</v>
      </c>
    </row>
    <row r="37" spans="1:9" x14ac:dyDescent="0.25">
      <c r="A37" s="111" t="s">
        <v>192</v>
      </c>
      <c r="B37" s="113"/>
      <c r="C37" s="139">
        <v>8.5</v>
      </c>
      <c r="D37" s="205"/>
      <c r="E37" s="198"/>
      <c r="F37" s="179"/>
      <c r="G37" s="129"/>
      <c r="H37" s="128"/>
      <c r="I37" s="60"/>
    </row>
    <row r="38" spans="1:9" ht="17.25" x14ac:dyDescent="0.25">
      <c r="A38" s="111" t="s">
        <v>146</v>
      </c>
      <c r="B38" s="113"/>
      <c r="C38" s="139">
        <v>0</v>
      </c>
      <c r="D38" s="205"/>
      <c r="E38" s="198"/>
      <c r="F38" s="180"/>
      <c r="G38" s="132"/>
      <c r="H38" s="131"/>
      <c r="I38" s="61"/>
    </row>
    <row r="39" spans="1:9" x14ac:dyDescent="0.25">
      <c r="A39" s="52" t="s">
        <v>24</v>
      </c>
      <c r="B39" s="140">
        <v>0.2</v>
      </c>
      <c r="C39" s="206"/>
      <c r="D39" s="203"/>
      <c r="E39" s="199"/>
      <c r="F39" s="206">
        <v>8</v>
      </c>
      <c r="G39" s="123">
        <f t="shared" ref="G39:G44" si="6">B39*SUM(C39)</f>
        <v>0</v>
      </c>
      <c r="H39" s="124">
        <f>$B39*($F39/24)*(C$37*C39)</f>
        <v>0</v>
      </c>
      <c r="I39" s="62">
        <f>$B39*($F39/24)*C$38*C39</f>
        <v>0</v>
      </c>
    </row>
    <row r="40" spans="1:9" x14ac:dyDescent="0.25">
      <c r="A40" s="52" t="s">
        <v>196</v>
      </c>
      <c r="B40" s="140">
        <v>0.25</v>
      </c>
      <c r="C40" s="207"/>
      <c r="D40" s="203"/>
      <c r="E40" s="199"/>
      <c r="F40" s="207">
        <v>8</v>
      </c>
      <c r="G40" s="123">
        <f t="shared" si="6"/>
        <v>0</v>
      </c>
      <c r="H40" s="124">
        <f t="shared" ref="H40:H44" si="7">$B40*($F40/24)*(C$37*C40)</f>
        <v>0</v>
      </c>
      <c r="I40" s="62">
        <f>$B40*($F40/24)*C$38*C40</f>
        <v>0</v>
      </c>
    </row>
    <row r="41" spans="1:9" s="105" customFormat="1" ht="14.1" customHeight="1" x14ac:dyDescent="0.25">
      <c r="A41" s="52" t="s">
        <v>197</v>
      </c>
      <c r="B41" s="209">
        <v>0.06</v>
      </c>
      <c r="C41" s="207"/>
      <c r="D41" s="203"/>
      <c r="E41" s="199"/>
      <c r="F41" s="207">
        <v>8</v>
      </c>
      <c r="G41" s="123">
        <f t="shared" si="6"/>
        <v>0</v>
      </c>
      <c r="H41" s="124">
        <f>$B41*($F41/24)*(C$37*C41)</f>
        <v>0</v>
      </c>
      <c r="I41" s="62">
        <f t="shared" ref="I41" si="8">$B41*($F41/24)*C$38*C41</f>
        <v>0</v>
      </c>
    </row>
    <row r="42" spans="1:9" s="105" customFormat="1" ht="14.1" customHeight="1" x14ac:dyDescent="0.25">
      <c r="A42" s="52" t="s">
        <v>198</v>
      </c>
      <c r="B42" s="209">
        <v>0.03</v>
      </c>
      <c r="C42" s="207"/>
      <c r="D42" s="203"/>
      <c r="E42" s="199"/>
      <c r="F42" s="207">
        <v>8</v>
      </c>
      <c r="G42" s="123">
        <f t="shared" si="6"/>
        <v>0</v>
      </c>
      <c r="H42" s="124">
        <f t="shared" ref="H42" si="9">$B42*($F42/24)*(C$37*C42)</f>
        <v>0</v>
      </c>
      <c r="I42" s="62">
        <f t="shared" ref="I42" si="10">$B42*($F42/24)*C$38*C42</f>
        <v>0</v>
      </c>
    </row>
    <row r="43" spans="1:9" x14ac:dyDescent="0.25">
      <c r="A43" s="52" t="s">
        <v>113</v>
      </c>
      <c r="B43" s="140">
        <v>0.17</v>
      </c>
      <c r="C43" s="207"/>
      <c r="D43" s="203"/>
      <c r="E43" s="199"/>
      <c r="F43" s="207">
        <v>8</v>
      </c>
      <c r="G43" s="123">
        <f t="shared" si="6"/>
        <v>0</v>
      </c>
      <c r="H43" s="124">
        <f t="shared" si="7"/>
        <v>0</v>
      </c>
      <c r="I43" s="62">
        <f t="shared" ref="I43:I44" si="11">$B43*($F43/24)*C$38*C43</f>
        <v>0</v>
      </c>
    </row>
    <row r="44" spans="1:9" x14ac:dyDescent="0.25">
      <c r="A44" s="141" t="s">
        <v>153</v>
      </c>
      <c r="B44" s="19"/>
      <c r="C44" s="208"/>
      <c r="D44" s="204"/>
      <c r="E44" s="200"/>
      <c r="F44" s="208">
        <v>8</v>
      </c>
      <c r="G44" s="123">
        <f t="shared" si="6"/>
        <v>0</v>
      </c>
      <c r="H44" s="124">
        <f t="shared" si="7"/>
        <v>0</v>
      </c>
      <c r="I44" s="62">
        <f t="shared" si="11"/>
        <v>0</v>
      </c>
    </row>
    <row r="45" spans="1:9" ht="15.75" thickBot="1" x14ac:dyDescent="0.3">
      <c r="A45" s="114" t="s">
        <v>6</v>
      </c>
      <c r="B45" s="264">
        <f>SUM(B39*C39+B40*C40+B43*C43+B44*C44)</f>
        <v>0</v>
      </c>
      <c r="C45" s="265"/>
      <c r="D45" s="265"/>
      <c r="E45" s="266"/>
      <c r="F45" s="171"/>
      <c r="G45" s="125">
        <f>SUM(G39:G44)</f>
        <v>0</v>
      </c>
      <c r="H45" s="125">
        <f>SUM(H39:H44)</f>
        <v>0</v>
      </c>
      <c r="I45" s="134">
        <f>SUM(I39:I44)</f>
        <v>0</v>
      </c>
    </row>
    <row r="46" spans="1:9" x14ac:dyDescent="0.25">
      <c r="B46" s="53"/>
    </row>
  </sheetData>
  <sheetProtection algorithmName="SHA-512" hashValue="DG1AkinV6zaeRsMVhPn90eGmJhjnY0BmKro2n1CcUOMI3SHBeAHCvg+k6P4X/4VC7GB5X4rCxto4djxOUz+7RQ==" saltValue="IrOVDmGk+c4y4tkWlS077A==" spinCount="100000" sheet="1" objects="1" scenarios="1"/>
  <mergeCells count="4">
    <mergeCell ref="C9:E9"/>
    <mergeCell ref="A1:D1"/>
    <mergeCell ref="A3:I3"/>
    <mergeCell ref="B45:E45"/>
  </mergeCells>
  <pageMargins left="0.70866141732283472" right="0.70866141732283472" top="0.74803149606299213" bottom="0.74803149606299213" header="0.31496062992125984" footer="0.31496062992125984"/>
  <pageSetup paperSize="9" scale="68" orientation="portrait" r:id="rId1"/>
  <headerFooter>
    <oddFooter>&amp;Lv.01.01.2025</oddFooter>
  </headerFooter>
  <ignoredErrors>
    <ignoredError sqref="G19" formulaRange="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showGridLines="0" zoomScaleNormal="100" workbookViewId="0">
      <selection activeCell="A11" sqref="A11"/>
    </sheetView>
  </sheetViews>
  <sheetFormatPr baseColWidth="10" defaultRowHeight="15" x14ac:dyDescent="0.25"/>
  <cols>
    <col min="1" max="1" width="51.5703125" customWidth="1"/>
    <col min="2" max="5" width="16.5703125" customWidth="1"/>
    <col min="7" max="7" width="0" hidden="1" customWidth="1"/>
    <col min="8" max="8" width="47.5703125" hidden="1" customWidth="1"/>
    <col min="9" max="11" width="0" hidden="1" customWidth="1"/>
  </cols>
  <sheetData>
    <row r="1" spans="1:8" x14ac:dyDescent="0.25">
      <c r="A1" s="262" t="str">
        <f>CONCATENATE("Q52b Alpage - C. Eaux usées - ",A.Exploitation!A5," ",A.Exploitation!B5,"- ",A.Exploitation!B13," ",A.Exploitation!B12," - UHZ n° ",A.Exploitation!F5)</f>
        <v>Q52b Alpage - C. Eaux usées - CAMAC n° -   - UHZ n° A remplir par l'autorité cantonale</v>
      </c>
      <c r="B1" s="262"/>
      <c r="C1" s="262"/>
      <c r="D1" s="262"/>
      <c r="E1" s="145">
        <f ca="1">IF(A.Exploitation!B6=0,TODAY(),A.Exploitation!B6)</f>
        <v>45639</v>
      </c>
    </row>
    <row r="2" spans="1:8" x14ac:dyDescent="0.25">
      <c r="A2" s="221"/>
      <c r="B2" s="71"/>
      <c r="C2" s="71"/>
      <c r="D2" s="71"/>
      <c r="E2" s="11"/>
    </row>
    <row r="3" spans="1:8" x14ac:dyDescent="0.25">
      <c r="A3" s="279" t="s">
        <v>133</v>
      </c>
      <c r="B3" s="280"/>
      <c r="C3" s="280"/>
      <c r="D3" s="280"/>
      <c r="E3" s="281"/>
    </row>
    <row r="4" spans="1:8" s="4" customFormat="1" x14ac:dyDescent="0.25">
      <c r="A4" s="80"/>
      <c r="B4" s="83"/>
      <c r="C4" s="83"/>
      <c r="D4" s="83"/>
      <c r="E4" s="81"/>
    </row>
    <row r="5" spans="1:8" s="4" customFormat="1" x14ac:dyDescent="0.25">
      <c r="A5" s="276" t="s">
        <v>117</v>
      </c>
      <c r="B5" s="277"/>
      <c r="C5" s="277"/>
      <c r="D5" s="277"/>
      <c r="E5" s="278"/>
    </row>
    <row r="6" spans="1:8" s="11" customFormat="1" ht="17.25" x14ac:dyDescent="0.25">
      <c r="A6" s="63" t="s">
        <v>115</v>
      </c>
      <c r="B6" s="77" t="s">
        <v>145</v>
      </c>
      <c r="C6" s="77" t="s">
        <v>37</v>
      </c>
      <c r="D6" s="78" t="s">
        <v>128</v>
      </c>
      <c r="E6" s="78" t="s">
        <v>25</v>
      </c>
    </row>
    <row r="7" spans="1:8" s="11" customFormat="1" x14ac:dyDescent="0.25">
      <c r="A7" s="16" t="s">
        <v>21</v>
      </c>
      <c r="B7" s="48"/>
      <c r="C7" s="42">
        <f>A.Exploitation!H31</f>
        <v>0</v>
      </c>
      <c r="D7" s="17">
        <v>0.1</v>
      </c>
      <c r="E7" s="47">
        <f t="shared" ref="E7" si="0">C7*D7</f>
        <v>0</v>
      </c>
    </row>
    <row r="8" spans="1:8" s="11" customFormat="1" x14ac:dyDescent="0.25">
      <c r="A8" s="16" t="s">
        <v>170</v>
      </c>
      <c r="B8" s="48"/>
      <c r="C8" s="18"/>
      <c r="D8" s="17">
        <v>0.1</v>
      </c>
      <c r="E8" s="142">
        <f t="shared" ref="E8:E9" si="1">IF(C8="",0,C8*D8)</f>
        <v>0</v>
      </c>
    </row>
    <row r="9" spans="1:8" s="11" customFormat="1" x14ac:dyDescent="0.25">
      <c r="A9" s="16" t="s">
        <v>169</v>
      </c>
      <c r="B9" s="17"/>
      <c r="C9" s="18"/>
      <c r="D9" s="17">
        <v>0.1</v>
      </c>
      <c r="E9" s="142">
        <f t="shared" si="1"/>
        <v>0</v>
      </c>
    </row>
    <row r="10" spans="1:8" s="11" customFormat="1" ht="17.25" x14ac:dyDescent="0.25">
      <c r="A10" s="63" t="s">
        <v>139</v>
      </c>
      <c r="B10" s="17"/>
      <c r="C10" s="77" t="s">
        <v>38</v>
      </c>
      <c r="D10" s="78" t="s">
        <v>129</v>
      </c>
      <c r="E10" s="78" t="s">
        <v>25</v>
      </c>
    </row>
    <row r="11" spans="1:8" s="11" customFormat="1" x14ac:dyDescent="0.25">
      <c r="A11" s="104" t="s">
        <v>200</v>
      </c>
      <c r="B11" s="99"/>
      <c r="C11" s="18"/>
      <c r="D11" s="98" t="s">
        <v>36</v>
      </c>
      <c r="E11" s="142">
        <f>IF(OR(C11="",C11=0),0,3+0.5*C11)</f>
        <v>0</v>
      </c>
    </row>
    <row r="12" spans="1:8" s="11" customFormat="1" x14ac:dyDescent="0.25">
      <c r="A12" s="104" t="s">
        <v>201</v>
      </c>
      <c r="B12" s="99"/>
      <c r="C12" s="18"/>
      <c r="D12" s="98" t="s">
        <v>36</v>
      </c>
      <c r="E12" s="142">
        <f>IF(OR(C12=0,C12=""),0,4+0.5*C12)</f>
        <v>0</v>
      </c>
    </row>
    <row r="13" spans="1:8" s="11" customFormat="1" x14ac:dyDescent="0.25">
      <c r="A13" s="106" t="s">
        <v>203</v>
      </c>
      <c r="B13" s="99"/>
      <c r="C13" s="18"/>
      <c r="D13" s="98">
        <v>0.5</v>
      </c>
      <c r="E13" s="142">
        <f>IF(OR(C13="",C13=0),0,C13*D13)</f>
        <v>0</v>
      </c>
    </row>
    <row r="14" spans="1:8" s="11" customFormat="1" x14ac:dyDescent="0.25">
      <c r="A14" s="16" t="s">
        <v>140</v>
      </c>
      <c r="B14" s="72"/>
      <c r="C14" s="18"/>
      <c r="D14" s="72">
        <v>1E-3</v>
      </c>
      <c r="E14" s="142">
        <f>IF(C14="",0,C14*D14)</f>
        <v>0</v>
      </c>
      <c r="H14" s="17" t="s">
        <v>20</v>
      </c>
    </row>
    <row r="15" spans="1:8" s="11" customFormat="1" x14ac:dyDescent="0.25">
      <c r="A15" s="101" t="s">
        <v>149</v>
      </c>
      <c r="B15" s="18" t="s">
        <v>19</v>
      </c>
      <c r="C15" s="18"/>
      <c r="D15" s="72">
        <v>1E-3</v>
      </c>
      <c r="E15" s="142">
        <f>IF(C15="",0,C15*D15)</f>
        <v>0</v>
      </c>
      <c r="H15" s="17" t="s">
        <v>19</v>
      </c>
    </row>
    <row r="16" spans="1:8" s="11" customFormat="1" x14ac:dyDescent="0.25">
      <c r="A16" s="282" t="s">
        <v>6</v>
      </c>
      <c r="B16" s="283"/>
      <c r="C16" s="283"/>
      <c r="D16" s="284"/>
      <c r="E16" s="49">
        <f>SUM(E7:E9)+SUM(E11:E15)</f>
        <v>0</v>
      </c>
      <c r="H16" s="17" t="s">
        <v>87</v>
      </c>
    </row>
    <row r="17" spans="1:8" s="11" customFormat="1" ht="14.85" customHeight="1" x14ac:dyDescent="0.25">
      <c r="A17"/>
      <c r="B17"/>
      <c r="C17"/>
      <c r="D17"/>
      <c r="E17"/>
      <c r="H17" s="17" t="s">
        <v>10</v>
      </c>
    </row>
    <row r="18" spans="1:8" x14ac:dyDescent="0.25">
      <c r="A18" s="276" t="s">
        <v>116</v>
      </c>
      <c r="B18" s="277"/>
      <c r="C18" s="277"/>
      <c r="D18" s="277"/>
      <c r="E18" s="278"/>
      <c r="H18" s="17" t="s">
        <v>1</v>
      </c>
    </row>
    <row r="19" spans="1:8" s="4" customFormat="1" ht="17.25" x14ac:dyDescent="0.25">
      <c r="A19" s="63"/>
      <c r="B19" s="78" t="s">
        <v>145</v>
      </c>
      <c r="C19" s="77" t="s">
        <v>38</v>
      </c>
      <c r="D19" s="78" t="s">
        <v>129</v>
      </c>
      <c r="E19" s="78" t="s">
        <v>25</v>
      </c>
      <c r="H19" s="91"/>
    </row>
    <row r="20" spans="1:8" s="11" customFormat="1" x14ac:dyDescent="0.25">
      <c r="A20" s="16" t="s">
        <v>137</v>
      </c>
      <c r="B20" s="18" t="s">
        <v>19</v>
      </c>
      <c r="C20" s="18"/>
      <c r="D20" s="18">
        <v>3</v>
      </c>
      <c r="E20" s="142">
        <f>IF(B20=H22,C20*D20,"")</f>
        <v>0</v>
      </c>
    </row>
    <row r="21" spans="1:8" s="11" customFormat="1" x14ac:dyDescent="0.25">
      <c r="A21" s="16" t="s">
        <v>104</v>
      </c>
      <c r="B21" s="18" t="s">
        <v>19</v>
      </c>
      <c r="C21" s="18"/>
      <c r="D21" s="72">
        <v>1.6</v>
      </c>
      <c r="E21" s="142">
        <f>IF(B21=H22,C21*D21,"")</f>
        <v>0</v>
      </c>
      <c r="H21" s="17" t="s">
        <v>20</v>
      </c>
    </row>
    <row r="22" spans="1:8" s="11" customFormat="1" ht="14.85" customHeight="1" x14ac:dyDescent="0.25">
      <c r="A22" s="282" t="s">
        <v>6</v>
      </c>
      <c r="B22" s="283"/>
      <c r="C22" s="283"/>
      <c r="D22" s="284"/>
      <c r="E22" s="49">
        <f>SUM(E20:E21)</f>
        <v>0</v>
      </c>
      <c r="H22" s="17" t="s">
        <v>19</v>
      </c>
    </row>
    <row r="23" spans="1:8" ht="14.85" customHeight="1" x14ac:dyDescent="0.25">
      <c r="H23" s="17" t="s">
        <v>114</v>
      </c>
    </row>
    <row r="24" spans="1:8" s="11" customFormat="1" ht="30" x14ac:dyDescent="0.25">
      <c r="B24" s="37" t="s">
        <v>57</v>
      </c>
      <c r="C24" s="37" t="s">
        <v>130</v>
      </c>
      <c r="D24" s="37" t="s">
        <v>155</v>
      </c>
      <c r="E24" s="37" t="s">
        <v>58</v>
      </c>
      <c r="H24" s="17" t="s">
        <v>17</v>
      </c>
    </row>
    <row r="25" spans="1:8" s="11" customFormat="1" ht="32.25" x14ac:dyDescent="0.25">
      <c r="A25" s="16" t="s">
        <v>59</v>
      </c>
      <c r="B25" s="67">
        <f>B.Animaux!B7</f>
        <v>0</v>
      </c>
      <c r="C25" s="67">
        <f>E15</f>
        <v>0</v>
      </c>
      <c r="D25" s="67">
        <f>E16-E15</f>
        <v>0</v>
      </c>
      <c r="E25" s="67">
        <f>E22</f>
        <v>0</v>
      </c>
      <c r="H25" s="17" t="s">
        <v>18</v>
      </c>
    </row>
    <row r="26" spans="1:8" s="11" customFormat="1" x14ac:dyDescent="0.25">
      <c r="A26" s="73" t="s">
        <v>0</v>
      </c>
      <c r="B26" s="70">
        <f>SUM(B25:E25)</f>
        <v>0</v>
      </c>
      <c r="C26" s="20"/>
      <c r="D26" s="20"/>
      <c r="E26" s="20"/>
      <c r="H26" s="17" t="s">
        <v>16</v>
      </c>
    </row>
    <row r="27" spans="1:8" s="11" customFormat="1" x14ac:dyDescent="0.25">
      <c r="A27"/>
      <c r="B27"/>
      <c r="C27"/>
      <c r="D27"/>
      <c r="E27"/>
      <c r="H27" s="17" t="s">
        <v>15</v>
      </c>
    </row>
    <row r="28" spans="1:8" s="11" customFormat="1" x14ac:dyDescent="0.25">
      <c r="A28" s="16" t="s">
        <v>156</v>
      </c>
      <c r="B28" s="149" t="str">
        <f>IF(B25=0,"Pas de purin",(E25+D25)/B25)</f>
        <v>Pas de purin</v>
      </c>
      <c r="C28" s="285" t="s">
        <v>138</v>
      </c>
      <c r="D28" s="285"/>
      <c r="E28" s="149" t="str">
        <f>IF(B25=0,"Pas de purin",C25/B25)</f>
        <v>Pas de purin</v>
      </c>
      <c r="H28" s="17" t="s">
        <v>39</v>
      </c>
    </row>
    <row r="29" spans="1:8" s="11" customFormat="1" x14ac:dyDescent="0.25">
      <c r="B29" s="11" t="s">
        <v>157</v>
      </c>
    </row>
    <row r="30" spans="1:8" s="11" customFormat="1" ht="44.85" customHeight="1" x14ac:dyDescent="0.25">
      <c r="A30" s="286" t="s">
        <v>194</v>
      </c>
      <c r="B30" s="287"/>
      <c r="C30" s="287"/>
      <c r="D30" s="287"/>
      <c r="E30" s="288"/>
      <c r="H30" s="17"/>
    </row>
    <row r="31" spans="1:8" s="11" customFormat="1" ht="22.5" customHeight="1" x14ac:dyDescent="0.25">
      <c r="A31" s="95" t="s">
        <v>26</v>
      </c>
      <c r="H31" s="17"/>
    </row>
    <row r="32" spans="1:8" s="11" customFormat="1" x14ac:dyDescent="0.25">
      <c r="A32" s="267"/>
      <c r="B32" s="268"/>
      <c r="C32" s="268"/>
      <c r="D32" s="268"/>
      <c r="E32" s="269"/>
    </row>
    <row r="33" spans="1:5" s="11" customFormat="1" x14ac:dyDescent="0.25">
      <c r="A33" s="270"/>
      <c r="B33" s="271"/>
      <c r="C33" s="271"/>
      <c r="D33" s="271"/>
      <c r="E33" s="272"/>
    </row>
    <row r="34" spans="1:5" s="11" customFormat="1" ht="29.1" customHeight="1" x14ac:dyDescent="0.25">
      <c r="A34" s="270"/>
      <c r="B34" s="271"/>
      <c r="C34" s="271"/>
      <c r="D34" s="271"/>
      <c r="E34" s="272"/>
    </row>
    <row r="35" spans="1:5" s="11" customFormat="1" ht="45.6" customHeight="1" x14ac:dyDescent="0.25">
      <c r="A35" s="270"/>
      <c r="B35" s="271"/>
      <c r="C35" s="271"/>
      <c r="D35" s="271"/>
      <c r="E35" s="272"/>
    </row>
    <row r="36" spans="1:5" s="11" customFormat="1" ht="26.85" customHeight="1" x14ac:dyDescent="0.25">
      <c r="A36" s="270"/>
      <c r="B36" s="271"/>
      <c r="C36" s="271"/>
      <c r="D36" s="271"/>
      <c r="E36" s="272"/>
    </row>
    <row r="37" spans="1:5" s="11" customFormat="1" x14ac:dyDescent="0.25">
      <c r="A37" s="270"/>
      <c r="B37" s="271"/>
      <c r="C37" s="271"/>
      <c r="D37" s="271"/>
      <c r="E37" s="272"/>
    </row>
    <row r="38" spans="1:5" s="11" customFormat="1" x14ac:dyDescent="0.25">
      <c r="A38" s="270"/>
      <c r="B38" s="271"/>
      <c r="C38" s="271"/>
      <c r="D38" s="271"/>
      <c r="E38" s="272"/>
    </row>
    <row r="39" spans="1:5" s="11" customFormat="1" ht="126" customHeight="1" x14ac:dyDescent="0.25">
      <c r="A39" s="273"/>
      <c r="B39" s="274"/>
      <c r="C39" s="274"/>
      <c r="D39" s="274"/>
      <c r="E39" s="275"/>
    </row>
  </sheetData>
  <sheetProtection algorithmName="SHA-512" hashValue="DyjgBCh3anCc67AuZxZFAe8Kn1LzBy0skdA2S5UtdORglaEqUarQh23D3hZCbU6awTcsa8rHNqFUs3PUS5V+jw==" saltValue="MpLUgux1D/fSDtk8JJiZ1Q==" spinCount="100000" sheet="1" objects="1" scenarios="1"/>
  <mergeCells count="9">
    <mergeCell ref="A32:E39"/>
    <mergeCell ref="A5:E5"/>
    <mergeCell ref="A18:E18"/>
    <mergeCell ref="A1:D1"/>
    <mergeCell ref="A3:E3"/>
    <mergeCell ref="A22:D22"/>
    <mergeCell ref="C28:D28"/>
    <mergeCell ref="A30:E30"/>
    <mergeCell ref="A16:D16"/>
  </mergeCells>
  <conditionalFormatting sqref="E28">
    <cfRule type="cellIs" dxfId="11" priority="4" operator="equal">
      <formula>"-"</formula>
    </cfRule>
    <cfRule type="cellIs" dxfId="10" priority="5" operator="lessThanOrEqual">
      <formula>2</formula>
    </cfRule>
    <cfRule type="cellIs" dxfId="9" priority="6" operator="greaterThan">
      <formula>2</formula>
    </cfRule>
  </conditionalFormatting>
  <conditionalFormatting sqref="B28">
    <cfRule type="cellIs" dxfId="8" priority="1" operator="equal">
      <formula>"-"</formula>
    </cfRule>
    <cfRule type="cellIs" dxfId="7" priority="2" operator="lessThanOrEqual">
      <formula>3</formula>
    </cfRule>
    <cfRule type="cellIs" dxfId="6" priority="3" operator="greaterThan">
      <formula>3</formula>
    </cfRule>
  </conditionalFormatting>
  <dataValidations disablePrompts="1" count="2">
    <dataValidation type="list" allowBlank="1" showInputMessage="1" showErrorMessage="1" sqref="B20:B21" xr:uid="{00000000-0002-0000-0300-000000000000}">
      <formula1>$H$21:$H$28</formula1>
    </dataValidation>
    <dataValidation type="list" allowBlank="1" showInputMessage="1" showErrorMessage="1" sqref="B15" xr:uid="{00000000-0002-0000-0300-000001000000}">
      <formula1>$H$14:$H$18</formula1>
    </dataValidation>
  </dataValidations>
  <pageMargins left="0.70866141732283472" right="0.70866141732283472" top="0.74803149606299213" bottom="0.74803149606299213" header="0.31496062992125984" footer="0.31496062992125984"/>
  <pageSetup paperSize="9" scale="73" orientation="portrait" r:id="rId1"/>
  <headerFooter>
    <oddFooter>&amp;Lv.01.01.2025</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7">
    <pageSetUpPr fitToPage="1"/>
  </sheetPr>
  <dimension ref="A1:J42"/>
  <sheetViews>
    <sheetView showGridLines="0" view="pageLayout" topLeftCell="C7" zoomScaleNormal="100" workbookViewId="0">
      <selection activeCell="E12" sqref="E12"/>
    </sheetView>
  </sheetViews>
  <sheetFormatPr baseColWidth="10" defaultColWidth="11.42578125" defaultRowHeight="15" x14ac:dyDescent="0.25"/>
  <cols>
    <col min="1" max="1" width="42.42578125" style="11" customWidth="1"/>
    <col min="2" max="2" width="19" style="11" customWidth="1"/>
    <col min="3" max="3" width="2.5703125" style="11" customWidth="1"/>
    <col min="4" max="4" width="3" style="11" customWidth="1"/>
    <col min="5" max="5" width="42.42578125" style="11" customWidth="1"/>
    <col min="6" max="6" width="19" style="11" customWidth="1"/>
    <col min="7" max="7" width="11.140625" style="11" customWidth="1"/>
    <col min="8" max="8" width="7.5703125" style="11" hidden="1" customWidth="1"/>
    <col min="9" max="9" width="4.42578125" style="11" hidden="1" customWidth="1"/>
    <col min="10" max="10" width="9.140625" style="11" hidden="1" customWidth="1"/>
    <col min="11" max="11" width="5" style="11" customWidth="1"/>
    <col min="12" max="12" width="11.42578125" style="11" customWidth="1"/>
    <col min="13" max="16384" width="11.42578125" style="11"/>
  </cols>
  <sheetData>
    <row r="1" spans="1:10" x14ac:dyDescent="0.25">
      <c r="A1" s="262" t="str">
        <f>CONCATENATE("Q52b Alpage - D. Fosse et fumière - ",A.Exploitation!A5," ",A.Exploitation!B5,"- ",A.Exploitation!B13," ",A.Exploitation!B12," - UHZ n° ",A.Exploitation!F5)</f>
        <v>Q52b Alpage - D. Fosse et fumière - CAMAC n° -   - UHZ n° A remplir par l'autorité cantonale</v>
      </c>
      <c r="B1" s="262"/>
      <c r="C1" s="262"/>
      <c r="D1" s="262"/>
      <c r="E1" s="262"/>
      <c r="F1" s="144">
        <f ca="1">IF(A.Exploitation!B6=0,TODAY(),A.Exploitation!B6)</f>
        <v>45639</v>
      </c>
    </row>
    <row r="2" spans="1:10" x14ac:dyDescent="0.25">
      <c r="A2" s="221"/>
      <c r="B2" s="21"/>
      <c r="C2" s="21"/>
      <c r="D2" s="21"/>
      <c r="E2" s="21"/>
    </row>
    <row r="3" spans="1:10" x14ac:dyDescent="0.25">
      <c r="A3" s="263" t="s">
        <v>119</v>
      </c>
      <c r="B3" s="263"/>
      <c r="C3" s="263"/>
      <c r="D3" s="263"/>
      <c r="E3" s="263"/>
      <c r="F3" s="263"/>
    </row>
    <row r="5" spans="1:10" ht="45" x14ac:dyDescent="0.25">
      <c r="A5" s="289" t="s">
        <v>19</v>
      </c>
      <c r="B5" s="290"/>
      <c r="C5" s="36"/>
      <c r="E5" s="289" t="s">
        <v>40</v>
      </c>
      <c r="F5" s="290"/>
      <c r="H5" s="37" t="s">
        <v>20</v>
      </c>
      <c r="I5" s="11" t="s">
        <v>177</v>
      </c>
      <c r="J5" s="11" t="s">
        <v>178</v>
      </c>
    </row>
    <row r="6" spans="1:10" x14ac:dyDescent="0.25">
      <c r="A6" s="13" t="s">
        <v>173</v>
      </c>
      <c r="B6" s="108"/>
      <c r="C6" s="38"/>
      <c r="E6" s="121" t="s">
        <v>173</v>
      </c>
      <c r="F6" s="108"/>
      <c r="H6" s="37" t="s">
        <v>42</v>
      </c>
      <c r="I6" s="11">
        <f>B.Animaux!H20</f>
        <v>0</v>
      </c>
      <c r="J6" s="11">
        <v>0.8</v>
      </c>
    </row>
    <row r="7" spans="1:10" ht="17.25" x14ac:dyDescent="0.25">
      <c r="A7" s="121" t="s">
        <v>161</v>
      </c>
      <c r="B7" s="122">
        <f>B.Animaux!B7</f>
        <v>0</v>
      </c>
      <c r="C7" s="41"/>
      <c r="E7" s="13" t="s">
        <v>41</v>
      </c>
      <c r="F7" s="100">
        <f>IF(B.Animaux!B6+B.Animaux!B7=0,0,B.Animaux!B6)</f>
        <v>0</v>
      </c>
      <c r="H7" s="37" t="s">
        <v>45</v>
      </c>
      <c r="I7" s="11">
        <f>B.Animaux!H26</f>
        <v>0</v>
      </c>
      <c r="J7" s="11">
        <v>0.5</v>
      </c>
    </row>
    <row r="8" spans="1:10" ht="17.25" x14ac:dyDescent="0.25">
      <c r="A8" s="121" t="s">
        <v>162</v>
      </c>
      <c r="B8" s="122">
        <f>'C.Eaux usées'!D25+'C.Eaux usées'!E25</f>
        <v>0</v>
      </c>
      <c r="C8" s="38"/>
      <c r="E8" s="13" t="s">
        <v>179</v>
      </c>
      <c r="F8" s="42" t="str">
        <f>IF(F7&gt;0,ROUND((I6*J6+I7*J7+I8*J8+I9*J9+I10*J10)/I11,2),"-")</f>
        <v>-</v>
      </c>
      <c r="H8" s="37" t="s">
        <v>43</v>
      </c>
      <c r="I8" s="11">
        <f>B.Animaux!H35</f>
        <v>0</v>
      </c>
      <c r="J8" s="11">
        <v>0.9</v>
      </c>
    </row>
    <row r="9" spans="1:10" ht="17.25" x14ac:dyDescent="0.25">
      <c r="A9" s="121" t="s">
        <v>163</v>
      </c>
      <c r="B9" s="122">
        <f>'C.Eaux usées'!C25</f>
        <v>0</v>
      </c>
      <c r="C9" s="43"/>
      <c r="E9" s="13" t="s">
        <v>148</v>
      </c>
      <c r="F9" s="39">
        <f>IF(F7=0,0,F7/F8*F6/4)</f>
        <v>0</v>
      </c>
      <c r="H9" s="37" t="s">
        <v>46</v>
      </c>
      <c r="I9" s="11">
        <v>0</v>
      </c>
      <c r="J9" s="11">
        <v>0.5</v>
      </c>
    </row>
    <row r="10" spans="1:10" ht="32.25" x14ac:dyDescent="0.25">
      <c r="A10" s="13" t="s">
        <v>147</v>
      </c>
      <c r="B10" s="107">
        <f>IF(F13=0,0,IF(F14=H15,0,F13*0.1))</f>
        <v>0</v>
      </c>
      <c r="C10" s="44"/>
      <c r="E10" s="13" t="s">
        <v>121</v>
      </c>
      <c r="F10" s="40"/>
      <c r="H10" s="37" t="s">
        <v>44</v>
      </c>
      <c r="I10" s="11">
        <f>B.Animaux!H45</f>
        <v>0</v>
      </c>
      <c r="J10" s="11">
        <v>0.65</v>
      </c>
    </row>
    <row r="11" spans="1:10" ht="17.25" x14ac:dyDescent="0.25">
      <c r="A11" s="13" t="s">
        <v>164</v>
      </c>
      <c r="B11" s="107">
        <f>(B6/4*(B7+B8+B9+B10))</f>
        <v>0</v>
      </c>
      <c r="C11" s="12"/>
      <c r="E11" s="13" t="s">
        <v>62</v>
      </c>
      <c r="F11" s="39" t="str">
        <f>IF(F10=0,"-",F9/F10)</f>
        <v>-</v>
      </c>
      <c r="H11" s="11" t="s">
        <v>0</v>
      </c>
      <c r="I11" s="11">
        <f>SUM(I6:I10)</f>
        <v>0</v>
      </c>
    </row>
    <row r="12" spans="1:10" ht="17.25" x14ac:dyDescent="0.25">
      <c r="A12" s="13" t="s">
        <v>47</v>
      </c>
      <c r="B12" s="107">
        <f>A.Exploitation!H26</f>
        <v>0</v>
      </c>
      <c r="C12" s="12"/>
      <c r="E12" s="13" t="s">
        <v>50</v>
      </c>
      <c r="F12" s="42">
        <f>SUM(A.Exploitation!H31:H32)</f>
        <v>0</v>
      </c>
    </row>
    <row r="13" spans="1:10" ht="17.25" x14ac:dyDescent="0.25">
      <c r="A13" s="13" t="s">
        <v>48</v>
      </c>
      <c r="B13" s="108">
        <v>0</v>
      </c>
      <c r="C13" s="12"/>
      <c r="E13" s="13" t="s">
        <v>51</v>
      </c>
      <c r="F13" s="40"/>
      <c r="H13" s="37"/>
    </row>
    <row r="14" spans="1:10" ht="17.25" x14ac:dyDescent="0.25">
      <c r="A14" s="13" t="s">
        <v>49</v>
      </c>
      <c r="B14" s="45" t="str">
        <f>IF(AND(OR(B11=0,B11=""),B9=0,B8=0,B7=0,B10=0),"Pas de purin/eau",IF(OR(B6="",B6=0),"Incomplet*",IF(B11="-","-",ROUND(B13+B12-B11,0))))</f>
        <v>Pas de purin/eau</v>
      </c>
      <c r="C14" s="12"/>
      <c r="E14" s="13" t="s">
        <v>120</v>
      </c>
      <c r="F14" s="40" t="s">
        <v>86</v>
      </c>
      <c r="H14" s="37" t="s">
        <v>20</v>
      </c>
    </row>
    <row r="15" spans="1:10" ht="17.25" x14ac:dyDescent="0.25">
      <c r="A15" s="51" t="s">
        <v>154</v>
      </c>
      <c r="B15" s="109" t="str">
        <f>IF(B14&lt;0,B14/B11,"")</f>
        <v/>
      </c>
      <c r="C15" s="12"/>
      <c r="E15" s="13" t="s">
        <v>52</v>
      </c>
      <c r="F15" s="45" t="str">
        <f>IF(F7=0,"Pas de fumier",IF(OR(F11="-",F6="",F6=0),"Incomplet*",ROUND(F13+F12-F11,0)))</f>
        <v>Pas de fumier</v>
      </c>
      <c r="H15" s="37" t="s">
        <v>85</v>
      </c>
      <c r="J15" s="218" t="s">
        <v>202</v>
      </c>
    </row>
    <row r="16" spans="1:10" ht="10.35" customHeight="1" x14ac:dyDescent="0.25">
      <c r="C16" s="12"/>
      <c r="H16" s="37"/>
      <c r="J16" s="218"/>
    </row>
    <row r="17" spans="1:8" ht="14.85" customHeight="1" x14ac:dyDescent="0.25">
      <c r="A17" s="219" t="str">
        <f>IF(B14=J15,"*Veuillez renseigner la durée avant épandage","")</f>
        <v/>
      </c>
      <c r="C17" s="12"/>
      <c r="E17" s="217" t="str">
        <f>IF(F15=J15,"*Veuillez renseigner la durée avant épandage et la hauteur maximale du tas de fumier","")</f>
        <v/>
      </c>
      <c r="F17"/>
      <c r="H17" s="37" t="s">
        <v>86</v>
      </c>
    </row>
    <row r="18" spans="1:8" ht="14.85" customHeight="1" x14ac:dyDescent="0.25">
      <c r="A18" s="219"/>
      <c r="C18" s="12"/>
      <c r="E18" s="217"/>
      <c r="F18" s="105"/>
      <c r="H18" s="220"/>
    </row>
    <row r="19" spans="1:8" x14ac:dyDescent="0.25">
      <c r="A19" s="297" t="s">
        <v>126</v>
      </c>
      <c r="B19" s="298"/>
      <c r="C19" s="14"/>
      <c r="D19" s="15"/>
      <c r="E19" s="297" t="s">
        <v>126</v>
      </c>
      <c r="F19" s="298"/>
    </row>
    <row r="20" spans="1:8" s="6" customFormat="1" ht="27" customHeight="1" x14ac:dyDescent="0.25">
      <c r="A20" s="299"/>
      <c r="B20" s="300"/>
      <c r="C20" s="7"/>
      <c r="E20" s="299"/>
      <c r="F20" s="300"/>
    </row>
    <row r="21" spans="1:8" ht="21.6" customHeight="1" x14ac:dyDescent="0.25">
      <c r="A21" s="96" t="s">
        <v>127</v>
      </c>
      <c r="B21" s="76"/>
      <c r="C21" s="97"/>
      <c r="D21" s="5"/>
      <c r="E21" s="137" t="s">
        <v>127</v>
      </c>
      <c r="F21" s="120"/>
    </row>
    <row r="22" spans="1:8" x14ac:dyDescent="0.25">
      <c r="A22" s="291"/>
      <c r="B22" s="292"/>
      <c r="C22" s="46"/>
      <c r="E22" s="291"/>
      <c r="F22" s="292"/>
    </row>
    <row r="23" spans="1:8" x14ac:dyDescent="0.25">
      <c r="A23" s="293"/>
      <c r="B23" s="294"/>
      <c r="C23" s="46"/>
      <c r="E23" s="293"/>
      <c r="F23" s="294"/>
    </row>
    <row r="24" spans="1:8" x14ac:dyDescent="0.25">
      <c r="A24" s="293"/>
      <c r="B24" s="294"/>
      <c r="C24" s="46"/>
      <c r="E24" s="293"/>
      <c r="F24" s="294"/>
    </row>
    <row r="25" spans="1:8" x14ac:dyDescent="0.25">
      <c r="A25" s="293"/>
      <c r="B25" s="294"/>
      <c r="C25" s="46"/>
      <c r="E25" s="293"/>
      <c r="F25" s="294"/>
    </row>
    <row r="26" spans="1:8" x14ac:dyDescent="0.25">
      <c r="A26" s="293"/>
      <c r="B26" s="294"/>
      <c r="C26" s="46"/>
      <c r="E26" s="293"/>
      <c r="F26" s="294"/>
    </row>
    <row r="27" spans="1:8" x14ac:dyDescent="0.25">
      <c r="A27" s="293"/>
      <c r="B27" s="294"/>
      <c r="C27" s="46"/>
      <c r="E27" s="293"/>
      <c r="F27" s="294"/>
    </row>
    <row r="28" spans="1:8" x14ac:dyDescent="0.25">
      <c r="A28" s="293"/>
      <c r="B28" s="294"/>
      <c r="C28" s="46"/>
      <c r="E28" s="293"/>
      <c r="F28" s="294"/>
    </row>
    <row r="29" spans="1:8" x14ac:dyDescent="0.25">
      <c r="A29" s="293"/>
      <c r="B29" s="294"/>
      <c r="C29" s="46"/>
      <c r="E29" s="293"/>
      <c r="F29" s="294"/>
    </row>
    <row r="30" spans="1:8" x14ac:dyDescent="0.25">
      <c r="A30" s="293"/>
      <c r="B30" s="294"/>
      <c r="C30" s="46"/>
      <c r="E30" s="293"/>
      <c r="F30" s="294"/>
    </row>
    <row r="31" spans="1:8" x14ac:dyDescent="0.25">
      <c r="A31" s="293"/>
      <c r="B31" s="294"/>
      <c r="C31" s="46"/>
      <c r="E31" s="293"/>
      <c r="F31" s="294"/>
    </row>
    <row r="32" spans="1:8" x14ac:dyDescent="0.25">
      <c r="A32" s="293"/>
      <c r="B32" s="294"/>
      <c r="C32" s="46"/>
      <c r="E32" s="293"/>
      <c r="F32" s="294"/>
    </row>
    <row r="33" spans="1:6" x14ac:dyDescent="0.25">
      <c r="A33" s="293"/>
      <c r="B33" s="294"/>
      <c r="C33" s="46"/>
      <c r="E33" s="293"/>
      <c r="F33" s="294"/>
    </row>
    <row r="34" spans="1:6" x14ac:dyDescent="0.25">
      <c r="A34" s="293"/>
      <c r="B34" s="294"/>
      <c r="C34" s="46"/>
      <c r="E34" s="293"/>
      <c r="F34" s="294"/>
    </row>
    <row r="35" spans="1:6" x14ac:dyDescent="0.25">
      <c r="A35" s="293"/>
      <c r="B35" s="294"/>
      <c r="C35" s="46"/>
      <c r="E35" s="293"/>
      <c r="F35" s="294"/>
    </row>
    <row r="36" spans="1:6" x14ac:dyDescent="0.25">
      <c r="A36" s="293"/>
      <c r="B36" s="294"/>
      <c r="C36" s="46"/>
      <c r="E36" s="293"/>
      <c r="F36" s="294"/>
    </row>
    <row r="37" spans="1:6" x14ac:dyDescent="0.25">
      <c r="A37" s="293"/>
      <c r="B37" s="294"/>
      <c r="C37" s="46"/>
      <c r="E37" s="293"/>
      <c r="F37" s="294"/>
    </row>
    <row r="38" spans="1:6" x14ac:dyDescent="0.25">
      <c r="A38" s="293"/>
      <c r="B38" s="294"/>
      <c r="C38" s="46"/>
      <c r="E38" s="293"/>
      <c r="F38" s="294"/>
    </row>
    <row r="39" spans="1:6" x14ac:dyDescent="0.25">
      <c r="A39" s="293"/>
      <c r="B39" s="294"/>
      <c r="C39" s="46"/>
      <c r="E39" s="293"/>
      <c r="F39" s="294"/>
    </row>
    <row r="40" spans="1:6" x14ac:dyDescent="0.25">
      <c r="A40" s="293"/>
      <c r="B40" s="294"/>
      <c r="C40" s="46"/>
      <c r="E40" s="293"/>
      <c r="F40" s="294"/>
    </row>
    <row r="41" spans="1:6" x14ac:dyDescent="0.25">
      <c r="A41" s="293"/>
      <c r="B41" s="294"/>
      <c r="C41" s="46"/>
      <c r="E41" s="293"/>
      <c r="F41" s="294"/>
    </row>
    <row r="42" spans="1:6" x14ac:dyDescent="0.25">
      <c r="A42" s="295"/>
      <c r="B42" s="296"/>
      <c r="D42" s="66"/>
      <c r="E42" s="295"/>
      <c r="F42" s="296"/>
    </row>
  </sheetData>
  <sheetProtection algorithmName="SHA-512" hashValue="Wf96rM+1wgh4K7Y0PggBu4VB8meuTMSRU46QBTtlNWEsmh68YI7t8EjdJkyC1qk1qpxX+JMHP2intq+P46qP8w==" saltValue="DOhu0OWvEMeZVYPIjoy/yw==" spinCount="100000" sheet="1" objects="1" scenarios="1"/>
  <dataConsolidate/>
  <mergeCells count="8">
    <mergeCell ref="A1:E1"/>
    <mergeCell ref="A5:B5"/>
    <mergeCell ref="A22:B42"/>
    <mergeCell ref="E5:F5"/>
    <mergeCell ref="A19:B20"/>
    <mergeCell ref="E19:F20"/>
    <mergeCell ref="A3:F3"/>
    <mergeCell ref="E22:F42"/>
  </mergeCells>
  <conditionalFormatting sqref="B14">
    <cfRule type="cellIs" dxfId="5" priority="13" operator="greaterThanOrEqual">
      <formula>0</formula>
    </cfRule>
    <cfRule type="cellIs" dxfId="4" priority="14" operator="lessThan">
      <formula>0</formula>
    </cfRule>
    <cfRule type="cellIs" dxfId="3" priority="1" stopIfTrue="1" operator="equal">
      <formula>$J$15</formula>
    </cfRule>
  </conditionalFormatting>
  <conditionalFormatting sqref="F15">
    <cfRule type="cellIs" dxfId="2" priority="2" operator="equal">
      <formula>$J$15</formula>
    </cfRule>
    <cfRule type="cellIs" dxfId="1" priority="9" operator="greaterThanOrEqual">
      <formula>0</formula>
    </cfRule>
    <cfRule type="cellIs" dxfId="0" priority="10" operator="lessThan">
      <formula>0</formula>
    </cfRule>
  </conditionalFormatting>
  <dataValidations disablePrompts="1" count="1">
    <dataValidation type="list" allowBlank="1" showInputMessage="1" showErrorMessage="1" sqref="F14" xr:uid="{00000000-0002-0000-0400-000000000000}">
      <formula1>$H$14:$H$17</formula1>
    </dataValidation>
  </dataValidations>
  <pageMargins left="0.70866141732283472" right="0.70866141732283472" top="0.74803149606299213" bottom="0.74803149606299213" header="0.31496062992125984" footer="0.31496062992125984"/>
  <pageSetup paperSize="9" scale="67" orientation="portrait" r:id="rId1"/>
  <headerFooter>
    <oddFooter>&amp;Lv.01.01.2025</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7"/>
  <sheetViews>
    <sheetView showGridLines="0" topLeftCell="A3" zoomScaleNormal="100" workbookViewId="0">
      <selection activeCell="B48" sqref="B48"/>
    </sheetView>
  </sheetViews>
  <sheetFormatPr baseColWidth="10" defaultColWidth="11.42578125" defaultRowHeight="15" x14ac:dyDescent="0.25"/>
  <cols>
    <col min="1" max="1" width="11.42578125" style="1"/>
    <col min="2" max="2" width="21.5703125" style="1" customWidth="1"/>
    <col min="3" max="16384" width="11.42578125" style="1"/>
  </cols>
  <sheetData>
    <row r="1" spans="1:7" ht="15" customHeight="1" x14ac:dyDescent="0.25">
      <c r="A1" s="303" t="str">
        <f>CONCATENATE("Q52b Alpage - E. Attestations - ",A.Exploitation!A5," ",A.Exploitation!B5," - ",A.Exploitation!B13," ",A.Exploitation!B12," - UHZ n° ",A.Exploitation!F5)</f>
        <v>Q52b Alpage - E. Attestations - CAMAC n°  -   - UHZ n° A remplir par l'autorité cantonale</v>
      </c>
      <c r="B1" s="303"/>
      <c r="C1" s="303"/>
      <c r="D1" s="303"/>
      <c r="E1" s="303"/>
      <c r="F1" s="303"/>
      <c r="G1" s="146">
        <f ca="1">IF(A.Exploitation!B6=0,TODAY(),A.Exploitation!B6)</f>
        <v>45639</v>
      </c>
    </row>
    <row r="2" spans="1:7" s="5" customFormat="1" x14ac:dyDescent="0.25">
      <c r="A2" s="223"/>
      <c r="B2" s="8"/>
      <c r="C2" s="8"/>
      <c r="D2" s="8"/>
    </row>
    <row r="3" spans="1:7" s="5" customFormat="1" x14ac:dyDescent="0.25">
      <c r="A3" s="304" t="s">
        <v>122</v>
      </c>
      <c r="B3" s="304"/>
      <c r="C3" s="304"/>
      <c r="D3" s="304"/>
      <c r="E3" s="304"/>
      <c r="F3" s="304"/>
      <c r="G3" s="304"/>
    </row>
    <row r="5" spans="1:7" ht="15.75" x14ac:dyDescent="0.25">
      <c r="A5" s="302" t="s">
        <v>72</v>
      </c>
      <c r="B5" s="302"/>
      <c r="C5" s="302"/>
      <c r="D5" s="302"/>
      <c r="E5" s="302"/>
      <c r="F5" s="302"/>
      <c r="G5" s="302"/>
    </row>
    <row r="7" spans="1:7" ht="40.5" customHeight="1" x14ac:dyDescent="0.25">
      <c r="A7" s="306" t="s">
        <v>73</v>
      </c>
      <c r="B7" s="306"/>
      <c r="C7" s="306"/>
      <c r="D7" s="306"/>
      <c r="E7" s="306"/>
      <c r="F7" s="306"/>
      <c r="G7" s="306"/>
    </row>
    <row r="8" spans="1:7" ht="29.25" customHeight="1" x14ac:dyDescent="0.25">
      <c r="A8" s="306" t="s">
        <v>74</v>
      </c>
      <c r="B8" s="306"/>
      <c r="C8" s="306"/>
      <c r="D8" s="306"/>
      <c r="E8" s="306"/>
      <c r="F8" s="306"/>
      <c r="G8" s="306"/>
    </row>
    <row r="10" spans="1:7" x14ac:dyDescent="0.25">
      <c r="A10" s="308" t="s">
        <v>75</v>
      </c>
      <c r="B10" s="308"/>
      <c r="C10" s="308"/>
      <c r="D10" s="308"/>
      <c r="E10" s="308"/>
      <c r="F10" s="308"/>
      <c r="G10" s="308"/>
    </row>
    <row r="11" spans="1:7" x14ac:dyDescent="0.25">
      <c r="A11" s="1" t="s">
        <v>76</v>
      </c>
      <c r="B11" s="2"/>
      <c r="C11" s="3" t="s">
        <v>77</v>
      </c>
      <c r="D11" s="2"/>
      <c r="E11" s="3" t="s">
        <v>78</v>
      </c>
      <c r="F11" s="307" t="str">
        <f>IF(A.Exploitation!B17="","Compléter onglet A.",A.Exploitation!B17)</f>
        <v>Compléter onglet A.</v>
      </c>
      <c r="G11" s="307"/>
    </row>
    <row r="13" spans="1:7" x14ac:dyDescent="0.25">
      <c r="A13" s="1" t="s">
        <v>79</v>
      </c>
      <c r="B13" s="301"/>
      <c r="C13" s="301"/>
    </row>
    <row r="15" spans="1:7" x14ac:dyDescent="0.25">
      <c r="A15" s="308" t="s">
        <v>80</v>
      </c>
      <c r="B15" s="308"/>
      <c r="C15" s="308"/>
      <c r="D15" s="308"/>
      <c r="E15" s="308"/>
      <c r="F15" s="308"/>
      <c r="G15" s="308"/>
    </row>
    <row r="16" spans="1:7" x14ac:dyDescent="0.25">
      <c r="A16" s="1" t="s">
        <v>76</v>
      </c>
      <c r="B16" s="2"/>
      <c r="C16" s="3" t="s">
        <v>77</v>
      </c>
      <c r="D16" s="2"/>
      <c r="E16" s="3" t="s">
        <v>78</v>
      </c>
      <c r="F16" s="307" t="str">
        <f>IF(A.Exploitation!F17="","Compléter onglet A.",A.Exploitation!F17)</f>
        <v>Compléter onglet A.</v>
      </c>
      <c r="G16" s="307"/>
    </row>
    <row r="18" spans="1:7" x14ac:dyDescent="0.25">
      <c r="A18" s="1" t="s">
        <v>79</v>
      </c>
      <c r="B18" s="301"/>
      <c r="C18" s="301"/>
    </row>
    <row r="21" spans="1:7" ht="15.75" x14ac:dyDescent="0.25">
      <c r="A21" s="302" t="s">
        <v>82</v>
      </c>
      <c r="B21" s="302"/>
      <c r="C21" s="302"/>
      <c r="D21" s="302"/>
      <c r="E21" s="302"/>
      <c r="F21" s="302"/>
      <c r="G21" s="302"/>
    </row>
    <row r="23" spans="1:7" x14ac:dyDescent="0.25">
      <c r="A23" s="1" t="s">
        <v>76</v>
      </c>
      <c r="B23" s="2"/>
      <c r="C23" s="3" t="s">
        <v>77</v>
      </c>
      <c r="D23" s="2"/>
      <c r="E23" s="3" t="s">
        <v>78</v>
      </c>
      <c r="F23" s="301"/>
      <c r="G23" s="301"/>
    </row>
    <row r="25" spans="1:7" x14ac:dyDescent="0.25">
      <c r="A25" s="1" t="s">
        <v>83</v>
      </c>
      <c r="B25" s="301"/>
      <c r="C25" s="301"/>
      <c r="E25" s="1" t="s">
        <v>84</v>
      </c>
      <c r="F25" s="301"/>
      <c r="G25" s="301"/>
    </row>
    <row r="27" spans="1:7" x14ac:dyDescent="0.25">
      <c r="A27" s="1" t="s">
        <v>79</v>
      </c>
      <c r="B27" s="301"/>
      <c r="C27" s="301"/>
    </row>
    <row r="47" spans="1:7" x14ac:dyDescent="0.25">
      <c r="A47" s="305"/>
      <c r="B47" s="305"/>
      <c r="C47" s="305"/>
      <c r="D47" s="305"/>
      <c r="E47" s="305"/>
      <c r="F47" s="305"/>
      <c r="G47" s="305"/>
    </row>
  </sheetData>
  <sheetProtection algorithmName="SHA-512" hashValue="Rf2yX3wsod9fa8u2zvmqNVU4L1BZ/StwU/z9YRG0mDoeIejBFmjgkx2lwJI0KmmI8TfBRkjw8f8xM3Rae2VGjQ==" saltValue="uP+4Lob/V6kV8m7J/z1JDg==" spinCount="100000" sheet="1" objects="1" scenarios="1"/>
  <mergeCells count="17">
    <mergeCell ref="A47:G47"/>
    <mergeCell ref="A7:G7"/>
    <mergeCell ref="A8:G8"/>
    <mergeCell ref="B13:C13"/>
    <mergeCell ref="F16:G16"/>
    <mergeCell ref="A15:G15"/>
    <mergeCell ref="A10:G10"/>
    <mergeCell ref="F11:G11"/>
    <mergeCell ref="B18:C18"/>
    <mergeCell ref="F23:G23"/>
    <mergeCell ref="B27:C27"/>
    <mergeCell ref="B25:C25"/>
    <mergeCell ref="F25:G25"/>
    <mergeCell ref="A21:G21"/>
    <mergeCell ref="A1:F1"/>
    <mergeCell ref="A5:G5"/>
    <mergeCell ref="A3:G3"/>
  </mergeCells>
  <pageMargins left="0.70866141732283472" right="0.70866141732283472" top="0.74803149606299213" bottom="0.74803149606299213" header="0.31496062992125984" footer="0.31496062992125984"/>
  <pageSetup paperSize="9" scale="96" orientation="portrait" r:id="rId1"/>
  <headerFooter>
    <oddFooter>&amp;Lv.01.01.2025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INTRO</vt:lpstr>
      <vt:lpstr>A.Exploitation</vt:lpstr>
      <vt:lpstr>B.Animaux</vt:lpstr>
      <vt:lpstr>C.Eaux usées</vt:lpstr>
      <vt:lpstr>D.Fosse et fumière</vt:lpstr>
      <vt:lpstr>E.Attestations</vt:lpstr>
      <vt:lpstr>A.Exploitation!Zone_d_impression</vt:lpstr>
      <vt:lpstr>B.Animaux!Zone_d_impression</vt:lpstr>
      <vt:lpstr>'C.Eaux usées'!Zone_d_impression</vt:lpstr>
      <vt:lpstr>'D.Fosse et fumière'!Zone_d_impression</vt:lpstr>
      <vt:lpstr>E.Attestations!Zone_d_impression</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Franck Charlotte</dc:creator>
  <cp:lastModifiedBy>Krause Aurélien</cp:lastModifiedBy>
  <cp:lastPrinted>2024-12-06T14:10:05Z</cp:lastPrinted>
  <dcterms:created xsi:type="dcterms:W3CDTF">2019-12-06T08:18:29Z</dcterms:created>
  <dcterms:modified xsi:type="dcterms:W3CDTF">2024-12-13T07:54:51Z</dcterms:modified>
</cp:coreProperties>
</file>