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LPTherm - Travail\3. Conseils, consultation\191. REE 2023\Livrables\"/>
    </mc:Choice>
  </mc:AlternateContent>
  <bookViews>
    <workbookView xWindow="0" yWindow="0" windowWidth="24000" windowHeight="9510"/>
  </bookViews>
  <sheets>
    <sheet name="Simulation" sheetId="1" r:id="rId1"/>
    <sheet name="Aides" sheetId="2" state="hidden" r:id="rId2"/>
  </sheets>
  <definedNames>
    <definedName name="AideFin_max">Aides!$G$34</definedName>
    <definedName name="AideFin_min">Aides!$G$35</definedName>
    <definedName name="AideFin_seuil_mini">Aides!$G$36</definedName>
    <definedName name="AideFinREE">Aides!$G$32</definedName>
    <definedName name="AideTaux_max">Aides!$G$33</definedName>
    <definedName name="Payback_max">Aides!$C$39</definedName>
    <definedName name="Payback_min">Aides!$C$40</definedName>
    <definedName name="_xlnm.Print_Area" localSheetId="0">Simulation!$A$1:$O$46</definedName>
  </definedNames>
  <calcPr calcId="162913"/>
</workbook>
</file>

<file path=xl/calcChain.xml><?xml version="1.0" encoding="utf-8"?>
<calcChain xmlns="http://schemas.openxmlformats.org/spreadsheetml/2006/main">
  <c r="C25" i="2" l="1"/>
  <c r="E36" i="1"/>
  <c r="L35" i="1"/>
  <c r="L34" i="1"/>
  <c r="L33" i="1"/>
  <c r="L32" i="1"/>
  <c r="G23" i="1" l="1"/>
  <c r="C27" i="2"/>
  <c r="L44" i="1"/>
  <c r="L43" i="1"/>
  <c r="L42" i="1"/>
  <c r="L41" i="1"/>
  <c r="L31" i="1"/>
  <c r="L40" i="1" s="1"/>
  <c r="J20" i="1" l="1"/>
  <c r="I20" i="1"/>
  <c r="H20" i="1"/>
  <c r="G20" i="1"/>
  <c r="I44" i="1"/>
  <c r="F44" i="1"/>
  <c r="J44" i="1" s="1"/>
  <c r="I43" i="1"/>
  <c r="F43" i="1"/>
  <c r="I42" i="1"/>
  <c r="F42" i="1"/>
  <c r="I41" i="1"/>
  <c r="F41" i="1"/>
  <c r="I40" i="1"/>
  <c r="F40" i="1"/>
  <c r="N36" i="1"/>
  <c r="G32" i="2" s="1"/>
  <c r="M36" i="1"/>
  <c r="L36" i="1"/>
  <c r="J36" i="1"/>
  <c r="I36" i="1"/>
  <c r="H36" i="1"/>
  <c r="G36" i="1"/>
  <c r="J26" i="1"/>
  <c r="I26" i="1"/>
  <c r="H26" i="1"/>
  <c r="G26" i="1"/>
  <c r="J23" i="1"/>
  <c r="I23" i="1"/>
  <c r="H23" i="1"/>
  <c r="C45" i="1"/>
  <c r="D44" i="1"/>
  <c r="C44" i="1"/>
  <c r="D43" i="1"/>
  <c r="C43" i="1"/>
  <c r="D42" i="1"/>
  <c r="C42" i="1"/>
  <c r="D41" i="1"/>
  <c r="C41" i="1"/>
  <c r="D40" i="1"/>
  <c r="C40" i="1"/>
  <c r="L45" i="1" l="1"/>
  <c r="C28" i="2"/>
  <c r="J43" i="1"/>
  <c r="J42" i="1"/>
  <c r="J41" i="1"/>
  <c r="E41" i="1"/>
  <c r="H41" i="1" s="1"/>
  <c r="K41" i="1" s="1"/>
  <c r="G43" i="1"/>
  <c r="G40" i="1"/>
  <c r="E43" i="1"/>
  <c r="H43" i="1" s="1"/>
  <c r="K43" i="1" s="1"/>
  <c r="E42" i="1"/>
  <c r="H42" i="1" s="1"/>
  <c r="K42" i="1" s="1"/>
  <c r="G44" i="1"/>
  <c r="G41" i="1"/>
  <c r="E40" i="1"/>
  <c r="H40" i="1" s="1"/>
  <c r="K40" i="1" s="1"/>
  <c r="G42" i="1"/>
  <c r="E44" i="1"/>
  <c r="H44" i="1" s="1"/>
  <c r="K44" i="1" s="1"/>
  <c r="I45" i="1"/>
  <c r="F45" i="1"/>
  <c r="J40" i="1"/>
  <c r="L46" i="1" l="1"/>
  <c r="C29" i="2"/>
  <c r="G33" i="2" s="1"/>
  <c r="F34" i="2" s="1"/>
  <c r="J45" i="1"/>
  <c r="J46" i="1" s="1"/>
  <c r="G45" i="1"/>
  <c r="E45" i="1"/>
  <c r="H45" i="1"/>
  <c r="K45" i="1" s="1"/>
  <c r="M45" i="1" l="1"/>
  <c r="F33" i="2"/>
  <c r="F35" i="2" s="1"/>
  <c r="F36" i="2" l="1"/>
  <c r="H32" i="2" s="1"/>
  <c r="H36" i="2" l="1"/>
  <c r="E36" i="2" s="1"/>
  <c r="H35" i="2"/>
  <c r="E35" i="2" s="1"/>
  <c r="H33" i="2"/>
  <c r="E33" i="2" s="1"/>
  <c r="E32" i="2"/>
  <c r="H34" i="2"/>
  <c r="E34" i="2" s="1"/>
  <c r="N40" i="1" l="1"/>
  <c r="N41" i="1"/>
  <c r="M42" i="1"/>
  <c r="N43" i="1"/>
  <c r="M41" i="1"/>
  <c r="N42" i="1"/>
  <c r="N44" i="1"/>
  <c r="M43" i="1"/>
  <c r="M44" i="1"/>
  <c r="M40" i="1"/>
</calcChain>
</file>

<file path=xl/comments1.xml><?xml version="1.0" encoding="utf-8"?>
<comments xmlns="http://schemas.openxmlformats.org/spreadsheetml/2006/main">
  <authors>
    <author>Krummenacher Pierre</author>
  </authors>
  <commentList>
    <comment ref="F30" authorId="0" shapeId="0">
      <text>
        <r>
          <rPr>
            <sz val="9"/>
            <color indexed="81"/>
            <rFont val="Tahoma"/>
            <family val="2"/>
          </rPr>
          <t>PEInv = Part énergétique de l'investissement
0&lt; PEInv ≤ 1
Voir principes de détermination de Peinv à la Section I.II des Conditions générales REE</t>
        </r>
      </text>
    </comment>
    <comment ref="K30" authorId="0" shapeId="0">
      <text>
        <r>
          <rPr>
            <sz val="9"/>
            <color indexed="81"/>
            <rFont val="Tahoma"/>
            <family val="2"/>
          </rPr>
          <t>NbA_APE = durée de vie (durée d'effet) probable de l'APE 
 Section I.IV des Conditions générales REE</t>
        </r>
      </text>
    </comment>
  </commentList>
</comments>
</file>

<file path=xl/sharedStrings.xml><?xml version="1.0" encoding="utf-8"?>
<sst xmlns="http://schemas.openxmlformats.org/spreadsheetml/2006/main" count="123" uniqueCount="109">
  <si>
    <t>Outil de calcul des valeurs déterminantes de votre projet</t>
  </si>
  <si>
    <r>
      <t xml:space="preserve">Elle quantifie notamment l'effet de l'aide financière sollicitée de REE </t>
    </r>
    <r>
      <rPr>
        <i/>
        <sz val="11"/>
        <color rgb="FF000000"/>
        <rFont val="Arial Narrow"/>
        <family val="2"/>
      </rPr>
      <t>(AideFinREE</t>
    </r>
    <r>
      <rPr>
        <sz val="11"/>
        <color rgb="FF000000"/>
        <rFont val="Arial Narrow"/>
        <family val="2"/>
      </rPr>
      <t xml:space="preserve">) sur le facteur de mérite </t>
    </r>
    <r>
      <rPr>
        <i/>
        <sz val="11"/>
        <color rgb="FF000000"/>
        <rFont val="Arial Narrow"/>
        <family val="2"/>
      </rPr>
      <t xml:space="preserve">Efficacité des coûts subventionnés </t>
    </r>
    <r>
      <rPr>
        <sz val="11"/>
        <color rgb="FF000000"/>
        <rFont val="Arial Narrow"/>
        <family val="2"/>
      </rPr>
      <t>(</t>
    </r>
    <r>
      <rPr>
        <i/>
        <sz val="11"/>
        <color rgb="FF000000"/>
        <rFont val="Arial Narrow"/>
        <family val="2"/>
      </rPr>
      <t>EfficAideFinREE</t>
    </r>
    <r>
      <rPr>
        <sz val="11"/>
        <color rgb="FF000000"/>
        <rFont val="Arial Narrow"/>
        <family val="2"/>
      </rPr>
      <t>)</t>
    </r>
  </si>
  <si>
    <t>Vous pouvez analyser la sensibilité des valeurs déterminantes pour REE aux incertitudes pouvant exister à ce stade sur les économies d'énergie et/ou sur les coûts d'investissement</t>
  </si>
  <si>
    <t>Marche à suivre:</t>
  </si>
  <si>
    <t>Pré-requis: avoir calculé de manière approximative (mais réaliste !) les économies d'énergie engendrées par chaque APE et les investissements (avec TVA)</t>
  </si>
  <si>
    <t>cellule à renseigner</t>
  </si>
  <si>
    <t>cellule optionnelle (si vous souhaitez "écraser" la valeur par défaut)</t>
  </si>
  <si>
    <t>XXXX</t>
  </si>
  <si>
    <t>valeur recopiée ou résultat de calcul</t>
  </si>
  <si>
    <t>Energie type 1</t>
  </si>
  <si>
    <t>Energie type 2</t>
  </si>
  <si>
    <t>Energie type 3</t>
  </si>
  <si>
    <t>Energie type 4</t>
  </si>
  <si>
    <t>Vecteur énergét.</t>
  </si>
  <si>
    <t>Facteur de pondération [-]</t>
  </si>
  <si>
    <t>valeur standard</t>
  </si>
  <si>
    <t>valeur spéciale</t>
  </si>
  <si>
    <t>Prix [CHF/kWh]</t>
  </si>
  <si>
    <t>Facteur d'émissions [kgCO2/kWh]</t>
  </si>
  <si>
    <t>valeur par défaut</t>
  </si>
  <si>
    <t>n° APE</t>
  </si>
  <si>
    <t>Descriptif abrégé de l'APE</t>
  </si>
  <si>
    <t>Exclure APE ?</t>
  </si>
  <si>
    <t>EcoEner 1
[kWh/an]</t>
  </si>
  <si>
    <t>EcoEner 2
[kWh/an]</t>
  </si>
  <si>
    <t>EcoEner 3
[kWh/an]</t>
  </si>
  <si>
    <t>EcoEner 4
[kWh/an]</t>
  </si>
  <si>
    <t>NbA_APE
[an]</t>
  </si>
  <si>
    <t>CAPEXtot
[CHF]</t>
  </si>
  <si>
    <t>Subv. hors REE
[CHF]</t>
  </si>
  <si>
    <t>AideFinREE
[CHF]</t>
  </si>
  <si>
    <t>APE 1</t>
  </si>
  <si>
    <t>APE 2</t>
  </si>
  <si>
    <t>APE 3</t>
  </si>
  <si>
    <t>APE 4</t>
  </si>
  <si>
    <t>APE 5</t>
  </si>
  <si>
    <t>Projet</t>
  </si>
  <si>
    <t>Valeurs pour APE non exclues !</t>
  </si>
  <si>
    <t>APE exclue</t>
  </si>
  <si>
    <t>EcoEnerAn*
[kWh*/an]</t>
  </si>
  <si>
    <t>EcoOPEX
[CHF/an]</t>
  </si>
  <si>
    <t>Réd. Emis. CO2
[toCO2/an]</t>
  </si>
  <si>
    <t>EcoEnerCum*
[kWh*]</t>
  </si>
  <si>
    <t>EfficAideFinREE
[CHF/kWh*]</t>
  </si>
  <si>
    <t>Position. de l'Aide REE sollicitée par rapport aux valeurs limites min et max</t>
  </si>
  <si>
    <t>Facteur de Pondération</t>
  </si>
  <si>
    <t>Fact. Émiss. CO2 [kgCO2/kWh]</t>
  </si>
  <si>
    <t>Mazout</t>
  </si>
  <si>
    <t>Gaz naturel</t>
  </si>
  <si>
    <t>Propane</t>
  </si>
  <si>
    <t>Butane</t>
  </si>
  <si>
    <t>Charbon</t>
  </si>
  <si>
    <t>Déch. comb. fossiles</t>
  </si>
  <si>
    <t>selon mix combust.</t>
  </si>
  <si>
    <t>Bois</t>
  </si>
  <si>
    <t>Biogaz</t>
  </si>
  <si>
    <t>Chaleur solaire</t>
  </si>
  <si>
    <t>Chaleur CAD</t>
  </si>
  <si>
    <t>Electricité</t>
  </si>
  <si>
    <t>Année REE</t>
  </si>
  <si>
    <t>Delta taux avec autres subventions</t>
  </si>
  <si>
    <t>Taux max max REE</t>
  </si>
  <si>
    <t>Taux aide max REE sans autres subventions</t>
  </si>
  <si>
    <t>Taux aide max REE avec autres subventions</t>
  </si>
  <si>
    <t>Taux aide max REE effectif</t>
  </si>
  <si>
    <t>Aide sollicitée REE</t>
  </si>
  <si>
    <t>AideFinREE sollicitée</t>
  </si>
  <si>
    <t>Aide Taux max</t>
  </si>
  <si>
    <t>Aide max selon taux</t>
  </si>
  <si>
    <t>Aide maximale</t>
  </si>
  <si>
    <t>Montant max. possible</t>
  </si>
  <si>
    <t>Aide minimale</t>
  </si>
  <si>
    <t>Montant min. standard</t>
  </si>
  <si>
    <t>Aide seuil mini</t>
  </si>
  <si>
    <t>Montant seuil min.</t>
  </si>
  <si>
    <t>Durée payback max</t>
  </si>
  <si>
    <t>Durée payback min</t>
  </si>
  <si>
    <t>Exclure APE</t>
  </si>
  <si>
    <r>
      <t xml:space="preserve">Economie d'énergie résultant de l'APE
</t>
    </r>
    <r>
      <rPr>
        <b/>
        <sz val="11"/>
        <color rgb="FFFF0000"/>
        <rFont val="Arial Narrow"/>
        <family val="2"/>
      </rPr>
      <t>signe + = économies ; signe - = augmentation de consommation</t>
    </r>
  </si>
  <si>
    <r>
      <t xml:space="preserve">Ainsi, vous pouvez ajuster cette aide financière afin de trouver un bon compromis entre une rentabilité acceptable de l'investissement et la </t>
    </r>
    <r>
      <rPr>
        <i/>
        <sz val="11"/>
        <color rgb="FF000000"/>
        <rFont val="Arial Narrow"/>
        <family val="2"/>
      </rPr>
      <t xml:space="preserve">compétitivité REE </t>
    </r>
    <r>
      <rPr>
        <sz val="11"/>
        <color rgb="FF000000"/>
        <rFont val="Arial Narrow"/>
        <family val="2"/>
      </rPr>
      <t xml:space="preserve">du projet (valeur </t>
    </r>
    <r>
      <rPr>
        <i/>
        <sz val="11"/>
        <color rgb="FF000000"/>
        <rFont val="Arial Narrow"/>
        <family val="2"/>
      </rPr>
      <t xml:space="preserve">EfficAideFinREE </t>
    </r>
    <r>
      <rPr>
        <sz val="11"/>
        <color rgb="FF000000"/>
        <rFont val="Arial Narrow"/>
        <family val="2"/>
      </rPr>
      <t>petite)</t>
    </r>
  </si>
  <si>
    <r>
      <t xml:space="preserve">Si votre projet inclut a priori plusieurs APE indépendantes, vous pouvez vérifier lesquelles sont les plus intéressantes et laquelle (ou lesquelles) "laisser tomber" car pénalisante(s) (contrôle rapide par la colonne </t>
    </r>
    <r>
      <rPr>
        <i/>
        <sz val="11"/>
        <color rgb="FF000000"/>
        <rFont val="Arial Narrow"/>
        <family val="2"/>
      </rPr>
      <t>Exclure APE ?</t>
    </r>
    <r>
      <rPr>
        <sz val="11"/>
        <color rgb="FF000000"/>
        <rFont val="Arial Narrow"/>
        <family val="2"/>
      </rPr>
      <t>)</t>
    </r>
  </si>
  <si>
    <t>But et fonctionnalités principales:</t>
  </si>
  <si>
    <t>2. renseignez pour chaque vecteur sélectionné le prix (partie variable, TVA et taxe CO2 comprises)</t>
  </si>
  <si>
    <t>1. sélectionnez les vecteurs énergétiques (types d'énergie) sur lesquels les APE ont un effet (4 vecteurs au maximum, menu déroulant)</t>
  </si>
  <si>
    <t>3. renseignez le facteur d'émission pour les combustibles spéciaux si le potentiel de réduction CO2 est important pour votre entreprise (ces valeurs ne sont pas déterminantes pour le programme REE)</t>
  </si>
  <si>
    <r>
      <t>5. analysez les résultats (les économies, l'efficacité des coûts, ...), et vérifiez si les conditions sur le payback (</t>
    </r>
    <r>
      <rPr>
        <sz val="11"/>
        <color rgb="FF000000"/>
        <rFont val="Calibri"/>
        <family val="2"/>
      </rPr>
      <t>≥</t>
    </r>
    <r>
      <rPr>
        <sz val="11"/>
        <color rgb="FF000000"/>
        <rFont val="Arial Narrow"/>
        <family val="2"/>
      </rPr>
      <t xml:space="preserve">4 et </t>
    </r>
    <r>
      <rPr>
        <sz val="11"/>
        <color rgb="FF000000"/>
        <rFont val="Calibri"/>
        <family val="2"/>
      </rPr>
      <t>≤</t>
    </r>
    <r>
      <rPr>
        <sz val="11"/>
        <color rgb="FF000000"/>
        <rFont val="Arial Narrow"/>
        <family val="2"/>
      </rPr>
      <t>15 ans) et le montant d'aide REE sollicitée (montants min et max, et taux max. d'aide) sont respectées,  identifiez les APE peu performantes …</t>
    </r>
  </si>
  <si>
    <t>6. adaptez le taux d'aide, excluez certaines  APEs peu perfomantes, analysez l'effet des incertitudes (économies d'énergie, coûts d'investissement, ...) sur les valeurs déterminantes pour le programme REE, etc.</t>
  </si>
  <si>
    <t>Elle vous indique également, pour votre projet, entre quelles limites haute et basse l'aide financière sollicitée de REE doit se trouver (en valeur relative et absolue). Ces limites dépendent des coûts d'investissments et des subventions hors REE !</t>
  </si>
  <si>
    <t>Rétribution des économies d'énergies par le biais d'appel à projets - REE 2023</t>
  </si>
  <si>
    <r>
      <t xml:space="preserve">Cette feuille de calcul vous permet de calculer rapidement les valeurs déterminantes de votre projet pour le programme REE (à données d'entrée identiques, les résultats sont identiques à ceux du formulaire </t>
    </r>
    <r>
      <rPr>
        <i/>
        <sz val="11"/>
        <color rgb="FF000000"/>
        <rFont val="Arial Narrow"/>
        <family val="2"/>
      </rPr>
      <t xml:space="preserve">REE-2023_Dépôt_projet_définitif </t>
    </r>
    <r>
      <rPr>
        <sz val="11"/>
        <color rgb="FF000000"/>
        <rFont val="Arial Narrow"/>
        <family val="2"/>
      </rPr>
      <t>!)</t>
    </r>
  </si>
  <si>
    <t>Electricité NER sur site</t>
  </si>
  <si>
    <t>Autre</t>
  </si>
  <si>
    <t>à convenir</t>
  </si>
  <si>
    <t>Déch. comb. organiques</t>
  </si>
  <si>
    <t>selon composition</t>
  </si>
  <si>
    <t>Chaleur amb. &amp; géoth.</t>
  </si>
  <si>
    <t>Carburant fossiles</t>
  </si>
  <si>
    <t>selon part fossile</t>
  </si>
  <si>
    <t>Inventaire des gaz à effet de serre de la Suisse (admin.ch)</t>
  </si>
  <si>
    <t>https://pubdb.bfe.admin.ch/fr/publication/download/10935</t>
  </si>
  <si>
    <t>Rejets thermiques</t>
  </si>
  <si>
    <t>4. renseignez les APE de votre projet (lignes 30 à 34). Si vous constatez des valeurs "erronées", vérifiez que chaque cellule verte pour les APE de votre projet soit bien renseignée (ainsi que les cellules bleue en cas de valeur spéciale)</t>
  </si>
  <si>
    <t>PEInv
[-]</t>
  </si>
  <si>
    <r>
      <t>CAPEX</t>
    </r>
    <r>
      <rPr>
        <b/>
        <vertAlign val="subscript"/>
        <sz val="10"/>
        <color rgb="FF0000FF"/>
        <rFont val="Arial Narrow"/>
        <family val="2"/>
      </rPr>
      <t>REE net</t>
    </r>
    <r>
      <rPr>
        <b/>
        <sz val="10"/>
        <color rgb="FF0000FF"/>
        <rFont val="Arial Narrow"/>
        <family val="2"/>
      </rPr>
      <t xml:space="preserve">
[CHF]</t>
    </r>
  </si>
  <si>
    <r>
      <t>CAPEX</t>
    </r>
    <r>
      <rPr>
        <b/>
        <vertAlign val="subscript"/>
        <sz val="10"/>
        <color rgb="FF3333FF"/>
        <rFont val="Arial Narrow"/>
        <family val="2"/>
      </rPr>
      <t>REE</t>
    </r>
    <r>
      <rPr>
        <b/>
        <sz val="10"/>
        <color rgb="FF3333FF"/>
        <rFont val="Arial Narrow"/>
        <family val="2"/>
      </rPr>
      <t xml:space="preserve">
[CHF]</t>
    </r>
  </si>
  <si>
    <r>
      <t>Taux aide (Subv</t>
    </r>
    <r>
      <rPr>
        <b/>
        <vertAlign val="subscript"/>
        <sz val="10"/>
        <color rgb="FF0000FF"/>
        <rFont val="Arial Narrow"/>
        <family val="2"/>
      </rPr>
      <t>hors REE</t>
    </r>
    <r>
      <rPr>
        <b/>
        <sz val="10"/>
        <color rgb="FF0000FF"/>
        <rFont val="Arial Narrow"/>
        <family val="2"/>
      </rPr>
      <t xml:space="preserve"> + AideFinREE) [%]</t>
    </r>
  </si>
  <si>
    <t>Payback REE
[an]</t>
  </si>
  <si>
    <r>
      <rPr>
        <sz val="11"/>
        <color rgb="FF000000"/>
        <rFont val="Wingdings"/>
        <charset val="2"/>
      </rPr>
      <t xml:space="preserve">Ø </t>
    </r>
    <r>
      <rPr>
        <sz val="11"/>
        <color rgb="FF000000"/>
        <rFont val="Arial Narrow"/>
        <family val="2"/>
      </rPr>
      <t>Voir</t>
    </r>
  </si>
  <si>
    <t>Taux max (Subv. Hors REE + AideFinREE)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</si>
</sst>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
    <numFmt numFmtId="167" formatCode="0.0%"/>
  </numFmts>
  <fonts count="39">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sz val="11"/>
      <color rgb="FF000000"/>
      <name val="Arial Narrow"/>
      <family val="2"/>
    </font>
    <font>
      <sz val="14"/>
      <color rgb="FF000000"/>
      <name val="Arial"/>
      <family val="2"/>
    </font>
    <font>
      <b/>
      <sz val="14"/>
      <color rgb="FF000000"/>
      <name val="Arial"/>
      <family val="2"/>
    </font>
    <font>
      <i/>
      <sz val="11"/>
      <color rgb="FF000000"/>
      <name val="Arial Narrow"/>
      <family val="2"/>
    </font>
    <font>
      <sz val="10"/>
      <color rgb="FF000000"/>
      <name val="Arial Narrow"/>
      <family val="2"/>
    </font>
    <font>
      <sz val="11"/>
      <color rgb="FF0000FF"/>
      <name val="Arial Narrow"/>
      <family val="2"/>
    </font>
    <font>
      <sz val="9"/>
      <color rgb="FFFF0000"/>
      <name val="Arial Narrow"/>
      <family val="2"/>
    </font>
    <font>
      <b/>
      <sz val="10"/>
      <color rgb="FF000000"/>
      <name val="Arial Narrow"/>
      <family val="2"/>
    </font>
    <font>
      <sz val="10"/>
      <color rgb="FF0000FF"/>
      <name val="Arial Narrow"/>
      <family val="2"/>
    </font>
    <font>
      <b/>
      <sz val="10"/>
      <color rgb="FF0000FF"/>
      <name val="Arial Narrow"/>
      <family val="2"/>
    </font>
    <font>
      <sz val="10"/>
      <color rgb="FFFF0000"/>
      <name val="Arial Narrow"/>
      <family val="2"/>
    </font>
    <font>
      <sz val="10"/>
      <color rgb="FF000000"/>
      <name val="NimbusRomNo9L-Regu"/>
    </font>
    <font>
      <sz val="11"/>
      <color rgb="FF0000FF"/>
      <name val="Calibri"/>
      <family val="2"/>
    </font>
    <font>
      <sz val="10"/>
      <color rgb="FF3333FF"/>
      <name val="Arial Narrow"/>
      <family val="2"/>
    </font>
    <font>
      <b/>
      <sz val="11"/>
      <color rgb="FFFF0000"/>
      <name val="Arial Narrow"/>
      <family val="2"/>
    </font>
    <font>
      <b/>
      <sz val="11"/>
      <color rgb="FF000000"/>
      <name val="Arial Narrow"/>
      <family val="2"/>
    </font>
    <font>
      <b/>
      <vertAlign val="subscript"/>
      <sz val="10"/>
      <color rgb="FF0000FF"/>
      <name val="Arial Narrow"/>
      <family val="2"/>
    </font>
    <font>
      <u/>
      <sz val="11"/>
      <color theme="10"/>
      <name val="Calibri"/>
      <family val="2"/>
    </font>
    <font>
      <sz val="9"/>
      <color indexed="81"/>
      <name val="Tahoma"/>
      <family val="2"/>
    </font>
    <font>
      <b/>
      <sz val="10"/>
      <color rgb="FF3333FF"/>
      <name val="Arial Narrow"/>
      <family val="2"/>
    </font>
    <font>
      <b/>
      <vertAlign val="subscript"/>
      <sz val="10"/>
      <color rgb="FF3333FF"/>
      <name val="Arial Narrow"/>
      <family val="2"/>
    </font>
    <font>
      <sz val="8"/>
      <color rgb="FF000000"/>
      <name val="Arial Narrow"/>
      <family val="2"/>
    </font>
    <font>
      <sz val="11"/>
      <color rgb="FF000000"/>
      <name val="Wingdings"/>
      <charset val="2"/>
    </font>
    <font>
      <sz val="11"/>
      <color rgb="FF3333FF"/>
      <name val="Calibri"/>
      <family val="2"/>
    </font>
  </fonts>
  <fills count="2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0C0C0"/>
        <bgColor rgb="FFC0C0C0"/>
      </patternFill>
    </fill>
    <fill>
      <patternFill patternType="solid">
        <fgColor rgb="FFFFFF00"/>
        <bgColor rgb="FFFFFF00"/>
      </patternFill>
    </fill>
    <fill>
      <patternFill patternType="solid">
        <fgColor rgb="FFCC0000"/>
        <bgColor rgb="FFCC0000"/>
      </patternFill>
    </fill>
    <fill>
      <patternFill patternType="solid">
        <fgColor rgb="FFDEEBF7"/>
        <bgColor rgb="FFDEEBF7"/>
      </patternFill>
    </fill>
    <fill>
      <patternFill patternType="solid">
        <fgColor rgb="FFE2F0D9"/>
        <bgColor rgb="FFE2F0D9"/>
      </patternFill>
    </fill>
    <fill>
      <patternFill patternType="solid">
        <fgColor rgb="FFCCFFCC"/>
        <bgColor rgb="FFCCFFCC"/>
      </patternFill>
    </fill>
    <fill>
      <patternFill patternType="solid">
        <fgColor rgb="FFFFFFCC"/>
        <bgColor rgb="FFFFFFCC"/>
      </patternFill>
    </fill>
    <fill>
      <patternFill patternType="solid">
        <fgColor rgb="FFD9D9D9"/>
        <bgColor rgb="FFD9D9D9"/>
      </patternFill>
    </fill>
    <fill>
      <patternFill patternType="solid">
        <fgColor rgb="FFFFFFFF"/>
        <bgColor rgb="FFFFFFFF"/>
      </patternFill>
    </fill>
    <fill>
      <patternFill patternType="lightDown"/>
    </fill>
    <fill>
      <patternFill patternType="lightDown">
        <fgColor auto="1"/>
        <bgColor auto="1"/>
      </patternFill>
    </fill>
    <fill>
      <patternFill patternType="solid">
        <fgColor rgb="FF92D050"/>
        <bgColor indexed="64"/>
      </patternFill>
    </fill>
    <fill>
      <patternFill patternType="solid">
        <fgColor theme="0"/>
        <bgColor rgb="FFD9D9D9"/>
      </patternFill>
    </fill>
    <fill>
      <patternFill patternType="solid">
        <fgColor rgb="FFFFFF00"/>
        <bgColor rgb="FFD9D9D9"/>
      </patternFill>
    </fill>
    <fill>
      <patternFill patternType="solid">
        <fgColor rgb="FFFFFF00"/>
        <bgColor indexed="64"/>
      </patternFill>
    </fill>
  </fills>
  <borders count="35">
    <border>
      <left/>
      <right/>
      <top/>
      <bottom/>
      <diagonal/>
    </border>
    <border>
      <left style="thin">
        <color rgb="FF808080"/>
      </left>
      <right style="thin">
        <color rgb="FF808080"/>
      </right>
      <top style="thin">
        <color rgb="FF808080"/>
      </top>
      <bottom style="thin">
        <color rgb="FF80808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double">
        <color auto="1"/>
      </bottom>
      <diagonal/>
    </border>
    <border>
      <left style="hair">
        <color rgb="FF000000"/>
      </left>
      <right style="hair">
        <color rgb="FF000000"/>
      </right>
      <top style="hair">
        <color rgb="FF000000"/>
      </top>
      <bottom style="double">
        <color auto="1"/>
      </bottom>
      <diagonal/>
    </border>
    <border>
      <left style="hair">
        <color rgb="FF000000"/>
      </left>
      <right style="thin">
        <color rgb="FF000000"/>
      </right>
      <top style="hair">
        <color rgb="FF000000"/>
      </top>
      <bottom style="double">
        <color auto="1"/>
      </bottom>
      <diagonal/>
    </border>
    <border>
      <left style="thin">
        <color rgb="FF000000"/>
      </left>
      <right style="hair">
        <color rgb="FF000000"/>
      </right>
      <top style="double">
        <color auto="1"/>
      </top>
      <bottom style="thin">
        <color rgb="FF000000"/>
      </bottom>
      <diagonal/>
    </border>
    <border>
      <left style="hair">
        <color rgb="FF000000"/>
      </left>
      <right style="hair">
        <color rgb="FF000000"/>
      </right>
      <top style="double">
        <color auto="1"/>
      </top>
      <bottom style="thin">
        <color rgb="FF000000"/>
      </bottom>
      <diagonal/>
    </border>
    <border>
      <left style="hair">
        <color rgb="FF000000"/>
      </left>
      <right style="thin">
        <color rgb="FF000000"/>
      </right>
      <top style="double">
        <color auto="1"/>
      </top>
      <bottom style="thin">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double">
        <color auto="1"/>
      </bottom>
      <diagonal/>
    </border>
    <border>
      <left/>
      <right style="thin">
        <color rgb="FF000000"/>
      </right>
      <top style="hair">
        <color rgb="FF000000"/>
      </top>
      <bottom style="double">
        <color auto="1"/>
      </bottom>
      <diagonal/>
    </border>
    <border>
      <left style="hair">
        <color rgb="FF000000"/>
      </left>
      <right style="hair">
        <color rgb="FF000000"/>
      </right>
      <top/>
      <bottom style="hair">
        <color rgb="FF000000"/>
      </bottom>
      <diagonal/>
    </border>
    <border>
      <left style="hair">
        <color rgb="FF000000"/>
      </left>
      <right/>
      <top style="thin">
        <color rgb="FF000000"/>
      </top>
      <bottom style="hair">
        <color rgb="FF000000"/>
      </bottom>
      <diagonal/>
    </border>
    <border>
      <left style="hair">
        <color rgb="FF000000"/>
      </left>
      <right/>
      <top style="double">
        <color auto="1"/>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double">
        <color auto="1"/>
      </bottom>
      <diagonal/>
    </border>
    <border>
      <left/>
      <right/>
      <top style="hair">
        <color rgb="FF000000"/>
      </top>
      <bottom style="thin">
        <color rgb="FF000000"/>
      </bottom>
      <diagonal/>
    </border>
    <border>
      <left/>
      <right style="thin">
        <color rgb="FF000000"/>
      </right>
      <top style="thin">
        <color rgb="FF000000"/>
      </top>
      <bottom/>
      <diagonal/>
    </border>
    <border>
      <left style="thin">
        <color theme="0"/>
      </left>
      <right style="hair">
        <color rgb="FF000000"/>
      </right>
      <top style="thin">
        <color theme="0"/>
      </top>
      <bottom style="thin">
        <color rgb="FF000000"/>
      </bottom>
      <diagonal/>
    </border>
    <border>
      <left style="hair">
        <color rgb="FF000000"/>
      </left>
      <right style="thin">
        <color rgb="FF000000"/>
      </right>
      <top style="thin">
        <color theme="0"/>
      </top>
      <bottom style="thin">
        <color rgb="FF000000"/>
      </bottom>
      <diagonal/>
    </border>
  </borders>
  <cellStyleXfs count="22">
    <xf numFmtId="0" fontId="0" fillId="0" borderId="0"/>
    <xf numFmtId="0" fontId="13" fillId="12" borderId="1"/>
    <xf numFmtId="0" fontId="2" fillId="0" borderId="0"/>
    <xf numFmtId="0" fontId="3" fillId="2" borderId="0"/>
    <xf numFmtId="0" fontId="3" fillId="3" borderId="0"/>
    <xf numFmtId="0" fontId="2" fillId="4" borderId="0"/>
    <xf numFmtId="0" fontId="4" fillId="5" borderId="0"/>
    <xf numFmtId="0" fontId="1" fillId="6" borderId="0"/>
    <xf numFmtId="0" fontId="5" fillId="8" borderId="0"/>
    <xf numFmtId="0" fontId="1" fillId="0" borderId="0"/>
    <xf numFmtId="0" fontId="6" fillId="0" borderId="0"/>
    <xf numFmtId="0" fontId="7" fillId="11" borderId="0"/>
    <xf numFmtId="0" fontId="8" fillId="0" borderId="0"/>
    <xf numFmtId="0" fontId="9" fillId="0" borderId="0"/>
    <xf numFmtId="0" fontId="10" fillId="0" borderId="0"/>
    <xf numFmtId="0" fontId="11" fillId="0" borderId="0"/>
    <xf numFmtId="0" fontId="12" fillId="12" borderId="0"/>
    <xf numFmtId="0" fontId="14" fillId="0" borderId="0"/>
    <xf numFmtId="0" fontId="1" fillId="0" borderId="0"/>
    <xf numFmtId="0" fontId="1" fillId="0" borderId="0"/>
    <xf numFmtId="0" fontId="4" fillId="0" borderId="0"/>
    <xf numFmtId="0" fontId="32" fillId="0" borderId="0" applyNumberFormat="0" applyFill="0" applyBorder="0" applyAlignment="0" applyProtection="0"/>
  </cellStyleXfs>
  <cellXfs count="132">
    <xf numFmtId="0" fontId="0" fillId="0" borderId="0" xfId="0"/>
    <xf numFmtId="0" fontId="15" fillId="0" borderId="0" xfId="0" applyFont="1"/>
    <xf numFmtId="0" fontId="15" fillId="0" borderId="0" xfId="0" applyFont="1" applyBorder="1"/>
    <xf numFmtId="0" fontId="15" fillId="0" borderId="2" xfId="0" applyFont="1" applyBorder="1"/>
    <xf numFmtId="0" fontId="15" fillId="10" borderId="3" xfId="0" applyFont="1" applyFill="1" applyBorder="1"/>
    <xf numFmtId="0" fontId="15" fillId="9" borderId="3" xfId="0" applyFont="1" applyFill="1" applyBorder="1"/>
    <xf numFmtId="0" fontId="20" fillId="0" borderId="3" xfId="0" applyFont="1" applyBorder="1" applyAlignment="1">
      <alignment horizontal="center" vertical="center"/>
    </xf>
    <xf numFmtId="0" fontId="21" fillId="0" borderId="0" xfId="0" applyFont="1" applyAlignment="1">
      <alignment horizontal="center"/>
    </xf>
    <xf numFmtId="0" fontId="15" fillId="0" borderId="4" xfId="0" applyFont="1" applyBorder="1"/>
    <xf numFmtId="0" fontId="19" fillId="0" borderId="0" xfId="0" applyFont="1"/>
    <xf numFmtId="0" fontId="22"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wrapText="1"/>
    </xf>
    <xf numFmtId="0" fontId="25" fillId="0" borderId="0" xfId="0" applyFont="1" applyAlignment="1">
      <alignment horizontal="center" vertical="center" wrapText="1"/>
    </xf>
    <xf numFmtId="0" fontId="19" fillId="0" borderId="0" xfId="0" applyFont="1" applyAlignment="1">
      <alignment horizontal="center"/>
    </xf>
    <xf numFmtId="0" fontId="26" fillId="0" borderId="6" xfId="0" applyFont="1" applyBorder="1" applyAlignment="1">
      <alignment horizontal="left" vertical="center" wrapText="1"/>
    </xf>
    <xf numFmtId="0" fontId="26" fillId="0" borderId="6" xfId="0" applyFont="1" applyBorder="1" applyAlignment="1">
      <alignment horizontal="center" vertical="center" wrapText="1"/>
    </xf>
    <xf numFmtId="164" fontId="26" fillId="0" borderId="6" xfId="0" applyNumberFormat="1" applyFont="1" applyBorder="1" applyAlignment="1">
      <alignment horizontal="center" vertical="center" wrapText="1"/>
    </xf>
    <xf numFmtId="0" fontId="26" fillId="0" borderId="7" xfId="0" applyFont="1" applyFill="1" applyBorder="1" applyAlignment="1">
      <alignment horizontal="left" vertical="center" wrapText="1"/>
    </xf>
    <xf numFmtId="0" fontId="0" fillId="0" borderId="7" xfId="0" applyBorder="1" applyAlignment="1">
      <alignment vertical="center"/>
    </xf>
    <xf numFmtId="2" fontId="0" fillId="0" borderId="7" xfId="0" applyNumberFormat="1" applyBorder="1" applyAlignment="1">
      <alignment horizontal="center" vertical="center"/>
    </xf>
    <xf numFmtId="164" fontId="27" fillId="0" borderId="7" xfId="0" applyNumberFormat="1" applyFont="1" applyBorder="1" applyAlignment="1">
      <alignment horizontal="center" vertical="center"/>
    </xf>
    <xf numFmtId="164" fontId="0" fillId="0" borderId="7" xfId="0" applyNumberFormat="1" applyBorder="1" applyAlignment="1">
      <alignment horizontal="center" vertical="center"/>
    </xf>
    <xf numFmtId="0" fontId="27" fillId="0" borderId="7" xfId="0" applyFont="1" applyBorder="1" applyAlignment="1">
      <alignment horizontal="center"/>
    </xf>
    <xf numFmtId="0" fontId="0" fillId="0" borderId="7" xfId="0" applyBorder="1"/>
    <xf numFmtId="3" fontId="27" fillId="0" borderId="7" xfId="0" applyNumberFormat="1" applyFont="1" applyBorder="1" applyAlignment="1">
      <alignment horizontal="center" vertical="center"/>
    </xf>
    <xf numFmtId="3" fontId="0" fillId="0" borderId="7" xfId="0" applyNumberFormat="1" applyBorder="1" applyAlignment="1">
      <alignment horizontal="center" vertical="center"/>
    </xf>
    <xf numFmtId="0" fontId="0" fillId="0" borderId="0" xfId="0" applyBorder="1" applyAlignment="1">
      <alignment vertical="center"/>
    </xf>
    <xf numFmtId="3" fontId="0" fillId="0" borderId="0" xfId="0" applyNumberFormat="1" applyBorder="1" applyAlignment="1">
      <alignment horizontal="center" vertical="center"/>
    </xf>
    <xf numFmtId="2" fontId="19" fillId="0" borderId="12" xfId="0" applyNumberFormat="1" applyFont="1" applyFill="1" applyBorder="1" applyAlignment="1" applyProtection="1">
      <alignment horizontal="center" vertical="center"/>
      <protection locked="0"/>
    </xf>
    <xf numFmtId="2" fontId="19" fillId="0" borderId="13" xfId="0" applyNumberFormat="1" applyFont="1" applyFill="1" applyBorder="1" applyAlignment="1" applyProtection="1">
      <alignment horizontal="center" vertical="center"/>
      <protection locked="0"/>
    </xf>
    <xf numFmtId="164" fontId="19" fillId="10" borderId="12" xfId="0" applyNumberFormat="1" applyFont="1" applyFill="1" applyBorder="1" applyAlignment="1" applyProtection="1">
      <alignment horizontal="center" vertical="center"/>
      <protection locked="0"/>
    </xf>
    <xf numFmtId="164" fontId="19" fillId="10" borderId="13" xfId="0" applyNumberFormat="1" applyFont="1" applyFill="1" applyBorder="1" applyAlignment="1" applyProtection="1">
      <alignment horizontal="center" vertical="center"/>
      <protection locked="0"/>
    </xf>
    <xf numFmtId="0" fontId="22" fillId="13" borderId="8" xfId="0" applyFont="1" applyFill="1" applyBorder="1" applyAlignment="1">
      <alignment horizontal="center" vertical="center"/>
    </xf>
    <xf numFmtId="0" fontId="22" fillId="13" borderId="9" xfId="0" applyFont="1" applyFill="1" applyBorder="1" applyAlignment="1">
      <alignment horizontal="center" vertical="center"/>
    </xf>
    <xf numFmtId="0" fontId="22" fillId="13" borderId="10" xfId="0" applyFont="1" applyFill="1" applyBorder="1" applyAlignment="1">
      <alignment horizontal="center" vertical="center"/>
    </xf>
    <xf numFmtId="0" fontId="19" fillId="10" borderId="12" xfId="0" applyFont="1" applyFill="1" applyBorder="1" applyAlignment="1" applyProtection="1">
      <alignment horizontal="center" vertical="center"/>
      <protection locked="0"/>
    </xf>
    <xf numFmtId="0" fontId="19" fillId="10" borderId="13" xfId="0" applyFont="1" applyFill="1" applyBorder="1" applyAlignment="1" applyProtection="1">
      <alignment horizontal="center" vertical="center"/>
      <protection locked="0"/>
    </xf>
    <xf numFmtId="0" fontId="22" fillId="13" borderId="15" xfId="0" applyFont="1" applyFill="1" applyBorder="1" applyAlignment="1">
      <alignment horizontal="right" vertical="center"/>
    </xf>
    <xf numFmtId="0" fontId="22" fillId="13" borderId="16" xfId="0" applyFont="1" applyFill="1" applyBorder="1" applyAlignment="1">
      <alignment horizontal="right" vertical="center"/>
    </xf>
    <xf numFmtId="0" fontId="15" fillId="0" borderId="0" xfId="0" applyFont="1" applyAlignment="1">
      <alignment vertical="center"/>
    </xf>
    <xf numFmtId="0" fontId="24" fillId="13" borderId="8"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vertical="center" wrapText="1"/>
    </xf>
    <xf numFmtId="0" fontId="23" fillId="0" borderId="12" xfId="0" applyFont="1" applyBorder="1" applyAlignment="1">
      <alignment horizontal="center" vertical="center" wrapText="1"/>
    </xf>
    <xf numFmtId="3" fontId="23" fillId="0" borderId="12" xfId="0" applyNumberFormat="1" applyFont="1" applyBorder="1" applyAlignment="1">
      <alignment horizontal="center" vertical="center" wrapText="1"/>
    </xf>
    <xf numFmtId="165" fontId="23" fillId="0" borderId="12"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vertical="center" wrapText="1"/>
    </xf>
    <xf numFmtId="0" fontId="23" fillId="0" borderId="18" xfId="0" applyFont="1" applyBorder="1" applyAlignment="1">
      <alignment horizontal="center" vertical="center" wrapText="1"/>
    </xf>
    <xf numFmtId="3" fontId="23" fillId="0" borderId="18" xfId="0" applyNumberFormat="1" applyFont="1" applyBorder="1" applyAlignment="1">
      <alignment horizontal="center" vertical="center" wrapText="1"/>
    </xf>
    <xf numFmtId="165" fontId="23" fillId="0" borderId="18" xfId="0" applyNumberFormat="1" applyFont="1" applyBorder="1" applyAlignment="1">
      <alignment horizontal="center" vertical="center" wrapText="1"/>
    </xf>
    <xf numFmtId="0" fontId="22" fillId="13" borderId="8"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10" borderId="12" xfId="0" applyFont="1" applyFill="1" applyBorder="1" applyAlignment="1" applyProtection="1">
      <alignment vertical="center" wrapText="1"/>
      <protection locked="0"/>
    </xf>
    <xf numFmtId="0" fontId="19" fillId="10" borderId="12" xfId="0" applyFont="1" applyFill="1" applyBorder="1" applyAlignment="1" applyProtection="1">
      <alignment horizontal="center" vertical="center" wrapText="1"/>
      <protection locked="0"/>
    </xf>
    <xf numFmtId="1" fontId="19" fillId="10" borderId="12" xfId="0" applyNumberFormat="1" applyFont="1" applyFill="1" applyBorder="1" applyAlignment="1" applyProtection="1">
      <alignment horizontal="center" vertical="center" wrapText="1"/>
      <protection locked="0"/>
    </xf>
    <xf numFmtId="3" fontId="19" fillId="10" borderId="12" xfId="0" applyNumberFormat="1" applyFont="1" applyFill="1" applyBorder="1" applyAlignment="1" applyProtection="1">
      <alignment horizontal="center" vertical="center" wrapText="1"/>
      <protection locked="0"/>
    </xf>
    <xf numFmtId="3" fontId="19" fillId="10" borderId="13" xfId="0" applyNumberFormat="1" applyFont="1" applyFill="1" applyBorder="1" applyAlignment="1" applyProtection="1">
      <alignment horizontal="center" vertical="center" wrapText="1"/>
      <protection locked="0"/>
    </xf>
    <xf numFmtId="0" fontId="19" fillId="0" borderId="17" xfId="0" applyFont="1" applyBorder="1" applyAlignment="1">
      <alignment horizontal="center" vertical="center" wrapText="1"/>
    </xf>
    <xf numFmtId="0" fontId="19" fillId="10" borderId="18" xfId="0" applyFont="1" applyFill="1" applyBorder="1" applyAlignment="1" applyProtection="1">
      <alignment vertical="center" wrapText="1"/>
      <protection locked="0"/>
    </xf>
    <xf numFmtId="0" fontId="19" fillId="10" borderId="18" xfId="0" applyFont="1" applyFill="1" applyBorder="1" applyAlignment="1" applyProtection="1">
      <alignment horizontal="center" vertical="center" wrapText="1"/>
      <protection locked="0"/>
    </xf>
    <xf numFmtId="1" fontId="19" fillId="10" borderId="18" xfId="0" applyNumberFormat="1" applyFont="1" applyFill="1" applyBorder="1" applyAlignment="1" applyProtection="1">
      <alignment horizontal="center" vertical="center" wrapText="1"/>
      <protection locked="0"/>
    </xf>
    <xf numFmtId="3" fontId="19" fillId="10" borderId="18" xfId="0" applyNumberFormat="1" applyFont="1" applyFill="1" applyBorder="1" applyAlignment="1" applyProtection="1">
      <alignment horizontal="center" vertical="center" wrapText="1"/>
      <protection locked="0"/>
    </xf>
    <xf numFmtId="3" fontId="19" fillId="10" borderId="19" xfId="0" applyNumberFormat="1" applyFont="1" applyFill="1" applyBorder="1" applyAlignment="1" applyProtection="1">
      <alignment horizontal="center" vertical="center" wrapText="1"/>
      <protection locked="0"/>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3" fontId="24" fillId="0" borderId="21" xfId="0" applyNumberFormat="1" applyFont="1" applyBorder="1" applyAlignment="1">
      <alignment horizontal="center" vertical="center" wrapText="1"/>
    </xf>
    <xf numFmtId="3" fontId="24" fillId="0" borderId="22" xfId="0" applyNumberFormat="1"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166" fontId="24" fillId="0" borderId="21" xfId="0" applyNumberFormat="1" applyFont="1" applyBorder="1" applyAlignment="1">
      <alignment horizontal="center" vertical="center" wrapText="1"/>
    </xf>
    <xf numFmtId="165" fontId="24" fillId="0" borderId="21" xfId="0" applyNumberFormat="1" applyFont="1" applyBorder="1" applyAlignment="1">
      <alignment horizontal="center" vertical="center" wrapText="1"/>
    </xf>
    <xf numFmtId="164" fontId="24" fillId="7" borderId="21" xfId="0" applyNumberFormat="1" applyFont="1" applyFill="1" applyBorder="1" applyAlignment="1">
      <alignment horizontal="center" vertical="center" wrapText="1"/>
    </xf>
    <xf numFmtId="2" fontId="19" fillId="0" borderId="14" xfId="0" applyNumberFormat="1" applyFont="1" applyBorder="1" applyAlignment="1">
      <alignment horizontal="center" vertical="center" wrapText="1"/>
    </xf>
    <xf numFmtId="2" fontId="19" fillId="0" borderId="14" xfId="0" applyNumberFormat="1" applyFont="1" applyFill="1" applyBorder="1" applyAlignment="1">
      <alignment horizontal="center" vertical="center" wrapText="1"/>
    </xf>
    <xf numFmtId="2" fontId="19" fillId="0" borderId="25" xfId="0" applyNumberFormat="1" applyFont="1" applyBorder="1" applyAlignment="1">
      <alignment horizontal="center" vertical="center" wrapText="1"/>
    </xf>
    <xf numFmtId="0" fontId="22" fillId="13" borderId="26" xfId="0" applyFont="1" applyFill="1" applyBorder="1" applyAlignment="1">
      <alignment horizontal="center" vertical="center" wrapText="1"/>
    </xf>
    <xf numFmtId="2" fontId="28" fillId="0" borderId="12" xfId="0" applyNumberFormat="1" applyFont="1" applyBorder="1" applyAlignment="1">
      <alignment horizontal="center"/>
    </xf>
    <xf numFmtId="2" fontId="28" fillId="0" borderId="13" xfId="0" applyNumberFormat="1" applyFont="1" applyBorder="1" applyAlignment="1">
      <alignment horizontal="center"/>
    </xf>
    <xf numFmtId="164" fontId="28" fillId="0" borderId="12" xfId="0" applyNumberFormat="1" applyFont="1" applyBorder="1" applyAlignment="1">
      <alignment horizontal="center"/>
    </xf>
    <xf numFmtId="164" fontId="28" fillId="0" borderId="13" xfId="0" applyNumberFormat="1" applyFont="1" applyBorder="1" applyAlignment="1">
      <alignment horizontal="center"/>
    </xf>
    <xf numFmtId="0" fontId="24" fillId="15" borderId="21" xfId="0" applyFont="1" applyFill="1" applyBorder="1" applyAlignment="1">
      <alignment vertical="center" wrapText="1"/>
    </xf>
    <xf numFmtId="0" fontId="24" fillId="16" borderId="21" xfId="0" applyFont="1" applyFill="1" applyBorder="1" applyAlignment="1">
      <alignment vertical="center" wrapText="1"/>
    </xf>
    <xf numFmtId="3" fontId="28" fillId="0" borderId="29" xfId="0" applyNumberFormat="1" applyFont="1" applyBorder="1" applyAlignment="1">
      <alignment horizontal="center" vertical="center" wrapText="1"/>
    </xf>
    <xf numFmtId="3" fontId="28" fillId="0" borderId="29" xfId="0" applyNumberFormat="1" applyFont="1" applyFill="1" applyBorder="1" applyAlignment="1">
      <alignment horizontal="center" vertical="center" wrapText="1"/>
    </xf>
    <xf numFmtId="3" fontId="28" fillId="0" borderId="30" xfId="0" applyNumberFormat="1" applyFont="1" applyBorder="1" applyAlignment="1">
      <alignment horizontal="center" vertical="center" wrapText="1"/>
    </xf>
    <xf numFmtId="0" fontId="22" fillId="13" borderId="31" xfId="0" applyFont="1" applyFill="1" applyBorder="1" applyAlignment="1">
      <alignment horizontal="right" vertical="center"/>
    </xf>
    <xf numFmtId="164" fontId="19" fillId="0" borderId="12" xfId="0" applyNumberFormat="1" applyFont="1" applyFill="1" applyBorder="1" applyAlignment="1" applyProtection="1">
      <alignment horizontal="center" vertical="center"/>
      <protection locked="0"/>
    </xf>
    <xf numFmtId="164" fontId="19" fillId="0" borderId="13" xfId="0" applyNumberFormat="1" applyFont="1" applyFill="1" applyBorder="1" applyAlignment="1" applyProtection="1">
      <alignment horizontal="center" vertical="center"/>
      <protection locked="0"/>
    </xf>
    <xf numFmtId="0" fontId="19" fillId="0" borderId="11" xfId="0" applyFont="1" applyBorder="1"/>
    <xf numFmtId="0" fontId="19" fillId="0" borderId="12" xfId="0" applyFont="1" applyBorder="1"/>
    <xf numFmtId="0" fontId="19" fillId="0" borderId="13" xfId="0" applyFont="1" applyBorder="1"/>
    <xf numFmtId="0" fontId="30" fillId="0" borderId="0" xfId="0" applyFont="1"/>
    <xf numFmtId="165" fontId="26" fillId="0" borderId="6" xfId="0" applyNumberFormat="1" applyFont="1" applyBorder="1" applyAlignment="1">
      <alignment horizontal="center" vertical="center" wrapText="1"/>
    </xf>
    <xf numFmtId="0" fontId="0" fillId="17" borderId="0" xfId="0" applyFill="1"/>
    <xf numFmtId="0" fontId="32" fillId="0" borderId="0" xfId="21"/>
    <xf numFmtId="0" fontId="19" fillId="0" borderId="32" xfId="0" applyFont="1" applyBorder="1"/>
    <xf numFmtId="0" fontId="34" fillId="13" borderId="9" xfId="0" applyFont="1" applyFill="1" applyBorder="1" applyAlignment="1">
      <alignment horizontal="center" vertical="center" wrapText="1"/>
    </xf>
    <xf numFmtId="0" fontId="24" fillId="19" borderId="27" xfId="0" applyFont="1" applyFill="1" applyBorder="1" applyAlignment="1">
      <alignment horizontal="center" vertical="center" wrapText="1"/>
    </xf>
    <xf numFmtId="167" fontId="24" fillId="20" borderId="28" xfId="0" applyNumberFormat="1" applyFont="1" applyFill="1" applyBorder="1" applyAlignment="1">
      <alignment horizontal="center" vertical="center" wrapText="1"/>
    </xf>
    <xf numFmtId="0" fontId="0" fillId="20" borderId="7" xfId="0" applyFill="1" applyBorder="1" applyAlignment="1">
      <alignment horizontal="center" vertical="center"/>
    </xf>
    <xf numFmtId="2" fontId="19" fillId="10" borderId="12" xfId="0" applyNumberFormat="1" applyFont="1" applyFill="1" applyBorder="1" applyAlignment="1" applyProtection="1">
      <alignment horizontal="center" vertical="center" wrapText="1"/>
      <protection locked="0"/>
    </xf>
    <xf numFmtId="2" fontId="19" fillId="10" borderId="18" xfId="0" applyNumberFormat="1" applyFont="1" applyFill="1" applyBorder="1" applyAlignment="1" applyProtection="1">
      <alignment horizontal="center" vertical="center" wrapText="1"/>
      <protection locked="0"/>
    </xf>
    <xf numFmtId="167" fontId="28" fillId="0" borderId="23" xfId="0" applyNumberFormat="1" applyFont="1" applyBorder="1" applyAlignment="1">
      <alignment horizontal="center" vertical="center"/>
    </xf>
    <xf numFmtId="167" fontId="28" fillId="0" borderId="24" xfId="0" applyNumberFormat="1" applyFont="1" applyBorder="1" applyAlignment="1">
      <alignment horizontal="center" vertical="center"/>
    </xf>
    <xf numFmtId="164" fontId="23" fillId="14" borderId="12" xfId="0" applyNumberFormat="1" applyFont="1" applyFill="1" applyBorder="1" applyAlignment="1">
      <alignment horizontal="center" vertical="center" wrapText="1"/>
    </xf>
    <xf numFmtId="164" fontId="23" fillId="14" borderId="18" xfId="0" applyNumberFormat="1" applyFont="1" applyFill="1" applyBorder="1" applyAlignment="1">
      <alignment horizontal="center" vertical="center" wrapText="1"/>
    </xf>
    <xf numFmtId="0" fontId="15" fillId="0" borderId="0" xfId="0" applyFont="1" applyAlignment="1">
      <alignment vertical="center" wrapText="1"/>
    </xf>
    <xf numFmtId="0" fontId="36" fillId="0" borderId="0" xfId="0" applyFont="1"/>
    <xf numFmtId="0" fontId="15" fillId="0" borderId="0" xfId="0" applyFont="1" applyAlignment="1">
      <alignment horizontal="right"/>
    </xf>
    <xf numFmtId="2" fontId="38" fillId="0" borderId="7" xfId="0" applyNumberFormat="1" applyFont="1" applyFill="1" applyBorder="1" applyAlignment="1">
      <alignment horizontal="center" vertical="center"/>
    </xf>
    <xf numFmtId="0" fontId="24" fillId="7" borderId="8" xfId="0" applyFont="1" applyFill="1" applyBorder="1" applyAlignment="1">
      <alignment horizontal="center" vertical="center" wrapText="1"/>
    </xf>
    <xf numFmtId="0" fontId="24" fillId="7" borderId="10" xfId="0" applyFont="1" applyFill="1" applyBorder="1" applyAlignment="1">
      <alignment horizontal="center" vertical="center" wrapText="1"/>
    </xf>
    <xf numFmtId="3" fontId="25" fillId="7" borderId="20" xfId="0" applyNumberFormat="1" applyFont="1" applyFill="1" applyBorder="1" applyAlignment="1">
      <alignment horizontal="center" vertical="center" wrapText="1"/>
    </xf>
    <xf numFmtId="3" fontId="25" fillId="7" borderId="22" xfId="0" applyNumberFormat="1" applyFont="1" applyFill="1" applyBorder="1" applyAlignment="1">
      <alignment horizontal="center" vertical="center" wrapText="1"/>
    </xf>
    <xf numFmtId="0" fontId="0" fillId="0" borderId="0" xfId="0" applyFill="1" applyBorder="1"/>
    <xf numFmtId="0" fontId="16" fillId="0" borderId="0" xfId="0" applyFont="1" applyFill="1" applyBorder="1" applyAlignment="1">
      <alignment horizontal="center"/>
    </xf>
    <xf numFmtId="0" fontId="17" fillId="0" borderId="0" xfId="0" applyFont="1" applyFill="1" applyBorder="1" applyAlignment="1">
      <alignment horizontal="center" vertical="center"/>
    </xf>
    <xf numFmtId="0" fontId="22" fillId="13" borderId="5" xfId="0" applyFont="1" applyFill="1" applyBorder="1" applyAlignment="1">
      <alignment horizontal="right" vertical="center"/>
    </xf>
    <xf numFmtId="0" fontId="22" fillId="18" borderId="33" xfId="0" applyFont="1" applyFill="1" applyBorder="1" applyAlignment="1">
      <alignment horizontal="center" vertical="center" wrapText="1"/>
    </xf>
    <xf numFmtId="0" fontId="22" fillId="18" borderId="34" xfId="0" applyFont="1" applyFill="1" applyBorder="1" applyAlignment="1">
      <alignment horizontal="center" vertical="center" wrapText="1"/>
    </xf>
    <xf numFmtId="0" fontId="22" fillId="13" borderId="16"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3" xfId="0" applyFont="1" applyFill="1" applyBorder="1" applyAlignment="1">
      <alignment horizontal="center" vertical="center" wrapText="1"/>
    </xf>
    <xf numFmtId="3" fontId="28" fillId="0" borderId="12" xfId="0" applyNumberFormat="1" applyFont="1" applyFill="1" applyBorder="1" applyAlignment="1" applyProtection="1">
      <alignment horizontal="center" vertical="center" wrapText="1"/>
    </xf>
    <xf numFmtId="3" fontId="28" fillId="0" borderId="18" xfId="0" applyNumberFormat="1" applyFont="1" applyFill="1" applyBorder="1" applyAlignment="1" applyProtection="1">
      <alignment horizontal="center" vertical="center" wrapText="1"/>
    </xf>
  </cellXfs>
  <cellStyles count="22">
    <cellStyle name="Accent" xfId="2"/>
    <cellStyle name="Accent 1" xfId="3"/>
    <cellStyle name="Accent 2" xfId="4"/>
    <cellStyle name="Accent 3" xfId="5"/>
    <cellStyle name="Bad" xfId="6"/>
    <cellStyle name="ConditionalStyle_45" xfId="7"/>
    <cellStyle name="Error" xfId="8"/>
    <cellStyle name="ExtConditionalStyle_1" xfId="9"/>
    <cellStyle name="Footnote" xfId="10"/>
    <cellStyle name="Good" xfId="11"/>
    <cellStyle name="Heading" xfId="12"/>
    <cellStyle name="Heading 1" xfId="13"/>
    <cellStyle name="Heading 2" xfId="14"/>
    <cellStyle name="Hyperlink" xfId="15"/>
    <cellStyle name="Lien hypertexte" xfId="21" builtinId="8"/>
    <cellStyle name="Neutral" xfId="16"/>
    <cellStyle name="Normal" xfId="0" builtinId="0" customBuiltin="1"/>
    <cellStyle name="Note" xfId="1" builtinId="10" customBuiltin="1"/>
    <cellStyle name="Result" xfId="17"/>
    <cellStyle name="Status" xfId="18"/>
    <cellStyle name="Text" xfId="19"/>
    <cellStyle name="Warning" xfId="20"/>
  </cellStyles>
  <dxfs count="52">
    <dxf>
      <fill>
        <patternFill>
          <bgColor rgb="FFFF0000"/>
        </patternFill>
      </fill>
    </dxf>
    <dxf>
      <fill>
        <patternFill>
          <bgColor rgb="FFFF0000"/>
        </patternFill>
      </fill>
    </dxf>
    <dxf>
      <fill>
        <patternFill>
          <bgColor rgb="FF0066FF"/>
        </patternFill>
      </fill>
    </dxf>
    <dxf>
      <fill>
        <patternFill>
          <bgColor theme="4" tint="0.79998168889431442"/>
        </patternFill>
      </fill>
    </dxf>
    <dxf>
      <fill>
        <patternFill>
          <bgColor rgb="FFFF0000"/>
        </patternFill>
      </fill>
    </dxf>
    <dxf>
      <fill>
        <patternFill>
          <bgColor rgb="FF00B050"/>
        </patternFill>
      </fill>
    </dxf>
    <dxf>
      <fill>
        <patternFill>
          <bgColor theme="7" tint="0.39994506668294322"/>
        </patternFill>
      </fill>
    </dxf>
    <dxf>
      <fill>
        <patternFill>
          <bgColor rgb="FF0066FF"/>
        </patternFill>
      </fill>
    </dxf>
    <dxf>
      <fill>
        <patternFill>
          <bgColor theme="4" tint="0.79998168889431442"/>
        </patternFill>
      </fill>
    </dxf>
    <dxf>
      <fill>
        <patternFill>
          <bgColor rgb="FFFF0000"/>
        </patternFill>
      </fill>
    </dxf>
    <dxf>
      <fill>
        <patternFill>
          <bgColor rgb="FF00B050"/>
        </patternFill>
      </fill>
    </dxf>
    <dxf>
      <fill>
        <patternFill>
          <bgColor theme="7" tint="0.39994506668294322"/>
        </patternFill>
      </fill>
    </dxf>
    <dxf>
      <fill>
        <patternFill>
          <bgColor rgb="FF0066FF"/>
        </patternFill>
      </fill>
    </dxf>
    <dxf>
      <fill>
        <patternFill>
          <bgColor theme="4" tint="0.79998168889431442"/>
        </patternFill>
      </fill>
    </dxf>
    <dxf>
      <fill>
        <patternFill>
          <bgColor rgb="FFFF0000"/>
        </patternFill>
      </fill>
    </dxf>
    <dxf>
      <fill>
        <patternFill>
          <bgColor rgb="FF00B050"/>
        </patternFill>
      </fill>
    </dxf>
    <dxf>
      <fill>
        <patternFill>
          <bgColor theme="7" tint="0.39994506668294322"/>
        </patternFill>
      </fill>
    </dxf>
    <dxf>
      <fill>
        <patternFill>
          <bgColor rgb="FF0066FF"/>
        </patternFill>
      </fill>
    </dxf>
    <dxf>
      <fill>
        <patternFill>
          <bgColor theme="4" tint="0.79998168889431442"/>
        </patternFill>
      </fill>
    </dxf>
    <dxf>
      <fill>
        <patternFill>
          <bgColor rgb="FFFF0000"/>
        </patternFill>
      </fill>
    </dxf>
    <dxf>
      <fill>
        <patternFill>
          <bgColor rgb="FF00B050"/>
        </patternFill>
      </fill>
    </dxf>
    <dxf>
      <fill>
        <patternFill>
          <bgColor theme="7" tint="0.39994506668294322"/>
        </patternFill>
      </fill>
    </dxf>
    <dxf>
      <fill>
        <patternFill>
          <bgColor rgb="FF0066FF"/>
        </patternFill>
      </fill>
    </dxf>
    <dxf>
      <fill>
        <patternFill>
          <bgColor theme="4" tint="0.79998168889431442"/>
        </patternFill>
      </fill>
    </dxf>
    <dxf>
      <fill>
        <patternFill>
          <bgColor rgb="FFFF0000"/>
        </patternFill>
      </fill>
    </dxf>
    <dxf>
      <fill>
        <patternFill>
          <bgColor rgb="FF00B050"/>
        </patternFill>
      </fill>
    </dxf>
    <dxf>
      <fill>
        <patternFill>
          <bgColor theme="7" tint="0.39994506668294322"/>
        </patternFill>
      </fill>
    </dxf>
    <dxf>
      <fill>
        <patternFill patternType="lightDown"/>
      </fill>
    </dxf>
    <dxf>
      <fill>
        <patternFill patternType="lightDown"/>
      </fill>
    </dxf>
    <dxf>
      <fill>
        <patternFill patternType="lightDown"/>
      </fill>
    </dxf>
    <dxf>
      <fill>
        <patternFill patternType="lightDown"/>
      </fill>
    </dxf>
    <dxf>
      <font>
        <color rgb="FF000000"/>
      </font>
      <fill>
        <patternFill patternType="solid">
          <fgColor rgb="FFE2F0D9"/>
          <bgColor theme="4" tint="0.79998168889431442"/>
        </patternFill>
      </fill>
    </dxf>
    <dxf>
      <font>
        <color rgb="FF000000"/>
      </font>
      <fill>
        <patternFill patternType="solid">
          <fgColor rgb="FFDEEBF7"/>
          <bgColor theme="9" tint="0.79998168889431442"/>
        </patternFill>
      </fill>
    </dxf>
    <dxf>
      <font>
        <color rgb="FF000000"/>
      </font>
      <fill>
        <patternFill patternType="solid">
          <fgColor rgb="FFDEEBF7"/>
          <bgColor theme="9" tint="0.79998168889431442"/>
        </patternFill>
      </fill>
    </dxf>
    <dxf>
      <font>
        <color rgb="FF000000"/>
      </font>
      <fill>
        <patternFill patternType="solid">
          <fgColor rgb="FFE2F0D9"/>
          <bgColor theme="4" tint="0.79998168889431442"/>
        </patternFill>
      </fill>
    </dxf>
    <dxf>
      <font>
        <color rgb="FF000000"/>
      </font>
      <fill>
        <patternFill patternType="lightDown">
          <fgColor auto="1"/>
          <bgColor theme="9" tint="0.79998168889431442"/>
        </patternFill>
      </fill>
    </dxf>
    <dxf>
      <font>
        <color rgb="FF000000"/>
      </font>
      <fill>
        <patternFill patternType="lightDown">
          <fgColor auto="1"/>
          <bgColor auto="1"/>
        </patternFill>
      </fill>
    </dxf>
    <dxf>
      <font>
        <color rgb="FF000000"/>
      </font>
      <fill>
        <patternFill patternType="lightDown">
          <fgColor auto="1"/>
          <bgColor auto="1"/>
        </patternFill>
      </fill>
    </dxf>
    <dxf>
      <font>
        <color rgb="FF000000"/>
      </font>
      <fill>
        <patternFill patternType="lightDown">
          <fgColor auto="1"/>
          <bgColor auto="1"/>
        </patternFill>
      </fill>
    </dxf>
    <dxf>
      <font>
        <color rgb="FF000000"/>
      </font>
      <fill>
        <patternFill patternType="lightDown">
          <fgColor auto="1"/>
          <bgColor auto="1"/>
        </patternFill>
      </fill>
    </dxf>
    <dxf>
      <font>
        <color rgb="FF000000"/>
      </font>
      <fill>
        <patternFill patternType="lightDown">
          <fgColor auto="1"/>
          <bgColor auto="1"/>
        </patternFill>
      </fill>
    </dxf>
    <dxf>
      <fill>
        <patternFill patternType="lightDown"/>
      </fill>
    </dxf>
    <dxf>
      <fill>
        <patternFill patternType="lightDown"/>
      </fill>
    </dxf>
    <dxf>
      <fill>
        <patternFill patternType="lightDown"/>
      </fill>
    </dxf>
    <dxf>
      <fill>
        <patternFill patternType="lightDown"/>
      </fill>
    </dxf>
    <dxf>
      <font>
        <color rgb="FF000000"/>
      </font>
      <fill>
        <patternFill patternType="lightDown">
          <fgColor auto="1"/>
          <bgColor auto="1"/>
        </patternFill>
      </fill>
    </dxf>
    <dxf>
      <font>
        <color rgb="FFFF0000"/>
      </font>
    </dxf>
    <dxf>
      <font>
        <color rgb="FF000000"/>
      </font>
      <fill>
        <patternFill patternType="solid">
          <fgColor rgb="FFFFFF00"/>
          <bgColor rgb="FFFFFF00"/>
        </patternFill>
      </fill>
    </dxf>
    <dxf>
      <font>
        <color rgb="FF000000"/>
      </font>
      <fill>
        <patternFill patternType="solid">
          <fgColor rgb="FFFFFF00"/>
          <bgColor rgb="FFFFFF00"/>
        </patternFill>
      </fill>
    </dxf>
    <dxf>
      <font>
        <color rgb="FF000000"/>
      </font>
      <fill>
        <patternFill patternType="solid">
          <fgColor rgb="FFFFFF00"/>
          <bgColor rgb="FFFFFF00"/>
        </patternFill>
      </fill>
    </dxf>
    <dxf>
      <font>
        <color rgb="FF000000"/>
      </font>
      <fill>
        <patternFill patternType="solid">
          <fgColor rgb="FFFFFF00"/>
          <bgColor rgb="FFFFFF00"/>
        </patternFill>
      </fill>
    </dxf>
    <dxf>
      <font>
        <color rgb="FF000000"/>
      </font>
      <fill>
        <patternFill patternType="solid">
          <fgColor rgb="FFFFFF00"/>
          <bgColor rgb="FFFFFF00"/>
        </patternFill>
      </fill>
    </dxf>
  </dxfs>
  <tableStyles count="0" defaultTableStyle="TableStyleMedium2" defaultPivotStyle="PivotStyleLight16"/>
  <colors>
    <mruColors>
      <color rgb="FF3333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85680</xdr:colOff>
      <xdr:row>0</xdr:row>
      <xdr:rowOff>38160</xdr:rowOff>
    </xdr:from>
    <xdr:ext cx="447479" cy="881640"/>
    <xdr:pic>
      <xdr:nvPicPr>
        <xdr:cNvPr id="2" name="Image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314280" y="38160"/>
          <a:ext cx="447479" cy="881640"/>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db.bfe.admin.ch/fr/publication/download/10935" TargetMode="External"/><Relationship Id="rId1" Type="http://schemas.openxmlformats.org/officeDocument/2006/relationships/hyperlink" Target="https://www.bafu.admin.ch/bafu/fr/home/themes/climat/etat/donnees/inventaire-gaz-effet-serre.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L47"/>
  <sheetViews>
    <sheetView showGridLines="0" tabSelected="1" topLeftCell="A10" zoomScaleNormal="100" workbookViewId="0"/>
  </sheetViews>
  <sheetFormatPr baseColWidth="10" defaultRowHeight="16.5"/>
  <cols>
    <col min="1" max="1" width="3.42578125" style="1" customWidth="1"/>
    <col min="2" max="2" width="9.7109375" style="1" customWidth="1"/>
    <col min="3" max="3" width="29.28515625" style="1" customWidth="1"/>
    <col min="4" max="11" width="15.140625" style="1" customWidth="1"/>
    <col min="12" max="12" width="17.5703125" style="1" customWidth="1"/>
    <col min="13" max="13" width="13.7109375" style="1" customWidth="1"/>
    <col min="14" max="14" width="18" style="1" customWidth="1"/>
    <col min="15" max="15" width="3.42578125" style="1" customWidth="1"/>
    <col min="16" max="1024" width="12.140625" style="1" customWidth="1"/>
    <col min="1025" max="1026" width="11.42578125" style="1"/>
  </cols>
  <sheetData>
    <row r="1" spans="2:14" ht="31.5" customHeight="1">
      <c r="B1" s="121"/>
      <c r="C1" s="122" t="s">
        <v>88</v>
      </c>
      <c r="D1" s="122"/>
      <c r="E1" s="122"/>
      <c r="F1" s="122"/>
      <c r="G1" s="122"/>
      <c r="H1" s="122"/>
      <c r="I1" s="122"/>
      <c r="J1" s="122"/>
      <c r="K1" s="122"/>
      <c r="L1" s="122"/>
      <c r="M1" s="122"/>
      <c r="N1" s="122"/>
    </row>
    <row r="2" spans="2:14" ht="7.5" customHeight="1">
      <c r="B2" s="121"/>
    </row>
    <row r="3" spans="2:14" ht="34.5" customHeight="1">
      <c r="B3" s="121"/>
      <c r="C3" s="123" t="s">
        <v>0</v>
      </c>
      <c r="D3" s="123"/>
      <c r="E3" s="123"/>
      <c r="F3" s="123"/>
      <c r="G3" s="123"/>
      <c r="H3" s="123"/>
      <c r="I3" s="123"/>
      <c r="J3" s="123"/>
      <c r="K3" s="123"/>
      <c r="L3" s="123"/>
      <c r="M3" s="123"/>
      <c r="N3" s="123"/>
    </row>
    <row r="4" spans="2:14">
      <c r="B4" s="98" t="s">
        <v>81</v>
      </c>
    </row>
    <row r="5" spans="2:14">
      <c r="B5" s="2" t="s">
        <v>89</v>
      </c>
      <c r="C5" s="2"/>
      <c r="D5" s="2"/>
      <c r="E5" s="2"/>
      <c r="F5" s="2"/>
      <c r="G5" s="2"/>
      <c r="H5" s="2"/>
      <c r="I5" s="2"/>
      <c r="J5" s="2"/>
      <c r="K5" s="2"/>
      <c r="L5" s="2"/>
      <c r="M5" s="2"/>
      <c r="N5" s="2"/>
    </row>
    <row r="6" spans="2:14">
      <c r="B6" s="2" t="s">
        <v>1</v>
      </c>
      <c r="C6" s="2"/>
      <c r="D6" s="2"/>
      <c r="E6" s="2"/>
      <c r="F6" s="2"/>
      <c r="G6" s="2"/>
      <c r="H6" s="2"/>
      <c r="I6" s="2"/>
      <c r="J6" s="2"/>
      <c r="K6" s="2"/>
      <c r="L6" s="2"/>
      <c r="M6" s="2"/>
      <c r="N6" s="2"/>
    </row>
    <row r="7" spans="2:14">
      <c r="B7" s="2" t="s">
        <v>87</v>
      </c>
      <c r="C7" s="2"/>
      <c r="D7" s="2"/>
      <c r="E7" s="2"/>
      <c r="F7" s="2"/>
      <c r="G7" s="2"/>
      <c r="H7" s="2"/>
      <c r="I7" s="2"/>
      <c r="J7" s="2"/>
      <c r="K7" s="2"/>
      <c r="L7" s="2"/>
      <c r="M7" s="2"/>
      <c r="N7" s="2"/>
    </row>
    <row r="8" spans="2:14">
      <c r="B8" s="2" t="s">
        <v>79</v>
      </c>
      <c r="C8" s="2"/>
      <c r="D8" s="2"/>
      <c r="E8" s="2"/>
      <c r="F8" s="2"/>
      <c r="G8" s="2"/>
      <c r="H8" s="2"/>
      <c r="I8" s="2"/>
      <c r="J8" s="2"/>
      <c r="K8" s="2"/>
      <c r="L8" s="2"/>
      <c r="M8" s="2"/>
      <c r="N8" s="2"/>
    </row>
    <row r="9" spans="2:14">
      <c r="B9" s="2" t="s">
        <v>80</v>
      </c>
      <c r="C9" s="2"/>
      <c r="D9" s="2"/>
      <c r="E9" s="2"/>
      <c r="F9" s="2"/>
      <c r="G9" s="2"/>
      <c r="H9" s="2"/>
      <c r="I9" s="2"/>
      <c r="J9" s="2"/>
      <c r="K9" s="2"/>
      <c r="L9" s="2"/>
      <c r="M9" s="2"/>
      <c r="N9" s="2"/>
    </row>
    <row r="10" spans="2:14">
      <c r="B10" s="2" t="s">
        <v>2</v>
      </c>
      <c r="C10" s="2"/>
      <c r="D10" s="2"/>
      <c r="E10" s="2"/>
      <c r="F10" s="2"/>
      <c r="G10" s="2"/>
      <c r="H10" s="2"/>
      <c r="I10" s="2"/>
      <c r="J10" s="2"/>
      <c r="K10" s="2"/>
      <c r="L10" s="2"/>
      <c r="M10" s="2"/>
      <c r="N10" s="2"/>
    </row>
    <row r="11" spans="2:14" ht="6.75" customHeight="1"/>
    <row r="12" spans="2:14">
      <c r="B12" s="98" t="s">
        <v>3</v>
      </c>
    </row>
    <row r="13" spans="2:14">
      <c r="B13" s="1" t="s">
        <v>4</v>
      </c>
      <c r="J13" s="4"/>
      <c r="K13" s="41" t="s">
        <v>5</v>
      </c>
    </row>
    <row r="14" spans="2:14">
      <c r="B14" s="1" t="s">
        <v>83</v>
      </c>
      <c r="J14" s="5"/>
      <c r="K14" s="41" t="s">
        <v>6</v>
      </c>
    </row>
    <row r="15" spans="2:14">
      <c r="B15" s="1" t="s">
        <v>82</v>
      </c>
      <c r="J15" s="6" t="s">
        <v>7</v>
      </c>
      <c r="K15" s="41" t="s">
        <v>8</v>
      </c>
    </row>
    <row r="16" spans="2:14">
      <c r="B16" s="1" t="s">
        <v>84</v>
      </c>
    </row>
    <row r="17" spans="2:14">
      <c r="B17" s="1" t="s">
        <v>101</v>
      </c>
    </row>
    <row r="18" spans="2:14">
      <c r="B18" s="1" t="s">
        <v>85</v>
      </c>
    </row>
    <row r="19" spans="2:14">
      <c r="B19" s="1" t="s">
        <v>86</v>
      </c>
    </row>
    <row r="20" spans="2:14">
      <c r="G20" s="7" t="str">
        <f>IF(AND(G22="",OR(G31&lt;&gt;0,G32&lt;&gt;0,G33&lt;&gt;0,G34&lt;&gt;0,G35&lt;&gt;0)),"Choisir type d'énergie !","")</f>
        <v/>
      </c>
      <c r="H20" s="7" t="str">
        <f>IF(AND(H22="",OR(H31&lt;&gt;0,H32&lt;&gt;0,H33&lt;&gt;0,H34&lt;&gt;0,H35&lt;&gt;0)),"Choisir type d'énergie !","")</f>
        <v/>
      </c>
      <c r="I20" s="7" t="str">
        <f>IF(AND(I22="",OR(I31&lt;&gt;0,I32&lt;&gt;0,I33&lt;&gt;0,I34&lt;&gt;0,I35&lt;&gt;0)),"Choisir type d'énergie !","")</f>
        <v/>
      </c>
      <c r="J20" s="7" t="str">
        <f>IF(AND(J22="",OR(J31&lt;&gt;0,J32&lt;&gt;0,J33&lt;&gt;0,J34&lt;&gt;0,J35&lt;&gt;0)),"Choisir type d'énergie !","")</f>
        <v/>
      </c>
    </row>
    <row r="21" spans="2:14">
      <c r="G21" s="34" t="s">
        <v>9</v>
      </c>
      <c r="H21" s="35" t="s">
        <v>10</v>
      </c>
      <c r="I21" s="35" t="s">
        <v>11</v>
      </c>
      <c r="J21" s="36" t="s">
        <v>12</v>
      </c>
    </row>
    <row r="22" spans="2:14">
      <c r="E22" s="3"/>
      <c r="F22" s="39" t="s">
        <v>13</v>
      </c>
      <c r="G22" s="37"/>
      <c r="H22" s="37"/>
      <c r="I22" s="37"/>
      <c r="J22" s="38"/>
    </row>
    <row r="23" spans="2:14">
      <c r="D23" s="124" t="s">
        <v>14</v>
      </c>
      <c r="E23" s="124"/>
      <c r="F23" s="40" t="s">
        <v>15</v>
      </c>
      <c r="G23" s="83" t="str">
        <f>IF(G$22="","",VLOOKUP(G$22,Aides!$B$2:$D$18,2,FALSE()))</f>
        <v/>
      </c>
      <c r="H23" s="83" t="str">
        <f>IF(H$22="","",VLOOKUP(H$22,Aides!$B$2:$D$18,2,FALSE()))</f>
        <v/>
      </c>
      <c r="I23" s="83" t="str">
        <f>IF(I$22="","",VLOOKUP(I$22,Aides!$B$2:$D$18,2,FALSE()))</f>
        <v/>
      </c>
      <c r="J23" s="84" t="str">
        <f>IF(J$22="","",VLOOKUP(J$22,Aides!$B$2:$D$18,2,FALSE()))</f>
        <v/>
      </c>
    </row>
    <row r="24" spans="2:14">
      <c r="D24" s="124"/>
      <c r="E24" s="124"/>
      <c r="F24" s="40" t="s">
        <v>16</v>
      </c>
      <c r="G24" s="30"/>
      <c r="H24" s="30"/>
      <c r="I24" s="30"/>
      <c r="J24" s="31"/>
      <c r="K24" s="115" t="s">
        <v>107</v>
      </c>
      <c r="L24" s="101" t="s">
        <v>99</v>
      </c>
    </row>
    <row r="25" spans="2:14">
      <c r="E25" s="8"/>
      <c r="F25" s="40" t="s">
        <v>17</v>
      </c>
      <c r="G25" s="32"/>
      <c r="H25" s="32"/>
      <c r="I25" s="32"/>
      <c r="J25" s="33"/>
    </row>
    <row r="26" spans="2:14">
      <c r="D26" s="124" t="s">
        <v>18</v>
      </c>
      <c r="E26" s="124"/>
      <c r="F26" s="40" t="s">
        <v>19</v>
      </c>
      <c r="G26" s="85" t="str">
        <f>IF(G$22="","",VLOOKUP(G$22,Aides!$B$2:$D$18,3,FALSE()))</f>
        <v/>
      </c>
      <c r="H26" s="85" t="str">
        <f>IF(H$22="","",VLOOKUP(H$22,Aides!$B$2:$D$18,3,FALSE()))</f>
        <v/>
      </c>
      <c r="I26" s="85" t="str">
        <f>IF(I$22="","",VLOOKUP(I$22,Aides!$B$2:$D$18,3,FALSE()))</f>
        <v/>
      </c>
      <c r="J26" s="86" t="str">
        <f>IF(J$22="","",VLOOKUP(J$22,Aides!$B$2:$D$18,3,FALSE()))</f>
        <v/>
      </c>
    </row>
    <row r="27" spans="2:14">
      <c r="D27" s="124"/>
      <c r="E27" s="124"/>
      <c r="F27" s="92" t="s">
        <v>16</v>
      </c>
      <c r="G27" s="93"/>
      <c r="H27" s="93"/>
      <c r="I27" s="93"/>
      <c r="J27" s="94"/>
      <c r="K27" s="115" t="s">
        <v>107</v>
      </c>
      <c r="L27" s="101" t="s">
        <v>98</v>
      </c>
    </row>
    <row r="28" spans="2:14" s="9" customFormat="1" ht="5.25" customHeight="1">
      <c r="F28" s="102"/>
      <c r="G28" s="95"/>
      <c r="H28" s="96"/>
      <c r="I28" s="96"/>
      <c r="J28" s="97"/>
    </row>
    <row r="29" spans="2:14" s="10" customFormat="1" ht="32.25" customHeight="1">
      <c r="E29" s="125"/>
      <c r="F29" s="126"/>
      <c r="G29" s="127" t="s">
        <v>78</v>
      </c>
      <c r="H29" s="128"/>
      <c r="I29" s="128"/>
      <c r="J29" s="129"/>
    </row>
    <row r="30" spans="2:14" s="11" customFormat="1" ht="28.5">
      <c r="B30" s="55" t="s">
        <v>20</v>
      </c>
      <c r="C30" s="56" t="s">
        <v>21</v>
      </c>
      <c r="D30" s="56" t="s">
        <v>22</v>
      </c>
      <c r="E30" s="56" t="s">
        <v>28</v>
      </c>
      <c r="F30" s="82" t="s">
        <v>102</v>
      </c>
      <c r="G30" s="82" t="s">
        <v>23</v>
      </c>
      <c r="H30" s="82" t="s">
        <v>24</v>
      </c>
      <c r="I30" s="82" t="s">
        <v>25</v>
      </c>
      <c r="J30" s="82" t="s">
        <v>26</v>
      </c>
      <c r="K30" s="56" t="s">
        <v>27</v>
      </c>
      <c r="L30" s="103" t="s">
        <v>104</v>
      </c>
      <c r="M30" s="56" t="s">
        <v>29</v>
      </c>
      <c r="N30" s="57" t="s">
        <v>30</v>
      </c>
    </row>
    <row r="31" spans="2:14" s="12" customFormat="1" ht="15" customHeight="1">
      <c r="B31" s="58" t="s">
        <v>31</v>
      </c>
      <c r="C31" s="59"/>
      <c r="D31" s="60"/>
      <c r="E31" s="61"/>
      <c r="F31" s="107"/>
      <c r="G31" s="62"/>
      <c r="H31" s="62"/>
      <c r="I31" s="62"/>
      <c r="J31" s="62"/>
      <c r="K31" s="62"/>
      <c r="L31" s="130">
        <f>E31*F31</f>
        <v>0</v>
      </c>
      <c r="M31" s="62"/>
      <c r="N31" s="63"/>
    </row>
    <row r="32" spans="2:14" s="12" customFormat="1" ht="15" customHeight="1">
      <c r="B32" s="58" t="s">
        <v>32</v>
      </c>
      <c r="C32" s="59"/>
      <c r="D32" s="60"/>
      <c r="E32" s="61"/>
      <c r="F32" s="107"/>
      <c r="G32" s="62"/>
      <c r="H32" s="62"/>
      <c r="I32" s="62"/>
      <c r="J32" s="62"/>
      <c r="K32" s="62"/>
      <c r="L32" s="130">
        <f t="shared" ref="L32:L35" si="0">E32*F32</f>
        <v>0</v>
      </c>
      <c r="M32" s="62"/>
      <c r="N32" s="63"/>
    </row>
    <row r="33" spans="2:14" s="12" customFormat="1" ht="15" customHeight="1">
      <c r="B33" s="58" t="s">
        <v>33</v>
      </c>
      <c r="C33" s="59"/>
      <c r="D33" s="60"/>
      <c r="E33" s="61"/>
      <c r="F33" s="107"/>
      <c r="G33" s="62"/>
      <c r="H33" s="62"/>
      <c r="I33" s="62"/>
      <c r="J33" s="62"/>
      <c r="K33" s="62"/>
      <c r="L33" s="130">
        <f t="shared" si="0"/>
        <v>0</v>
      </c>
      <c r="M33" s="62"/>
      <c r="N33" s="63"/>
    </row>
    <row r="34" spans="2:14" s="12" customFormat="1" ht="15" customHeight="1">
      <c r="B34" s="58" t="s">
        <v>34</v>
      </c>
      <c r="C34" s="59"/>
      <c r="D34" s="60"/>
      <c r="E34" s="61"/>
      <c r="F34" s="107"/>
      <c r="G34" s="62"/>
      <c r="H34" s="62"/>
      <c r="I34" s="62"/>
      <c r="J34" s="62"/>
      <c r="K34" s="62"/>
      <c r="L34" s="130">
        <f t="shared" si="0"/>
        <v>0</v>
      </c>
      <c r="M34" s="62"/>
      <c r="N34" s="63"/>
    </row>
    <row r="35" spans="2:14" s="12" customFormat="1" ht="15" customHeight="1" thickBot="1">
      <c r="B35" s="64" t="s">
        <v>35</v>
      </c>
      <c r="C35" s="65"/>
      <c r="D35" s="66"/>
      <c r="E35" s="67"/>
      <c r="F35" s="108"/>
      <c r="G35" s="68"/>
      <c r="H35" s="68"/>
      <c r="I35" s="68"/>
      <c r="J35" s="68"/>
      <c r="K35" s="68"/>
      <c r="L35" s="131">
        <f t="shared" si="0"/>
        <v>0</v>
      </c>
      <c r="M35" s="68"/>
      <c r="N35" s="69"/>
    </row>
    <row r="36" spans="2:14" s="12" customFormat="1" ht="18.75" customHeight="1" thickTop="1">
      <c r="B36" s="70" t="s">
        <v>36</v>
      </c>
      <c r="C36" s="71" t="s">
        <v>37</v>
      </c>
      <c r="D36" s="87"/>
      <c r="E36" s="72">
        <f>IF($G$22&lt;&gt;"",IF($D31=Aides!$B$46,,E31)+IF($D32=Aides!$B$46,,E32)+IF($D33=Aides!$B$46,,E33)+IF($D34=Aides!$B$46,,E34)+IF($D35=Aides!$B$46,,E35),)</f>
        <v>0</v>
      </c>
      <c r="F36" s="87"/>
      <c r="G36" s="72">
        <f>IF($G$22&lt;&gt;"",IF($D31=Aides!$B$46,,G31)+IF($D32=Aides!$B$46,,G32)+IF($D33=Aides!$B$46,,G33)+IF($D34=Aides!$B$46,,G34)+IF($D35=Aides!$B$46,,G35),)</f>
        <v>0</v>
      </c>
      <c r="H36" s="72">
        <f>IF($H$22&lt;&gt;"",IF($D31=Aides!$B$46,,H31)+IF($D32=Aides!$B$46,,H32)+IF($D33=Aides!$B$46,,H33)+IF($D34=Aides!$B$46,,H34)+IF($D35=Aides!$B$46,,H35),)</f>
        <v>0</v>
      </c>
      <c r="I36" s="72">
        <f>IF($I$22&lt;&gt;"",IF($D31=Aides!$B$46,,I31)+IF($D32=Aides!$B$46,,I32)+IF($D33=Aides!$B$46,,I33)+IF($D34=Aides!$B$46,,I34)+IF($D35=Aides!$B$46,,I35),)</f>
        <v>0</v>
      </c>
      <c r="J36" s="72">
        <f>IF($J$22&lt;&gt;"",IF($D31=Aides!$B$46,,J31)+IF($D32=Aides!$B$46,,J32)+IF($D33=Aides!$B$46,,J33)+IF($D34=Aides!$B$46,,J34)+IF($D35=Aides!$B$46,,J35),)</f>
        <v>0</v>
      </c>
      <c r="K36" s="88"/>
      <c r="L36" s="72">
        <f>IF($D31=Aides!$B$46,,L31)+IF($D32=Aides!$B$46,,L32)+IF($D33=Aides!$B$46,,L33)+IF($D34=Aides!$B$46,,L34)+IF($D35=Aides!$B$46,,L35)</f>
        <v>0</v>
      </c>
      <c r="M36" s="72">
        <f>IF($D31=Aides!$B$46,,M31)+IF($D32=Aides!$B$46,,M32)+IF($D33=Aides!$B$46,,M33)+IF($D34=Aides!$B$46,,M34)+IF($D35=Aides!$B$46,,M35)</f>
        <v>0</v>
      </c>
      <c r="N36" s="73">
        <f>IF($D31=Aides!$B$46,,N31)+IF($D32=Aides!$B$46,,N32)+IF($D33=Aides!$B$46,,N33)+IF($D34=Aides!$B$46,,N34)+IF($D35=Aides!$B$46,,N35)</f>
        <v>0</v>
      </c>
    </row>
    <row r="37" spans="2:14" s="13" customFormat="1" ht="12.75"/>
    <row r="38" spans="2:14" s="13" customFormat="1" ht="12.75">
      <c r="J38" s="11"/>
    </row>
    <row r="39" spans="2:14" s="11" customFormat="1" ht="31.5">
      <c r="B39" s="42" t="s">
        <v>20</v>
      </c>
      <c r="C39" s="43" t="s">
        <v>21</v>
      </c>
      <c r="D39" s="43" t="s">
        <v>38</v>
      </c>
      <c r="E39" s="43" t="s">
        <v>39</v>
      </c>
      <c r="F39" s="43" t="s">
        <v>40</v>
      </c>
      <c r="G39" s="43" t="s">
        <v>41</v>
      </c>
      <c r="H39" s="43" t="s">
        <v>42</v>
      </c>
      <c r="I39" s="43" t="s">
        <v>103</v>
      </c>
      <c r="J39" s="44" t="s">
        <v>106</v>
      </c>
      <c r="K39" s="44" t="s">
        <v>43</v>
      </c>
      <c r="L39" s="104" t="s">
        <v>105</v>
      </c>
      <c r="M39" s="117" t="s">
        <v>44</v>
      </c>
      <c r="N39" s="118"/>
    </row>
    <row r="40" spans="2:14" s="12" customFormat="1" ht="15" customHeight="1">
      <c r="B40" s="45" t="s">
        <v>31</v>
      </c>
      <c r="C40" s="46" t="str">
        <f t="shared" ref="C40:D44" si="1">IF(C31="","",C31)</f>
        <v/>
      </c>
      <c r="D40" s="47" t="str">
        <f t="shared" si="1"/>
        <v/>
      </c>
      <c r="E40" s="48">
        <f>IF($D31=Aides!$B$46,,IF($G$22&lt;&gt;"",IF(G$24="",G31*G$23,G31*G$24),)+IF($H$22&lt;&gt;"",IF(H$24="",H31*H$23,H31*H$24),)+IF($I$22&lt;&gt;"",IF(I$24="",I31*I$23,I31*I$24),)+IF($J$22&lt;&gt;"",IF(J$24="",J31*J$23,J31*J$24),))</f>
        <v>0</v>
      </c>
      <c r="F40" s="48">
        <f>IF($D31=Aides!$B$46,,IF($G$22&lt;&gt;"",G31*G$25,)+IF($H$22&lt;&gt;"",H31*H$25,)+IF($I$22&lt;&gt;"",I31*I$25,)+IF($J$22&lt;&gt;"",J31*J$25,))</f>
        <v>0</v>
      </c>
      <c r="G40" s="49">
        <f>IF($D31=Aides!$B$46,,IF($G$22&lt;&gt;"",IF(G$27="",G31*G$26,G31*G$27),)+IF($H$22&lt;&gt;"",IF(H$27="",H31*H$26,H31*H$27),)+IF($I$22&lt;&gt;"",IF(I$27="",I31*I$26,I31*I$27),)+IF($J$22&lt;&gt;"",IF(J$27="",J31*J$26,J31*J$27),))/1000</f>
        <v>0</v>
      </c>
      <c r="H40" s="48">
        <f>E40*K31</f>
        <v>0</v>
      </c>
      <c r="I40" s="48">
        <f>IF($D31=Aides!$B$46,"",L31-M31)</f>
        <v>0</v>
      </c>
      <c r="J40" s="49" t="str">
        <f t="shared" ref="J40:J45" si="2">IF(F40&lt;&gt;0,I40/F40,"")</f>
        <v/>
      </c>
      <c r="K40" s="111" t="str">
        <f>IF(AND(H40&lt;&gt;0,H40&lt;&gt;""),N31/H40,"")</f>
        <v/>
      </c>
      <c r="L40" s="109" t="str">
        <f>IF(AND(L31&lt;&gt;0,L31&lt;&gt;""),(N31+M31)/L31,"")</f>
        <v/>
      </c>
      <c r="M40" s="89" t="e">
        <f>VLOOKUP(1,Aides!$E$32:$G$36,3,FALSE())</f>
        <v>#N/A</v>
      </c>
      <c r="N40" s="79" t="e">
        <f>VLOOKUP(1,Aides!$E$32:$I$36,5,FALSE())</f>
        <v>#N/A</v>
      </c>
    </row>
    <row r="41" spans="2:14" s="12" customFormat="1" ht="15" customHeight="1">
      <c r="B41" s="45" t="s">
        <v>32</v>
      </c>
      <c r="C41" s="46" t="str">
        <f t="shared" si="1"/>
        <v/>
      </c>
      <c r="D41" s="47" t="str">
        <f t="shared" si="1"/>
        <v/>
      </c>
      <c r="E41" s="48">
        <f>IF($D32=Aides!$B$46,,IF($G$22&lt;&gt;"",IF(G$24="",G32*G$23,G32*G$24),)+IF($H$22&lt;&gt;"",IF(H$24="",H32*H$23,H32*H$24),)+IF($I$22&lt;&gt;"",IF(I$24="",I32*I$23,I32*I$24),)+IF($J$22&lt;&gt;"",IF(J$24="",J32*J$23,J32*J$24),))</f>
        <v>0</v>
      </c>
      <c r="F41" s="48">
        <f>IF($D32=Aides!$B$46,,IF($G$22&lt;&gt;"",G32*G$25,)+IF($H$22&lt;&gt;"",H32*H$25,)+IF($I$22&lt;&gt;"",I32*I$25,)+IF($J$22&lt;&gt;"",J32*J$25,))</f>
        <v>0</v>
      </c>
      <c r="G41" s="49">
        <f>IF($D32=Aides!$B$46,,IF($G$22&lt;&gt;"",IF(G$27="",G32*G$26,G32*G$27),)+IF($H$22&lt;&gt;"",IF(H$27="",H32*H$26,H32*H$27),)+IF($I$22&lt;&gt;"",IF(I$27="",I32*I$26,I32*I$27),)+IF($J$22&lt;&gt;"",IF(J$27="",J32*J$26,J32*J$27),))/1000</f>
        <v>0</v>
      </c>
      <c r="H41" s="48">
        <f>E41*K32</f>
        <v>0</v>
      </c>
      <c r="I41" s="48">
        <f>IF($D32=Aides!$B$46,"",L32-M32)</f>
        <v>0</v>
      </c>
      <c r="J41" s="49" t="str">
        <f t="shared" si="2"/>
        <v/>
      </c>
      <c r="K41" s="111" t="str">
        <f>IF(AND(H41&lt;&gt;0,H41&lt;&gt;""),N32/H41,"")</f>
        <v/>
      </c>
      <c r="L41" s="109" t="str">
        <f t="shared" ref="L41:L43" si="3">IF(AND(L32&lt;&gt;0,L32&lt;&gt;""),(N32+M32)/L32,"")</f>
        <v/>
      </c>
      <c r="M41" s="89" t="e">
        <f>VLOOKUP(2,Aides!$E$32:$G$36,3,FALSE())</f>
        <v>#N/A</v>
      </c>
      <c r="N41" s="79" t="e">
        <f>VLOOKUP(2,Aides!$E$32:$I$36,5,FALSE())</f>
        <v>#N/A</v>
      </c>
    </row>
    <row r="42" spans="2:14" s="12" customFormat="1" ht="15" customHeight="1">
      <c r="B42" s="45" t="s">
        <v>33</v>
      </c>
      <c r="C42" s="46" t="str">
        <f t="shared" si="1"/>
        <v/>
      </c>
      <c r="D42" s="47" t="str">
        <f t="shared" si="1"/>
        <v/>
      </c>
      <c r="E42" s="48">
        <f>IF($D33=Aides!$B$46,,IF($G$22&lt;&gt;"",IF(G$24="",G33*G$23,G33*G$24),)+IF($H$22&lt;&gt;"",IF(H$24="",H33*H$23,H33*H$24),)+IF($I$22&lt;&gt;"",IF(I$24="",I33*I$23,I33*I$24),)+IF($J$22&lt;&gt;"",IF(J$24="",J33*J$23,J33*J$24),))</f>
        <v>0</v>
      </c>
      <c r="F42" s="48">
        <f>IF($D33=Aides!$B$46,,IF($G$22&lt;&gt;"",G33*G$25,)+IF($H$22&lt;&gt;"",H33*H$25,)+IF($I$22&lt;&gt;"",I33*I$25,)+IF($J$22&lt;&gt;"",J33*J$25,))</f>
        <v>0</v>
      </c>
      <c r="G42" s="49">
        <f>IF($D33=Aides!$B$46,,IF($G$22&lt;&gt;"",IF(G$27="",G33*G$26,G33*G$27),)+IF($H$22&lt;&gt;"",IF(H$27="",H33*H$26,H33*H$27),)+IF($I$22&lt;&gt;"",IF(I$27="",I33*I$26,I33*I$27),)+IF($J$22&lt;&gt;"",IF(J$27="",J33*J$26,J33*J$27),))/1000</f>
        <v>0</v>
      </c>
      <c r="H42" s="48">
        <f>E42*K33</f>
        <v>0</v>
      </c>
      <c r="I42" s="48">
        <f>IF($D33=Aides!$B$46,"",L33-M33)</f>
        <v>0</v>
      </c>
      <c r="J42" s="49" t="str">
        <f t="shared" si="2"/>
        <v/>
      </c>
      <c r="K42" s="111" t="str">
        <f>IF(AND(H42&lt;&gt;0,H42&lt;&gt;""),N33/H42,"")</f>
        <v/>
      </c>
      <c r="L42" s="109" t="str">
        <f t="shared" si="3"/>
        <v/>
      </c>
      <c r="M42" s="89" t="e">
        <f>VLOOKUP(3,Aides!$E$32:$G$36,3,FALSE())</f>
        <v>#N/A</v>
      </c>
      <c r="N42" s="80" t="e">
        <f>VLOOKUP(3,Aides!$E$32:$I$36,5,FALSE())</f>
        <v>#N/A</v>
      </c>
    </row>
    <row r="43" spans="2:14" s="12" customFormat="1" ht="15" customHeight="1">
      <c r="B43" s="45" t="s">
        <v>34</v>
      </c>
      <c r="C43" s="46" t="str">
        <f t="shared" si="1"/>
        <v/>
      </c>
      <c r="D43" s="47" t="str">
        <f t="shared" si="1"/>
        <v/>
      </c>
      <c r="E43" s="48">
        <f>IF($D34=Aides!$B$46,,IF($G$22&lt;&gt;"",IF(G$24="",G34*G$23,G34*G$24),)+IF($H$22&lt;&gt;"",IF(H$24="",H34*H$23,H34*H$24),)+IF($I$22&lt;&gt;"",IF(I$24="",I34*I$23,I34*I$24),)+IF($J$22&lt;&gt;"",IF(J$24="",J34*J$23,J34*J$24),))</f>
        <v>0</v>
      </c>
      <c r="F43" s="48">
        <f>IF($D34=Aides!$B$46,,IF($G$22&lt;&gt;"",G34*G$25,)+IF($H$22&lt;&gt;"",H34*H$25,)+IF($I$22&lt;&gt;"",I34*I$25,)+IF($J$22&lt;&gt;"",J34*J$25,))</f>
        <v>0</v>
      </c>
      <c r="G43" s="49">
        <f>IF($D34=Aides!$B$46,,IF($G$22&lt;&gt;"",IF(G$27="",G34*G$26,G34*G$27),)+IF($H$22&lt;&gt;"",IF(H$27="",H34*H$26,H34*H$27),)+IF($I$22&lt;&gt;"",IF(I$27="",I34*I$26,I34*I$27),)+IF($J$22&lt;&gt;"",IF(J$27="",J34*J$26,J34*J$27),))/1000</f>
        <v>0</v>
      </c>
      <c r="H43" s="48">
        <f>E43*K34</f>
        <v>0</v>
      </c>
      <c r="I43" s="48">
        <f>IF($D34=Aides!$B$46,"",L34-M34)</f>
        <v>0</v>
      </c>
      <c r="J43" s="49" t="str">
        <f t="shared" si="2"/>
        <v/>
      </c>
      <c r="K43" s="111" t="str">
        <f>IF(AND(H43&lt;&gt;0,H43&lt;&gt;""),N34/H43,"")</f>
        <v/>
      </c>
      <c r="L43" s="109" t="str">
        <f t="shared" si="3"/>
        <v/>
      </c>
      <c r="M43" s="90" t="e">
        <f>VLOOKUP(4,Aides!$E$32:$G$36,3,FALSE())</f>
        <v>#N/A</v>
      </c>
      <c r="N43" s="79" t="e">
        <f>VLOOKUP(4,Aides!$E$32:$I$36,5,FALSE())</f>
        <v>#N/A</v>
      </c>
    </row>
    <row r="44" spans="2:14" s="12" customFormat="1" ht="15" customHeight="1" thickBot="1">
      <c r="B44" s="50" t="s">
        <v>35</v>
      </c>
      <c r="C44" s="51" t="str">
        <f t="shared" si="1"/>
        <v/>
      </c>
      <c r="D44" s="52" t="str">
        <f t="shared" si="1"/>
        <v/>
      </c>
      <c r="E44" s="53">
        <f>IF($D35=Aides!$B$46,,IF($G$22&lt;&gt;"",IF(G$24="",G35*G$23,G35*G$24),)+IF($H$22&lt;&gt;"",IF(H$24="",H35*H$23,H35*H$24),)+IF($I$22&lt;&gt;"",IF(I$24="",I35*I$23,I35*I$24),)+IF($J$22&lt;&gt;"",IF(J$24="",J35*J$23,J35*J$24),))</f>
        <v>0</v>
      </c>
      <c r="F44" s="53">
        <f>IF($D35=Aides!$B$46,,IF($G$22&lt;&gt;"",G35*G$25,)+IF($H$22&lt;&gt;"",H35*H$25,)+IF($I$22&lt;&gt;"",I35*I$25,)+IF($J$22&lt;&gt;"",J35*J$25,))</f>
        <v>0</v>
      </c>
      <c r="G44" s="54">
        <f>IF($D35=Aides!$B$46,,IF($G$22&lt;&gt;"",IF(G$27="",G35*G$26,G35*G$27),)+IF($H$22&lt;&gt;"",IF(H$27="",H35*H$26,H35*H$27),)+IF($I$22&lt;&gt;"",IF(I$27="",I35*I$26,I35*I$27),)+IF($J$22&lt;&gt;"",IF(J$27="",J35*J$26,J35*J$27),))/1000</f>
        <v>0</v>
      </c>
      <c r="H44" s="53">
        <f>E44*K35</f>
        <v>0</v>
      </c>
      <c r="I44" s="53">
        <f>IF($D35=Aides!$B$46,"",L35-M35)</f>
        <v>0</v>
      </c>
      <c r="J44" s="54" t="str">
        <f t="shared" si="2"/>
        <v/>
      </c>
      <c r="K44" s="112" t="str">
        <f>IF(AND(H44&lt;&gt;0,H44&lt;&gt;""),N35/H44,"")</f>
        <v/>
      </c>
      <c r="L44" s="110" t="str">
        <f>IF(AND(L35&lt;&gt;0,L35&lt;&gt;""),(N35+M35)/L35,"")</f>
        <v/>
      </c>
      <c r="M44" s="91" t="e">
        <f>VLOOKUP(5,Aides!$E$32:$G$36,3,FALSE())</f>
        <v>#N/A</v>
      </c>
      <c r="N44" s="81" t="e">
        <f>VLOOKUP(5,Aides!$E$32:$I$36,5,FALSE())</f>
        <v>#N/A</v>
      </c>
    </row>
    <row r="45" spans="2:14" s="12" customFormat="1" ht="43.5" customHeight="1" thickTop="1">
      <c r="B45" s="74" t="s">
        <v>36</v>
      </c>
      <c r="C45" s="75" t="str">
        <f>IF(C36="","",C36)</f>
        <v>Valeurs pour APE non exclues !</v>
      </c>
      <c r="D45" s="88"/>
      <c r="E45" s="72">
        <f>SUM(E40:E44)</f>
        <v>0</v>
      </c>
      <c r="F45" s="72">
        <f>SUM(F40:F44)</f>
        <v>0</v>
      </c>
      <c r="G45" s="76">
        <f>SUM(G40:G44)</f>
        <v>0</v>
      </c>
      <c r="H45" s="72">
        <f>SUM(H40:H44)</f>
        <v>0</v>
      </c>
      <c r="I45" s="72">
        <f>SUM(I40:I44)</f>
        <v>0</v>
      </c>
      <c r="J45" s="77" t="str">
        <f t="shared" si="2"/>
        <v/>
      </c>
      <c r="K45" s="78" t="str">
        <f>IF(H45&lt;&gt;0,N36/H45,"")</f>
        <v/>
      </c>
      <c r="L45" s="105" t="str">
        <f>IF(AND(L36&lt;&gt;0,L36&lt;&gt;""),(N36+M36)/L36,"")</f>
        <v/>
      </c>
      <c r="M45" s="119" t="e">
        <f>IF((Aides!G33&lt;Aides!G36),"Invalide: le taux d'aide max limite l'AideFinREE à moins de 5'000.- (valeur seuil minimale)!",IF(Simulation!N36&gt;MIN(Aides!G33,Aides!G34),"Aide sollicitée trop élevée !",IF(Simulation!N36&lt;Aides!G36,"Aide sollicitée trop petite !",IF(AND(Aides!G32&lt;Aides!G35,Aides!G32&gt;=Aides!G36),"Aide sollicitée faible, possible seulement si le projet est exemplaire !",""))))</f>
        <v>#DIV/0!</v>
      </c>
      <c r="N45" s="120"/>
    </row>
    <row r="46" spans="2:14" s="113" customFormat="1" ht="57" customHeight="1">
      <c r="J46" s="14" t="str">
        <f>IF(J45="","",IF(J45&lt;Payback_min,"payback &lt; 4 ans !",IF(J45&gt;Payback_max,"payback &gt; 15 ans !","")))</f>
        <v/>
      </c>
      <c r="L46" s="14" t="str">
        <f>IF(L45="","",IF(L45&gt;(Aides!$C$25),CONCATENATE("le taux d'aide max. (=",TEXT(Aides!$C$25,"0.0%"),") est dépassé ! =&gt; AideFinREE maximale = ",TEXT(AideTaux_max,"#'##0")),""))</f>
        <v/>
      </c>
    </row>
    <row r="47" spans="2:14">
      <c r="E47" s="114"/>
      <c r="J47" s="15"/>
    </row>
  </sheetData>
  <sheetProtection algorithmName="SHA-512" hashValue="u2tObV5XAtU7Nfv/KLon0vRuTil5BYmLngTV2SRj+EC0d6QAVsbK4x5DeUQ5hjlT1BUpAotvXjxnwXeWe+qJ8Q==" saltValue="pg1KwgN1eoW3QA10YBh0ag==" spinCount="100000" sheet="1" objects="1" scenarios="1"/>
  <mergeCells count="9">
    <mergeCell ref="M39:N39"/>
    <mergeCell ref="M45:N45"/>
    <mergeCell ref="B1:B3"/>
    <mergeCell ref="C1:N1"/>
    <mergeCell ref="C3:N3"/>
    <mergeCell ref="D23:E24"/>
    <mergeCell ref="D26:E27"/>
    <mergeCell ref="E29:F29"/>
    <mergeCell ref="G29:J29"/>
  </mergeCells>
  <conditionalFormatting sqref="N44">
    <cfRule type="cellIs" dxfId="51" priority="82" stopIfTrue="1" operator="equal">
      <formula>"AideFinREE sollicitée"</formula>
    </cfRule>
  </conditionalFormatting>
  <conditionalFormatting sqref="N43">
    <cfRule type="cellIs" dxfId="50" priority="81" stopIfTrue="1" operator="equal">
      <formula>"AideFinREE sollicitée"</formula>
    </cfRule>
  </conditionalFormatting>
  <conditionalFormatting sqref="N42">
    <cfRule type="cellIs" dxfId="49" priority="80" stopIfTrue="1" operator="equal">
      <formula>"AideFinREE sollicitée"</formula>
    </cfRule>
  </conditionalFormatting>
  <conditionalFormatting sqref="N41">
    <cfRule type="cellIs" dxfId="48" priority="79" stopIfTrue="1" operator="equal">
      <formula>"AideFinREE sollicitée"</formula>
    </cfRule>
  </conditionalFormatting>
  <conditionalFormatting sqref="N40">
    <cfRule type="cellIs" dxfId="47" priority="78" stopIfTrue="1" operator="equal">
      <formula>"AideFinREE sollicitée"</formula>
    </cfRule>
  </conditionalFormatting>
  <conditionalFormatting sqref="J47">
    <cfRule type="expression" dxfId="46" priority="47" stopIfTrue="1">
      <formula>($J$45&lt;4)</formula>
    </cfRule>
  </conditionalFormatting>
  <conditionalFormatting sqref="G26:J26">
    <cfRule type="expression" dxfId="45" priority="38" stopIfTrue="1">
      <formula>G27&lt;&gt;""</formula>
    </cfRule>
  </conditionalFormatting>
  <conditionalFormatting sqref="G23">
    <cfRule type="expression" dxfId="44" priority="33">
      <formula>$G$24&lt;&gt;""</formula>
    </cfRule>
  </conditionalFormatting>
  <conditionalFormatting sqref="H23">
    <cfRule type="expression" dxfId="43" priority="32">
      <formula>$H$24&lt;&gt;""</formula>
    </cfRule>
  </conditionalFormatting>
  <conditionalFormatting sqref="I23">
    <cfRule type="expression" dxfId="42" priority="31">
      <formula>$I$24&lt;&gt;""</formula>
    </cfRule>
  </conditionalFormatting>
  <conditionalFormatting sqref="J23">
    <cfRule type="expression" dxfId="41" priority="30">
      <formula>$J$24&lt;&gt;""</formula>
    </cfRule>
  </conditionalFormatting>
  <hyperlinks>
    <hyperlink ref="L27" display="https://www.bafu.admin.ch/bafu/fr/home/themes/climat/etat/donnees/inventaire-gaz-effet-serre.html"/>
    <hyperlink ref="L24"/>
  </hyperlinks>
  <printOptions horizontalCentered="1"/>
  <pageMargins left="0.78740157480314965" right="0.78740157480314965" top="1.1811023622047245" bottom="0.78740157480314965" header="0.78740157480314965" footer="0.31496062992125984"/>
  <pageSetup paperSize="8" scale="89" orientation="landscape" r:id="rId3"/>
  <headerFooter alignWithMargins="0">
    <oddFooter>&amp;C&amp;"Calibri1,Regular"&amp;F/&amp;A</oddFooter>
  </headerFooter>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41" stopIfTrue="1" id="{BF479F7C-4455-4084-9717-C25FC926D888}">
            <xm:f>($D$31=Aides!$B$46)</xm:f>
            <x14:dxf>
              <font>
                <color rgb="FF000000"/>
              </font>
              <fill>
                <patternFill patternType="lightDown">
                  <fgColor auto="1"/>
                  <bgColor auto="1"/>
                </patternFill>
              </fill>
            </x14:dxf>
          </x14:cfRule>
          <xm:sqref>E40:L40</xm:sqref>
        </x14:conditionalFormatting>
        <x14:conditionalFormatting xmlns:xm="http://schemas.microsoft.com/office/excel/2006/main">
          <x14:cfRule type="expression" priority="42" stopIfTrue="1" id="{9CC76C0D-4ED1-4F4E-9787-CE1D84174EBD}">
            <xm:f>($D$32=Aides!$B$46)</xm:f>
            <x14:dxf>
              <font>
                <color rgb="FF000000"/>
              </font>
              <fill>
                <patternFill patternType="lightDown">
                  <fgColor auto="1"/>
                  <bgColor auto="1"/>
                </patternFill>
              </fill>
            </x14:dxf>
          </x14:cfRule>
          <xm:sqref>E41:L41</xm:sqref>
        </x14:conditionalFormatting>
        <x14:conditionalFormatting xmlns:xm="http://schemas.microsoft.com/office/excel/2006/main">
          <x14:cfRule type="expression" priority="43" stopIfTrue="1" id="{74AAAE1D-65E9-4021-9098-C0D38BBC4AB4}">
            <xm:f>($D$33=Aides!$B$46)</xm:f>
            <x14:dxf>
              <font>
                <color rgb="FF000000"/>
              </font>
              <fill>
                <patternFill patternType="lightDown">
                  <fgColor auto="1"/>
                  <bgColor auto="1"/>
                </patternFill>
              </fill>
            </x14:dxf>
          </x14:cfRule>
          <xm:sqref>E42:L42</xm:sqref>
        </x14:conditionalFormatting>
        <x14:conditionalFormatting xmlns:xm="http://schemas.microsoft.com/office/excel/2006/main">
          <x14:cfRule type="expression" priority="44" stopIfTrue="1" id="{99A88DC8-C9D5-4E47-9534-F17F796AB4B4}">
            <xm:f>($D$34=Aides!$B$46)</xm:f>
            <x14:dxf>
              <font>
                <color rgb="FF000000"/>
              </font>
              <fill>
                <patternFill patternType="lightDown">
                  <fgColor auto="1"/>
                  <bgColor auto="1"/>
                </patternFill>
              </fill>
            </x14:dxf>
          </x14:cfRule>
          <xm:sqref>E43:L43</xm:sqref>
        </x14:conditionalFormatting>
        <x14:conditionalFormatting xmlns:xm="http://schemas.microsoft.com/office/excel/2006/main">
          <x14:cfRule type="expression" priority="45" stopIfTrue="1" id="{1D630E56-6482-4D2E-A3F1-9B00FE1F6AD1}">
            <xm:f>($D$35=Aides!$B$46)</xm:f>
            <x14:dxf>
              <font>
                <color rgb="FF000000"/>
              </font>
              <fill>
                <patternFill patternType="lightDown">
                  <fgColor auto="1"/>
                  <bgColor auto="1"/>
                </patternFill>
              </fill>
            </x14:dxf>
          </x14:cfRule>
          <xm:sqref>E44:L44</xm:sqref>
        </x14:conditionalFormatting>
        <x14:conditionalFormatting xmlns:xm="http://schemas.microsoft.com/office/excel/2006/main">
          <x14:cfRule type="expression" priority="77" stopIfTrue="1" id="{E34A3CC5-21FD-4B6C-8E5F-670E8FC460C3}">
            <xm:f>($D$31=Aides!$B$46)</xm:f>
            <x14:dxf>
              <font>
                <color rgb="FF000000"/>
              </font>
              <fill>
                <patternFill patternType="lightDown">
                  <fgColor auto="1"/>
                  <bgColor theme="9" tint="0.79998168889431442"/>
                </patternFill>
              </fill>
            </x14:dxf>
          </x14:cfRule>
          <xm:sqref>E31:N31</xm:sqref>
        </x14:conditionalFormatting>
        <x14:conditionalFormatting xmlns:xm="http://schemas.microsoft.com/office/excel/2006/main">
          <x14:cfRule type="expression" priority="85" stopIfTrue="1" id="{3933BDC7-C395-4A3B-AF77-088A5B80557A}">
            <xm:f>NOT(G$22=Aides!$B$14)</xm:f>
            <x14:dxf>
              <font>
                <color rgb="FF000000"/>
              </font>
              <fill>
                <patternFill patternType="solid">
                  <fgColor rgb="FFE2F0D9"/>
                  <bgColor theme="4" tint="0.79998168889431442"/>
                </patternFill>
              </fill>
            </x14:dxf>
          </x14:cfRule>
          <x14:cfRule type="expression" priority="86" stopIfTrue="1" id="{B41EA946-2A8C-40AD-A6E1-1F2CC8945CCA}">
            <xm:f>(G$22=Aides!$B$14)</xm:f>
            <x14:dxf>
              <font>
                <color rgb="FF000000"/>
              </font>
              <fill>
                <patternFill patternType="solid">
                  <fgColor rgb="FFDEEBF7"/>
                  <bgColor theme="9" tint="0.79998168889431442"/>
                </patternFill>
              </fill>
            </x14:dxf>
          </x14:cfRule>
          <xm:sqref>G24:J24</xm:sqref>
        </x14:conditionalFormatting>
        <x14:conditionalFormatting xmlns:xm="http://schemas.microsoft.com/office/excel/2006/main">
          <x14:cfRule type="expression" priority="39" stopIfTrue="1" id="{A33F7C10-D7B1-4C57-9348-0887A24AFC6F}">
            <xm:f>OR(G$22=Aides!$B$8,G$22=Aides!$B$14)</xm:f>
            <x14:dxf>
              <font>
                <color rgb="FF000000"/>
              </font>
              <fill>
                <patternFill patternType="solid">
                  <fgColor rgb="FFDEEBF7"/>
                  <bgColor theme="9" tint="0.79998168889431442"/>
                </patternFill>
              </fill>
            </x14:dxf>
          </x14:cfRule>
          <x14:cfRule type="expression" priority="40" stopIfTrue="1" id="{A6CF92B5-CD15-4D12-ADBF-29A62E99A567}">
            <xm:f>NOT(OR(G$22=Aides!$B$8,G$22=Aides!$B$14))</xm:f>
            <x14:dxf>
              <font>
                <color rgb="FF000000"/>
              </font>
              <fill>
                <patternFill patternType="solid">
                  <fgColor rgb="FFE2F0D9"/>
                  <bgColor theme="4" tint="0.79998168889431442"/>
                </patternFill>
              </fill>
            </x14:dxf>
          </x14:cfRule>
          <xm:sqref>G27:J27</xm:sqref>
        </x14:conditionalFormatting>
        <x14:conditionalFormatting xmlns:xm="http://schemas.microsoft.com/office/excel/2006/main">
          <x14:cfRule type="expression" priority="37" id="{D01F9B74-FF8A-436A-A9F3-0AD662E55A7B}">
            <xm:f>($D$32=Aides!$B$46)</xm:f>
            <x14:dxf>
              <fill>
                <patternFill patternType="lightDown"/>
              </fill>
            </x14:dxf>
          </x14:cfRule>
          <xm:sqref>E32:N32</xm:sqref>
        </x14:conditionalFormatting>
        <x14:conditionalFormatting xmlns:xm="http://schemas.microsoft.com/office/excel/2006/main">
          <x14:cfRule type="expression" priority="36" id="{93B4B1D0-F9AF-4535-9418-E0F9A8B21832}">
            <xm:f>($D$33=Aides!$B$46)</xm:f>
            <x14:dxf>
              <fill>
                <patternFill patternType="lightDown"/>
              </fill>
            </x14:dxf>
          </x14:cfRule>
          <xm:sqref>E33:N33</xm:sqref>
        </x14:conditionalFormatting>
        <x14:conditionalFormatting xmlns:xm="http://schemas.microsoft.com/office/excel/2006/main">
          <x14:cfRule type="expression" priority="35" id="{E0813368-24A6-49DE-ABBC-95D07528C513}">
            <xm:f>($D$34=Aides!$B$46)</xm:f>
            <x14:dxf>
              <fill>
                <patternFill patternType="lightDown"/>
              </fill>
            </x14:dxf>
          </x14:cfRule>
          <xm:sqref>E34:N34</xm:sqref>
        </x14:conditionalFormatting>
        <x14:conditionalFormatting xmlns:xm="http://schemas.microsoft.com/office/excel/2006/main">
          <x14:cfRule type="expression" priority="34" id="{52647C0E-4418-4D8F-AFFE-EB02F9A9E344}">
            <xm:f>($D$35=Aides!$B$46)</xm:f>
            <x14:dxf>
              <fill>
                <patternFill patternType="lightDown"/>
              </fill>
            </x14:dxf>
          </x14:cfRule>
          <xm:sqref>E35:N35</xm:sqref>
        </x14:conditionalFormatting>
        <x14:conditionalFormatting xmlns:xm="http://schemas.microsoft.com/office/excel/2006/main">
          <x14:cfRule type="expression" priority="25" id="{EAA4180E-F754-4E0E-95C2-47940A6AF4CF}">
            <xm:f>AND(M44&gt;=Aides!$G$36,M44&lt;Aides!$G$35,N44="AideFinREE sollicitée")</xm:f>
            <x14:dxf>
              <fill>
                <patternFill>
                  <bgColor theme="7" tint="0.39994506668294322"/>
                </patternFill>
              </fill>
            </x14:dxf>
          </x14:cfRule>
          <x14:cfRule type="expression" priority="26" id="{367BCC86-A781-42E0-A8EC-A907AE37967D}">
            <xm:f>AND(N44="AideFinREE sollicitée",M44&lt;=MIN(Aides!$G$34,Aides!$G$33),M44&gt;=Aides!$G$36)</xm:f>
            <x14:dxf>
              <fill>
                <patternFill>
                  <bgColor rgb="FF00B050"/>
                </patternFill>
              </fill>
            </x14:dxf>
          </x14:cfRule>
          <x14:cfRule type="cellIs" priority="27" operator="greaterThanOrEqual" id="{DF0FEEA3-8740-43CB-8B60-496C228CB3B7}">
            <xm:f>MIN(Aides!$G$33,Aides!$G$34)</xm:f>
            <x14:dxf>
              <fill>
                <patternFill>
                  <bgColor rgb="FFFF0000"/>
                </patternFill>
              </fill>
            </x14:dxf>
          </x14:cfRule>
          <x14:cfRule type="cellIs" priority="28" operator="equal" id="{D4669359-F753-4351-9860-D10212047B15}">
            <xm:f>Aides!$G$35</xm:f>
            <x14:dxf>
              <fill>
                <patternFill>
                  <bgColor theme="4" tint="0.79998168889431442"/>
                </patternFill>
              </fill>
            </x14:dxf>
          </x14:cfRule>
          <x14:cfRule type="cellIs" priority="29" operator="lessThanOrEqual" id="{DD0F8B4F-B944-48A5-B6FD-A8A2427108D0}">
            <xm:f>Aides!$G$36</xm:f>
            <x14:dxf>
              <fill>
                <patternFill>
                  <bgColor rgb="FF0066FF"/>
                </patternFill>
              </fill>
            </x14:dxf>
          </x14:cfRule>
          <xm:sqref>M44</xm:sqref>
        </x14:conditionalFormatting>
        <x14:conditionalFormatting xmlns:xm="http://schemas.microsoft.com/office/excel/2006/main">
          <x14:cfRule type="expression" priority="20" id="{6F83A678-52F5-4393-876F-DFFF0C7D47C1}">
            <xm:f>AND(M43&gt;=Aides!$G$36,M43&lt;Aides!$G$35,N43="AideFinREE sollicitée")</xm:f>
            <x14:dxf>
              <fill>
                <patternFill>
                  <bgColor theme="7" tint="0.39994506668294322"/>
                </patternFill>
              </fill>
            </x14:dxf>
          </x14:cfRule>
          <x14:cfRule type="expression" priority="21" id="{11B7BA4D-0C45-4CA9-88F4-DDDB8B564599}">
            <xm:f>AND(N43="AideFinREE sollicitée",M43&lt;=MIN(Aides!$G$34,Aides!$G$33),M43&gt;=Aides!$G$36)</xm:f>
            <x14:dxf>
              <fill>
                <patternFill>
                  <bgColor rgb="FF00B050"/>
                </patternFill>
              </fill>
            </x14:dxf>
          </x14:cfRule>
          <x14:cfRule type="cellIs" priority="22" operator="greaterThanOrEqual" id="{38513F43-7046-451F-AC10-E7E2A68F177F}">
            <xm:f>MIN(Aides!$G$33,Aides!$G$34)</xm:f>
            <x14:dxf>
              <fill>
                <patternFill>
                  <bgColor rgb="FFFF0000"/>
                </patternFill>
              </fill>
            </x14:dxf>
          </x14:cfRule>
          <x14:cfRule type="cellIs" priority="23" operator="equal" id="{2B237EA0-955C-49C8-9F39-A24597F8C964}">
            <xm:f>Aides!$G$35</xm:f>
            <x14:dxf>
              <fill>
                <patternFill>
                  <bgColor theme="4" tint="0.79998168889431442"/>
                </patternFill>
              </fill>
            </x14:dxf>
          </x14:cfRule>
          <x14:cfRule type="cellIs" priority="24" operator="lessThanOrEqual" id="{F5B2BB76-47B3-4C34-8700-0F22E3342226}">
            <xm:f>Aides!$G$36</xm:f>
            <x14:dxf>
              <fill>
                <patternFill>
                  <bgColor rgb="FF0066FF"/>
                </patternFill>
              </fill>
            </x14:dxf>
          </x14:cfRule>
          <xm:sqref>M43</xm:sqref>
        </x14:conditionalFormatting>
        <x14:conditionalFormatting xmlns:xm="http://schemas.microsoft.com/office/excel/2006/main">
          <x14:cfRule type="expression" priority="15" id="{39A4A40D-778C-4A48-A2BB-93DB94F29A64}">
            <xm:f>AND(M42&gt;=Aides!$G$36,M42&lt;Aides!$G$35,N42="AideFinREE sollicitée")</xm:f>
            <x14:dxf>
              <fill>
                <patternFill>
                  <bgColor theme="7" tint="0.39994506668294322"/>
                </patternFill>
              </fill>
            </x14:dxf>
          </x14:cfRule>
          <x14:cfRule type="expression" priority="16" id="{B71099BB-E476-48E8-95E7-0E4EA1F524BF}">
            <xm:f>AND(N42="AideFinREE sollicitée",M42&lt;=MIN(Aides!$G$34,Aides!$G$33),M42&gt;=Aides!$G$36)</xm:f>
            <x14:dxf>
              <fill>
                <patternFill>
                  <bgColor rgb="FF00B050"/>
                </patternFill>
              </fill>
            </x14:dxf>
          </x14:cfRule>
          <x14:cfRule type="cellIs" priority="17" operator="greaterThanOrEqual" id="{D5E9B012-92CA-4F10-A807-3FC176BFCE32}">
            <xm:f>MIN(Aides!$G$33,Aides!$G$34)</xm:f>
            <x14:dxf>
              <fill>
                <patternFill>
                  <bgColor rgb="FFFF0000"/>
                </patternFill>
              </fill>
            </x14:dxf>
          </x14:cfRule>
          <x14:cfRule type="cellIs" priority="18" operator="equal" id="{0E4BA0F1-56CF-46CA-AAEA-978BEB145B6E}">
            <xm:f>Aides!$G$35</xm:f>
            <x14:dxf>
              <fill>
                <patternFill>
                  <bgColor theme="4" tint="0.79998168889431442"/>
                </patternFill>
              </fill>
            </x14:dxf>
          </x14:cfRule>
          <x14:cfRule type="cellIs" priority="19" operator="lessThanOrEqual" id="{BAA9EFA3-3E52-46B5-A6F5-AAA0F83DD084}">
            <xm:f>Aides!$G$36</xm:f>
            <x14:dxf>
              <fill>
                <patternFill>
                  <bgColor rgb="FF0066FF"/>
                </patternFill>
              </fill>
            </x14:dxf>
          </x14:cfRule>
          <xm:sqref>M42</xm:sqref>
        </x14:conditionalFormatting>
        <x14:conditionalFormatting xmlns:xm="http://schemas.microsoft.com/office/excel/2006/main">
          <x14:cfRule type="expression" priority="10" id="{59CB42CB-5564-4D89-A05F-784621E53D5E}">
            <xm:f>AND(M41&gt;=Aides!$G$36,M41&lt;Aides!$G$35,N41="AideFinREE sollicitée")</xm:f>
            <x14:dxf>
              <fill>
                <patternFill>
                  <bgColor theme="7" tint="0.39994506668294322"/>
                </patternFill>
              </fill>
            </x14:dxf>
          </x14:cfRule>
          <x14:cfRule type="expression" priority="11" id="{B7505004-4D66-4D25-A4A3-336D7C8EDF77}">
            <xm:f>AND(N41="AideFinREE sollicitée",M41&lt;=MIN(Aides!$G$34,Aides!$G$33),M41&gt;=Aides!$G$36)</xm:f>
            <x14:dxf>
              <fill>
                <patternFill>
                  <bgColor rgb="FF00B050"/>
                </patternFill>
              </fill>
            </x14:dxf>
          </x14:cfRule>
          <x14:cfRule type="cellIs" priority="12" operator="greaterThanOrEqual" id="{861B6F00-36DA-4052-B242-143F06485A13}">
            <xm:f>MIN(Aides!$G$33,Aides!$G$34)</xm:f>
            <x14:dxf>
              <fill>
                <patternFill>
                  <bgColor rgb="FFFF0000"/>
                </patternFill>
              </fill>
            </x14:dxf>
          </x14:cfRule>
          <x14:cfRule type="cellIs" priority="13" operator="equal" id="{48685761-9637-480A-B083-5E9AA7412A72}">
            <xm:f>Aides!$G$35</xm:f>
            <x14:dxf>
              <fill>
                <patternFill>
                  <bgColor theme="4" tint="0.79998168889431442"/>
                </patternFill>
              </fill>
            </x14:dxf>
          </x14:cfRule>
          <x14:cfRule type="cellIs" priority="14" operator="lessThanOrEqual" id="{86216B07-BDFB-4197-AD5E-84CDEECAEAA1}">
            <xm:f>Aides!$G$36</xm:f>
            <x14:dxf>
              <fill>
                <patternFill>
                  <bgColor rgb="FF0066FF"/>
                </patternFill>
              </fill>
            </x14:dxf>
          </x14:cfRule>
          <xm:sqref>M41</xm:sqref>
        </x14:conditionalFormatting>
        <x14:conditionalFormatting xmlns:xm="http://schemas.microsoft.com/office/excel/2006/main">
          <x14:cfRule type="expression" priority="4" id="{75D1A17F-7A61-499B-9BEC-6E96D20386EB}">
            <xm:f>AND(M40&gt;=Aides!$G$36,M40&lt;Aides!$G$35,N40="AideFinREE sollicitée")</xm:f>
            <x14:dxf>
              <fill>
                <patternFill>
                  <bgColor theme="7" tint="0.39994506668294322"/>
                </patternFill>
              </fill>
            </x14:dxf>
          </x14:cfRule>
          <x14:cfRule type="expression" priority="6" id="{4B2CF21A-1240-4A40-B40B-FD1932C4883F}">
            <xm:f>AND(N40="AideFinREE sollicitée",M40&lt;=MIN(Aides!$G$34,Aides!$G$33),M40&gt;=Aides!$G$36)</xm:f>
            <x14:dxf>
              <fill>
                <patternFill>
                  <bgColor rgb="FF00B050"/>
                </patternFill>
              </fill>
            </x14:dxf>
          </x14:cfRule>
          <x14:cfRule type="cellIs" priority="7" operator="greaterThanOrEqual" id="{7060BBB6-FB7D-4BCF-A185-08D818F2744D}">
            <xm:f>MIN(Aides!$G$33,Aides!$G$34)</xm:f>
            <x14:dxf>
              <fill>
                <patternFill>
                  <bgColor rgb="FFFF0000"/>
                </patternFill>
              </fill>
            </x14:dxf>
          </x14:cfRule>
          <x14:cfRule type="cellIs" priority="8" operator="equal" id="{B0ECD688-F7FC-4CAB-9F4C-CF2C4B94A909}">
            <xm:f>Aides!$G$35</xm:f>
            <x14:dxf>
              <fill>
                <patternFill>
                  <bgColor theme="4" tint="0.79998168889431442"/>
                </patternFill>
              </fill>
            </x14:dxf>
          </x14:cfRule>
          <x14:cfRule type="cellIs" priority="9" operator="lessThanOrEqual" id="{873A099A-160D-41F1-B573-42824C9B6346}">
            <xm:f>Aides!$G$36</xm:f>
            <x14:dxf>
              <fill>
                <patternFill>
                  <bgColor rgb="FF0066FF"/>
                </patternFill>
              </fill>
            </x14:dxf>
          </x14:cfRule>
          <xm:sqref>M40</xm:sqref>
        </x14:conditionalFormatting>
        <x14:conditionalFormatting xmlns:xm="http://schemas.microsoft.com/office/excel/2006/main">
          <x14:cfRule type="expression" priority="3" id="{70A18DB8-C625-41F3-8661-A0EB1BE0E643}">
            <xm:f>OR(AND(J45&lt;&gt;"",J45&lt;Aides!$C$40),AND(J45&lt;&gt;"",J45&gt;Aides!$C$39))</xm:f>
            <x14:dxf>
              <fill>
                <patternFill>
                  <bgColor rgb="FFFF0000"/>
                </patternFill>
              </fill>
            </x14:dxf>
          </x14:cfRule>
          <xm:sqref>J45</xm:sqref>
        </x14:conditionalFormatting>
        <x14:conditionalFormatting xmlns:xm="http://schemas.microsoft.com/office/excel/2006/main">
          <x14:cfRule type="expression" priority="1" id="{F6ADBB26-778A-4D4C-9FD8-1F0F248EAB4E}">
            <xm:f>($L$45&gt;(Aides!$C$23+Aides!$C$24))</xm:f>
            <x14:dxf>
              <fill>
                <patternFill>
                  <bgColor rgb="FFFF0000"/>
                </patternFill>
              </fill>
            </x14:dxf>
          </x14:cfRule>
          <xm:sqref>L45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Aides!$B$45:$B$46</xm:f>
          </x14:formula1>
          <xm:sqref>D31:D35</xm:sqref>
        </x14:dataValidation>
        <x14:dataValidation type="list" allowBlank="1" showInputMessage="1" showErrorMessage="1">
          <x14:formula1>
            <xm:f>Aides!$B$2:$B$18</xm:f>
          </x14:formula1>
          <xm:sqref>G22:J22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13" workbookViewId="0">
      <selection activeCell="C29" sqref="C29"/>
    </sheetView>
  </sheetViews>
  <sheetFormatPr baseColWidth="10" defaultRowHeight="15"/>
  <cols>
    <col min="1" max="1" width="3.42578125" customWidth="1"/>
    <col min="2" max="2" width="56.42578125" customWidth="1"/>
    <col min="3" max="3" width="27" customWidth="1"/>
    <col min="4" max="4" width="33" customWidth="1"/>
    <col min="5" max="64" width="11.28515625" customWidth="1"/>
  </cols>
  <sheetData>
    <row r="1" spans="1:4">
      <c r="C1" t="s">
        <v>45</v>
      </c>
      <c r="D1" t="s">
        <v>46</v>
      </c>
    </row>
    <row r="2" spans="1:4">
      <c r="A2" s="100"/>
      <c r="B2" s="16" t="s">
        <v>58</v>
      </c>
      <c r="C2" s="99">
        <v>2</v>
      </c>
      <c r="D2" s="18">
        <v>0</v>
      </c>
    </row>
    <row r="3" spans="1:4">
      <c r="A3" s="100"/>
      <c r="B3" s="16" t="s">
        <v>90</v>
      </c>
      <c r="C3" s="99">
        <v>0.1</v>
      </c>
      <c r="D3" s="18">
        <v>0</v>
      </c>
    </row>
    <row r="4" spans="1:4">
      <c r="A4" s="100"/>
      <c r="B4" s="16" t="s">
        <v>47</v>
      </c>
      <c r="C4" s="99">
        <v>1</v>
      </c>
      <c r="D4" s="18">
        <v>0.26500000000000001</v>
      </c>
    </row>
    <row r="5" spans="1:4">
      <c r="A5" s="100"/>
      <c r="B5" s="16" t="s">
        <v>48</v>
      </c>
      <c r="C5" s="99">
        <v>1</v>
      </c>
      <c r="D5" s="18">
        <v>0.20300000000000001</v>
      </c>
    </row>
    <row r="6" spans="1:4">
      <c r="A6" s="100"/>
      <c r="B6" s="16" t="s">
        <v>49</v>
      </c>
      <c r="C6" s="99">
        <v>1</v>
      </c>
      <c r="D6" s="18">
        <v>0.23300000000000001</v>
      </c>
    </row>
    <row r="7" spans="1:4">
      <c r="A7" s="100"/>
      <c r="B7" s="16" t="s">
        <v>50</v>
      </c>
      <c r="C7" s="99">
        <v>1</v>
      </c>
      <c r="D7" s="18">
        <v>0.23799999999999999</v>
      </c>
    </row>
    <row r="8" spans="1:4">
      <c r="A8" s="100"/>
      <c r="B8" s="16" t="s">
        <v>51</v>
      </c>
      <c r="C8" s="99">
        <v>1</v>
      </c>
      <c r="D8" s="18">
        <v>0.34</v>
      </c>
    </row>
    <row r="9" spans="1:4">
      <c r="A9" s="100"/>
      <c r="B9" s="16" t="s">
        <v>96</v>
      </c>
      <c r="C9" s="99">
        <v>1</v>
      </c>
      <c r="D9" s="18" t="s">
        <v>94</v>
      </c>
    </row>
    <row r="10" spans="1:4">
      <c r="B10" s="16" t="s">
        <v>52</v>
      </c>
      <c r="C10" s="99">
        <v>1</v>
      </c>
      <c r="D10" s="17" t="s">
        <v>53</v>
      </c>
    </row>
    <row r="11" spans="1:4">
      <c r="B11" s="16" t="s">
        <v>93</v>
      </c>
      <c r="C11" s="99">
        <v>0.1</v>
      </c>
      <c r="D11" s="18">
        <v>0</v>
      </c>
    </row>
    <row r="12" spans="1:4">
      <c r="B12" s="16" t="s">
        <v>54</v>
      </c>
      <c r="C12" s="99">
        <v>0.5</v>
      </c>
      <c r="D12" s="18">
        <v>0</v>
      </c>
    </row>
    <row r="13" spans="1:4">
      <c r="B13" s="16" t="s">
        <v>55</v>
      </c>
      <c r="C13" s="99">
        <v>0.5</v>
      </c>
      <c r="D13" s="18">
        <v>0</v>
      </c>
    </row>
    <row r="14" spans="1:4">
      <c r="B14" s="16" t="s">
        <v>56</v>
      </c>
      <c r="C14" s="99">
        <v>0</v>
      </c>
      <c r="D14" s="18">
        <v>0</v>
      </c>
    </row>
    <row r="15" spans="1:4">
      <c r="B15" s="16" t="s">
        <v>95</v>
      </c>
      <c r="C15" s="99">
        <v>0</v>
      </c>
      <c r="D15" s="18">
        <v>0</v>
      </c>
    </row>
    <row r="16" spans="1:4">
      <c r="B16" s="16" t="s">
        <v>57</v>
      </c>
      <c r="C16" s="99" t="s">
        <v>53</v>
      </c>
      <c r="D16" s="17" t="s">
        <v>53</v>
      </c>
    </row>
    <row r="17" spans="2:10">
      <c r="B17" s="16" t="s">
        <v>100</v>
      </c>
      <c r="C17" s="99" t="s">
        <v>97</v>
      </c>
      <c r="D17" s="18">
        <v>0</v>
      </c>
    </row>
    <row r="18" spans="2:10">
      <c r="B18" s="16" t="s">
        <v>91</v>
      </c>
      <c r="C18" s="99" t="s">
        <v>92</v>
      </c>
      <c r="D18" s="18" t="s">
        <v>92</v>
      </c>
    </row>
    <row r="21" spans="2:10">
      <c r="B21" s="19" t="s">
        <v>59</v>
      </c>
      <c r="C21" s="106">
        <v>2023</v>
      </c>
    </row>
    <row r="22" spans="2:10">
      <c r="B22" s="20"/>
      <c r="C22" s="20"/>
    </row>
    <row r="23" spans="2:10">
      <c r="B23" s="20" t="s">
        <v>60</v>
      </c>
      <c r="C23" s="21">
        <v>0.1</v>
      </c>
    </row>
    <row r="24" spans="2:10">
      <c r="B24" s="20" t="s">
        <v>61</v>
      </c>
      <c r="C24" s="21">
        <v>0.5</v>
      </c>
    </row>
    <row r="25" spans="2:10">
      <c r="B25" s="20" t="s">
        <v>108</v>
      </c>
      <c r="C25" s="116">
        <f>C23+C24</f>
        <v>0.6</v>
      </c>
    </row>
    <row r="26" spans="2:10">
      <c r="B26" s="20"/>
      <c r="C26" s="21"/>
    </row>
    <row r="27" spans="2:10">
      <c r="B27" s="20" t="s">
        <v>62</v>
      </c>
      <c r="C27" s="22">
        <f>C24</f>
        <v>0.5</v>
      </c>
    </row>
    <row r="28" spans="2:10">
      <c r="B28" s="20" t="s">
        <v>63</v>
      </c>
      <c r="C28" s="22" t="e">
        <f>IF((Simulation!$M$36/Simulation!$L$36)&gt;$C$23,$C$27-((Simulation!$M$36/Simulation!$L$36)-$C$23),$C$27)</f>
        <v>#DIV/0!</v>
      </c>
    </row>
    <row r="29" spans="2:10">
      <c r="B29" s="20" t="s">
        <v>64</v>
      </c>
      <c r="C29" s="22" t="e">
        <f>MIN($C$27,$C$28)</f>
        <v>#DIV/0!</v>
      </c>
    </row>
    <row r="30" spans="2:10">
      <c r="B30" s="20"/>
      <c r="C30" s="23"/>
    </row>
    <row r="32" spans="2:10">
      <c r="D32" s="20" t="s">
        <v>65</v>
      </c>
      <c r="E32" s="24" t="e">
        <f>H32</f>
        <v>#N/A</v>
      </c>
      <c r="F32" s="25"/>
      <c r="G32" s="26">
        <f>Simulation!N36</f>
        <v>0</v>
      </c>
      <c r="H32" s="24" t="e">
        <f>IF(AideFinREE&gt;VLOOKUP(1,F33:G36,2,FALSE()),1,IF(OR(AideFinREE&gt;VLOOKUP(2,F33:G36,2,FALSE()),AND(AideFinREE=VLOOKUP(2,F33:G36,2,FALSE()),VLOOKUP(2,F33:G36,2,FALSE())&lt;&gt;AideTaux_max)),2,IF(OR(AideFinREE&gt;VLOOKUP(3,F33:G36,2,FALSE()),AND(AideFinREE=VLOOKUP(3,F33:G36,2,FALSE()),VLOOKUP(3,F33:G36,2,FALSE())&lt;&gt;AideTaux_max)),3,IF(OR(AideFinREE&gt;VLOOKUP(4,F33:G36,2,FALSE()),AND(AideFinREE=VLOOKUP(4,F33:G36,2,FALSE()),VLOOKUP(4,F33:G36,2,FALSE())&lt;&gt;AideTaux_max)),4,5))))</f>
        <v>#N/A</v>
      </c>
      <c r="I32" s="25" t="s">
        <v>66</v>
      </c>
      <c r="J32" s="25"/>
    </row>
    <row r="33" spans="2:10">
      <c r="D33" s="20" t="s">
        <v>67</v>
      </c>
      <c r="E33" s="24" t="e">
        <f>H33</f>
        <v>#N/A</v>
      </c>
      <c r="F33" s="24" t="e">
        <f>IF(AideTaux_max&gt;AideFin_max,1,IF(AideTaux_max=AideFin_max,2,IF(AideTaux_max&gt;=AideFin_min,2,IF(AND(AideTaux_max&lt;AideFin_min,AideTaux_max&gt;=AideFin_seuil_mini),3,4))))</f>
        <v>#DIV/0!</v>
      </c>
      <c r="G33" s="26" t="e">
        <f>$C$29*Simulation!$L$36</f>
        <v>#DIV/0!</v>
      </c>
      <c r="H33" s="24" t="e">
        <f>IF($H$32&gt;F33,F33,F33+1)</f>
        <v>#N/A</v>
      </c>
      <c r="I33" s="25" t="s">
        <v>68</v>
      </c>
      <c r="J33" s="25"/>
    </row>
    <row r="34" spans="2:10">
      <c r="D34" s="20" t="s">
        <v>69</v>
      </c>
      <c r="E34" s="24" t="e">
        <f>H34</f>
        <v>#N/A</v>
      </c>
      <c r="F34" s="24" t="e">
        <f>IF(AideFin_max&gt;=AideTaux_max,1,2)</f>
        <v>#DIV/0!</v>
      </c>
      <c r="G34" s="27">
        <v>100000</v>
      </c>
      <c r="H34" s="24" t="e">
        <f>IF($H$32&gt;F34,F34,F34+1)</f>
        <v>#N/A</v>
      </c>
      <c r="I34" s="25" t="s">
        <v>70</v>
      </c>
      <c r="J34" s="25"/>
    </row>
    <row r="35" spans="2:10">
      <c r="D35" s="20" t="s">
        <v>71</v>
      </c>
      <c r="E35" s="24" t="e">
        <f>H35</f>
        <v>#N/A</v>
      </c>
      <c r="F35" s="24" t="e">
        <f>IF(OR(F33=1,F33=2),3,2)</f>
        <v>#DIV/0!</v>
      </c>
      <c r="G35" s="27">
        <v>10000</v>
      </c>
      <c r="H35" s="24" t="e">
        <f>IF($H$32&gt;F35,F35,F35+1)</f>
        <v>#N/A</v>
      </c>
      <c r="I35" s="25" t="s">
        <v>72</v>
      </c>
      <c r="J35" s="25"/>
    </row>
    <row r="36" spans="2:10">
      <c r="D36" s="20" t="s">
        <v>73</v>
      </c>
      <c r="E36" s="24" t="e">
        <f>H36</f>
        <v>#N/A</v>
      </c>
      <c r="F36" s="24" t="e">
        <f>IF(F33=4,3,4)</f>
        <v>#DIV/0!</v>
      </c>
      <c r="G36" s="27">
        <v>5000</v>
      </c>
      <c r="H36" s="24" t="e">
        <f>IF($H$32&gt;F36,F36,F36+1)</f>
        <v>#N/A</v>
      </c>
      <c r="I36" s="25" t="s">
        <v>74</v>
      </c>
      <c r="J36" s="25"/>
    </row>
    <row r="38" spans="2:10">
      <c r="B38" s="20"/>
      <c r="C38" s="27"/>
    </row>
    <row r="39" spans="2:10">
      <c r="B39" s="20" t="s">
        <v>75</v>
      </c>
      <c r="C39" s="27">
        <v>15</v>
      </c>
    </row>
    <row r="40" spans="2:10">
      <c r="B40" s="20" t="s">
        <v>76</v>
      </c>
      <c r="C40" s="27">
        <v>4</v>
      </c>
    </row>
    <row r="41" spans="2:10">
      <c r="B41" s="28"/>
      <c r="C41" s="29"/>
    </row>
    <row r="43" spans="2:10">
      <c r="B43" t="s">
        <v>77</v>
      </c>
    </row>
    <row r="45" spans="2:10">
      <c r="B45" s="25"/>
    </row>
    <row r="46" spans="2:10">
      <c r="B46" s="25" t="s">
        <v>38</v>
      </c>
    </row>
  </sheetData>
  <sheetProtection algorithmName="SHA-512" hashValue="tUTMaCeJIpUvpTg3FLPTbMRgzs54ybiLFxZaunZuHr6bzCno3Wk40NMCnNJ8bix+7wGEUJDIW6d4zofx/mT8xA==" saltValue="ACXxfGC93l1YgIZXdL0ZeQ==" spinCount="100000" sheet="1" objects="1" scenarios="1"/>
  <pageMargins left="0.70000000000000007" right="0.70000000000000007" top="1.1437007874015745" bottom="1.1437007874015745" header="0.74999999999999989" footer="0.74999999999999989"/>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Simulation</vt:lpstr>
      <vt:lpstr>Aides</vt:lpstr>
      <vt:lpstr>AideFin_max</vt:lpstr>
      <vt:lpstr>AideFin_min</vt:lpstr>
      <vt:lpstr>AideFin_seuil_mini</vt:lpstr>
      <vt:lpstr>AideFinREE</vt:lpstr>
      <vt:lpstr>AideTaux_max</vt:lpstr>
      <vt:lpstr>Payback_max</vt:lpstr>
      <vt:lpstr>Payback_min</vt:lpstr>
      <vt:lpstr>Simulation!Zone_d_impression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Krummenacher Pierre</dc:creator>
  <cp:lastModifiedBy>Krummenacher Pierre</cp:lastModifiedBy>
  <cp:lastPrinted>2021-02-05T15:47:22Z</cp:lastPrinted>
  <dcterms:created xsi:type="dcterms:W3CDTF">2021-01-23T08:21:31Z</dcterms:created>
  <dcterms:modified xsi:type="dcterms:W3CDTF">2023-03-20T13:29:37Z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ies>
</file>